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pvagrant/shared/data/protwis/gpcr/structure_data/"/>
    </mc:Choice>
  </mc:AlternateContent>
  <bookViews>
    <workbookView xWindow="940" yWindow="460" windowWidth="3266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'Bulges_Constr_NonXtal_GPCRdb#'!$A$1:$AE$417</definedName>
    <definedName name="_xlnm._FilterDatabase" localSheetId="5" hidden="1">'SegEnds_NonXtal_BW#'!$A$1:$AL$417</definedName>
    <definedName name="_xlnm._FilterDatabase" localSheetId="0" hidden="1">'SegEnds_Xtal_Prot#'!$A$1:$CT$478</definedName>
    <definedName name="GPCRdb_alignment" localSheetId="8">Seqs!$A$413:$B$414</definedName>
    <definedName name="human_GPCR_fasta.fas" localSheetId="8">Seqs!$A$8:$B$411</definedName>
    <definedName name="xtal_templates_1" localSheetId="10">Xtal_Templ!$A$2:$B$414</definedName>
    <definedName name="xtal_templates_10" localSheetId="10">Xtal_Templ!$A$2:$B$417</definedName>
    <definedName name="xtal_templates_12" localSheetId="10">Xtal_Templ!$A$2:$B$417</definedName>
    <definedName name="xtal_templates_13" localSheetId="10">Xtal_Templ!$A$2:$B$417</definedName>
    <definedName name="xtal_templates_14" localSheetId="10">Xtal_Templ!$A$2:$B$417</definedName>
    <definedName name="xtal_templates_3" localSheetId="10">Xtal_Templ!$A$2:$B$414</definedName>
    <definedName name="xtal_templates_4" localSheetId="10">Xtal_Templ!$A$2:$B$414</definedName>
    <definedName name="xtal_templates_6" localSheetId="10">Xtal_Templ!$A$2:$B$414</definedName>
    <definedName name="xtal_templates_7" localSheetId="10">Xtal_Templ!$A$2:$B$414</definedName>
    <definedName name="xtal_templates_8" localSheetId="10">Xtal_Templ!$A$2:$B$414</definedName>
    <definedName name="Z_3E3401AF_8459_8641_BD70_AD04F80E86ED_.wvu.FilterData" localSheetId="7" hidden="1">'Bulges_Constr_NonXtal_GPCRdb#'!$A$1:$AE$417</definedName>
    <definedName name="Z_3E3401AF_8459_8641_BD70_AD04F80E86ED_.wvu.FilterData" localSheetId="5" hidden="1">'SegEnds_NonXtal_BW#'!$A$1:$AL$417</definedName>
    <definedName name="Z_3E3401AF_8459_8641_BD70_AD04F80E86ED_.wvu.FilterData" localSheetId="0" hidden="1">'SegEnds_Xtal_Prot#'!$A$1:$CT$478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18" i="6" l="1"/>
  <c r="C118" i="6"/>
  <c r="D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25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T255" i="4" a="1"/>
  <c r="T255" i="4"/>
  <c r="B98" i="5"/>
  <c r="C6" i="2"/>
  <c r="B254" i="4"/>
  <c r="C254" i="4"/>
  <c r="C88" i="2"/>
  <c r="B255" i="4"/>
  <c r="C255" i="4"/>
  <c r="C98" i="5"/>
  <c r="D6" i="2"/>
  <c r="D254" i="4"/>
  <c r="D88" i="2"/>
  <c r="D255" i="4"/>
  <c r="E98" i="5"/>
  <c r="F98" i="5"/>
  <c r="H98" i="5"/>
  <c r="I98" i="5"/>
  <c r="H6" i="2"/>
  <c r="H254" i="4"/>
  <c r="H88" i="2"/>
  <c r="H255" i="4"/>
  <c r="K98" i="5"/>
  <c r="L98" i="5"/>
  <c r="N98" i="5"/>
  <c r="O98" i="5"/>
  <c r="L6" i="2"/>
  <c r="L254" i="4"/>
  <c r="L88" i="2"/>
  <c r="L255" i="4"/>
  <c r="Q98" i="5"/>
  <c r="M6" i="2"/>
  <c r="M254" i="4"/>
  <c r="M88" i="2"/>
  <c r="M255" i="4"/>
  <c r="R98" i="5"/>
  <c r="N6" i="2"/>
  <c r="N254" i="4"/>
  <c r="N88" i="2"/>
  <c r="T98" i="5"/>
  <c r="O6" i="2"/>
  <c r="O254" i="4"/>
  <c r="O88" i="2"/>
  <c r="O255" i="4"/>
  <c r="U98" i="5"/>
  <c r="P6" i="2"/>
  <c r="P254" i="4"/>
  <c r="P88" i="2"/>
  <c r="P255" i="4"/>
  <c r="W98" i="5"/>
  <c r="Q6" i="2"/>
  <c r="Q254" i="4"/>
  <c r="Q88" i="2"/>
  <c r="Q255" i="4"/>
  <c r="X98" i="5"/>
  <c r="Z98" i="5"/>
  <c r="AA98" i="5"/>
  <c r="AI254" i="4"/>
  <c r="T254" i="4" a="1"/>
  <c r="T254" i="4"/>
  <c r="AC98" i="5"/>
  <c r="H36" i="3"/>
  <c r="U254" i="4" a="1"/>
  <c r="U254" i="4"/>
  <c r="H37" i="3"/>
  <c r="H34" i="3"/>
  <c r="U255" i="4" a="1"/>
  <c r="U255" i="4"/>
  <c r="AD98" i="5"/>
  <c r="V6" i="2"/>
  <c r="V254" i="4"/>
  <c r="V88" i="2"/>
  <c r="V255" i="4"/>
  <c r="AF98" i="5"/>
  <c r="AG98" i="5"/>
  <c r="X6" i="2"/>
  <c r="X254" i="4"/>
  <c r="X88" i="2"/>
  <c r="X255" i="4"/>
  <c r="AI98" i="5"/>
  <c r="Y6" i="2"/>
  <c r="Y254" i="4"/>
  <c r="Y88" i="2"/>
  <c r="Y255" i="4"/>
  <c r="AJ98" i="5"/>
  <c r="Z6" i="2"/>
  <c r="Z254" i="4"/>
  <c r="Z88" i="2"/>
  <c r="Z255" i="4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E6" i="2"/>
  <c r="E88" i="2"/>
  <c r="E255" i="4"/>
  <c r="F6" i="2"/>
  <c r="F88" i="2"/>
  <c r="F255" i="4"/>
  <c r="I6" i="2"/>
  <c r="I88" i="2"/>
  <c r="I255" i="4"/>
  <c r="J6" i="2"/>
  <c r="J88" i="2"/>
  <c r="J255" i="4"/>
  <c r="R6" i="2"/>
  <c r="R88" i="2"/>
  <c r="R255" i="4"/>
  <c r="AA255" i="4"/>
  <c r="AB255" i="4"/>
  <c r="AC255" i="4"/>
  <c r="AD255" i="4"/>
  <c r="AE255" i="4"/>
  <c r="AF255" i="4"/>
  <c r="AG255" i="4"/>
  <c r="AH255" i="4"/>
  <c r="AJ255" i="4"/>
  <c r="AK255" i="4"/>
  <c r="AL255" i="4"/>
  <c r="A88" i="2"/>
  <c r="G88" i="2"/>
  <c r="K88" i="2"/>
  <c r="S88" i="2"/>
  <c r="T88" i="2"/>
  <c r="U88" i="2"/>
  <c r="W88" i="2"/>
  <c r="AA88" i="2"/>
  <c r="AB88" i="2"/>
  <c r="D87" i="2"/>
  <c r="B43" i="4"/>
  <c r="D43" i="4"/>
  <c r="E260" i="5"/>
  <c r="AC88" i="2"/>
  <c r="AD88" i="2"/>
  <c r="AE88" i="2"/>
  <c r="K260" i="5"/>
  <c r="AF88" i="2"/>
  <c r="AG88" i="2"/>
  <c r="AH88" i="2"/>
  <c r="AI88" i="2"/>
  <c r="AJ88" i="2"/>
  <c r="AK88" i="2"/>
  <c r="M87" i="2"/>
  <c r="M43" i="4"/>
  <c r="R260" i="5"/>
  <c r="L87" i="2"/>
  <c r="L43" i="4"/>
  <c r="Q260" i="5"/>
  <c r="AL88" i="2"/>
  <c r="AM88" i="2"/>
  <c r="D182" i="9"/>
  <c r="E182" i="9"/>
  <c r="F182" i="9"/>
  <c r="G182" i="9"/>
  <c r="H182" i="9"/>
  <c r="E419" i="7"/>
  <c r="C419" i="7"/>
  <c r="D419" i="7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149" i="1"/>
  <c r="A73" i="2"/>
  <c r="N73" i="2"/>
  <c r="B26" i="4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G6" i="2"/>
  <c r="K6" i="2"/>
  <c r="S6" i="2"/>
  <c r="T6" i="2"/>
  <c r="U6" i="2"/>
  <c r="W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C73" i="2"/>
  <c r="D73" i="2"/>
  <c r="E73" i="2"/>
  <c r="F73" i="2"/>
  <c r="G73" i="2"/>
  <c r="H73" i="2"/>
  <c r="I73" i="2"/>
  <c r="J73" i="2"/>
  <c r="K73" i="2"/>
  <c r="L73" i="2"/>
  <c r="M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E87" i="2"/>
  <c r="F87" i="2"/>
  <c r="G87" i="2"/>
  <c r="H87" i="2"/>
  <c r="I87" i="2"/>
  <c r="J87" i="2"/>
  <c r="K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N26" i="4"/>
  <c r="N43" i="4"/>
  <c r="A87" i="2"/>
  <c r="AA87" i="2"/>
  <c r="AB87" i="2"/>
  <c r="A233" i="1"/>
  <c r="B286" i="4"/>
  <c r="D286" i="4"/>
  <c r="E177" i="5"/>
  <c r="AC87" i="2"/>
  <c r="AD87" i="2"/>
  <c r="AE87" i="2"/>
  <c r="L177" i="5"/>
  <c r="K177" i="5"/>
  <c r="AF87" i="2"/>
  <c r="AG87" i="2"/>
  <c r="AH87" i="2"/>
  <c r="AI87" i="2"/>
  <c r="AJ87" i="2"/>
  <c r="O177" i="5"/>
  <c r="N177" i="5"/>
  <c r="AK87" i="2"/>
  <c r="L286" i="4"/>
  <c r="Q177" i="5"/>
  <c r="AL87" i="2"/>
  <c r="AM87" i="2"/>
  <c r="AV192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X192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A61" i="5"/>
  <c r="B288" i="4"/>
  <c r="P288" i="4"/>
  <c r="W61" i="5"/>
  <c r="O61" i="5"/>
  <c r="K61" i="5"/>
  <c r="W288" i="4"/>
  <c r="AG61" i="5"/>
  <c r="AF61" i="5"/>
  <c r="C288" i="4"/>
  <c r="C61" i="5"/>
  <c r="D288" i="4"/>
  <c r="E61" i="5"/>
  <c r="L61" i="5"/>
  <c r="N61" i="5"/>
  <c r="L288" i="4"/>
  <c r="Q61" i="5"/>
  <c r="O288" i="4"/>
  <c r="U61" i="5"/>
  <c r="Q288" i="4"/>
  <c r="X61" i="5"/>
  <c r="R288" i="4"/>
  <c r="Z61" i="5"/>
  <c r="AI288" i="4"/>
  <c r="T288" i="4" a="1"/>
  <c r="T288" i="4"/>
  <c r="AC61" i="5"/>
  <c r="H15" i="3"/>
  <c r="U288" i="4" a="1"/>
  <c r="U288" i="4"/>
  <c r="AD61" i="5"/>
  <c r="X288" i="4"/>
  <c r="AI61" i="5"/>
  <c r="Y288" i="4"/>
  <c r="AJ61" i="5"/>
  <c r="Z288" i="4"/>
  <c r="AL61" i="5"/>
  <c r="R61" i="5"/>
  <c r="T61" i="5"/>
  <c r="AN61" i="5"/>
  <c r="AA189" i="5"/>
  <c r="B291" i="4"/>
  <c r="P291" i="4"/>
  <c r="W189" i="5"/>
  <c r="O189" i="5"/>
  <c r="K189" i="5"/>
  <c r="W291" i="4"/>
  <c r="AG189" i="5"/>
  <c r="AF189" i="5"/>
  <c r="C291" i="4"/>
  <c r="C189" i="5"/>
  <c r="D291" i="4"/>
  <c r="E189" i="5"/>
  <c r="L189" i="5"/>
  <c r="N189" i="5"/>
  <c r="L291" i="4"/>
  <c r="Q189" i="5"/>
  <c r="O291" i="4"/>
  <c r="U189" i="5"/>
  <c r="Q291" i="4"/>
  <c r="X189" i="5"/>
  <c r="R291" i="4"/>
  <c r="Z189" i="5"/>
  <c r="AI291" i="4"/>
  <c r="T291" i="4" a="1"/>
  <c r="T291" i="4"/>
  <c r="AC189" i="5"/>
  <c r="AD189" i="5"/>
  <c r="X291" i="4"/>
  <c r="AI189" i="5"/>
  <c r="Y291" i="4"/>
  <c r="AJ189" i="5"/>
  <c r="Z291" i="4"/>
  <c r="AL189" i="5"/>
  <c r="R189" i="5"/>
  <c r="T189" i="5"/>
  <c r="AN189" i="5"/>
  <c r="AA176" i="5"/>
  <c r="B289" i="4"/>
  <c r="P289" i="4"/>
  <c r="W176" i="5"/>
  <c r="O176" i="5"/>
  <c r="K176" i="5"/>
  <c r="W289" i="4"/>
  <c r="AG176" i="5"/>
  <c r="AF176" i="5"/>
  <c r="C289" i="4"/>
  <c r="C176" i="5"/>
  <c r="D289" i="4"/>
  <c r="E176" i="5"/>
  <c r="L176" i="5"/>
  <c r="N176" i="5"/>
  <c r="L289" i="4"/>
  <c r="Q176" i="5"/>
  <c r="O289" i="4"/>
  <c r="U176" i="5"/>
  <c r="Q289" i="4"/>
  <c r="X176" i="5"/>
  <c r="R289" i="4"/>
  <c r="Z176" i="5"/>
  <c r="AI289" i="4"/>
  <c r="T289" i="4" a="1"/>
  <c r="T289" i="4"/>
  <c r="AC176" i="5"/>
  <c r="AD176" i="5"/>
  <c r="X289" i="4"/>
  <c r="AI176" i="5"/>
  <c r="Y289" i="4"/>
  <c r="AJ176" i="5"/>
  <c r="Z289" i="4"/>
  <c r="AL176" i="5"/>
  <c r="F176" i="5"/>
  <c r="R176" i="5"/>
  <c r="T176" i="5"/>
  <c r="AN176" i="5"/>
  <c r="AA178" i="5"/>
  <c r="B290" i="4"/>
  <c r="P290" i="4"/>
  <c r="W178" i="5"/>
  <c r="O178" i="5"/>
  <c r="H290" i="4"/>
  <c r="K178" i="5"/>
  <c r="W290" i="4"/>
  <c r="AG178" i="5"/>
  <c r="AF178" i="5"/>
  <c r="C290" i="4"/>
  <c r="C178" i="5"/>
  <c r="D290" i="4"/>
  <c r="E178" i="5"/>
  <c r="L178" i="5"/>
  <c r="J290" i="4"/>
  <c r="N178" i="5"/>
  <c r="L290" i="4"/>
  <c r="Q178" i="5"/>
  <c r="M290" i="4"/>
  <c r="R178" i="5"/>
  <c r="T178" i="5"/>
  <c r="O290" i="4"/>
  <c r="U178" i="5"/>
  <c r="Q290" i="4"/>
  <c r="X178" i="5"/>
  <c r="R290" i="4"/>
  <c r="Z178" i="5"/>
  <c r="AI290" i="4"/>
  <c r="T290" i="4" a="1"/>
  <c r="T290" i="4"/>
  <c r="AC178" i="5"/>
  <c r="AD178" i="5"/>
  <c r="X290" i="4"/>
  <c r="AI178" i="5"/>
  <c r="Y290" i="4"/>
  <c r="AJ178" i="5"/>
  <c r="Z290" i="4"/>
  <c r="AL178" i="5"/>
  <c r="F178" i="5"/>
  <c r="AN178" i="5"/>
  <c r="AA177" i="5"/>
  <c r="P286" i="4"/>
  <c r="W177" i="5"/>
  <c r="W286" i="4"/>
  <c r="AG177" i="5"/>
  <c r="AF177" i="5"/>
  <c r="C286" i="4"/>
  <c r="C177" i="5"/>
  <c r="O286" i="4"/>
  <c r="U177" i="5"/>
  <c r="Q286" i="4"/>
  <c r="X177" i="5"/>
  <c r="R286" i="4"/>
  <c r="Z177" i="5"/>
  <c r="AI286" i="4"/>
  <c r="T286" i="4" a="1"/>
  <c r="T286" i="4"/>
  <c r="AC177" i="5"/>
  <c r="AD177" i="5"/>
  <c r="X286" i="4"/>
  <c r="AI177" i="5"/>
  <c r="Y286" i="4"/>
  <c r="AJ177" i="5"/>
  <c r="Z286" i="4"/>
  <c r="AL177" i="5"/>
  <c r="F177" i="5"/>
  <c r="R177" i="5"/>
  <c r="T177" i="5"/>
  <c r="AN177" i="5"/>
  <c r="A86" i="2"/>
  <c r="AA86" i="2"/>
  <c r="AB86" i="2"/>
  <c r="B107" i="4"/>
  <c r="D107" i="4"/>
  <c r="E67" i="5"/>
  <c r="AC86" i="2"/>
  <c r="AD86" i="2"/>
  <c r="AE86" i="2"/>
  <c r="H107" i="4"/>
  <c r="K67" i="5"/>
  <c r="AF86" i="2"/>
  <c r="AG86" i="2"/>
  <c r="AH86" i="2"/>
  <c r="AI86" i="2"/>
  <c r="AJ86" i="2"/>
  <c r="AK86" i="2"/>
  <c r="M107" i="4"/>
  <c r="R67" i="5"/>
  <c r="L107" i="4"/>
  <c r="Q67" i="5"/>
  <c r="AL86" i="2"/>
  <c r="AM86" i="2"/>
  <c r="T263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263" i="1"/>
  <c r="D263" i="1"/>
  <c r="F263" i="1"/>
  <c r="H263" i="1"/>
  <c r="J263" i="1"/>
  <c r="L263" i="1"/>
  <c r="N263" i="1"/>
  <c r="P263" i="1"/>
  <c r="R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85" i="2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A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A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A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A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A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A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A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A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A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A442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A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A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A445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A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A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A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A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A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A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A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A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A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A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A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A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A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A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A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A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A462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A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A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AR465" i="1"/>
  <c r="AT465" i="1"/>
  <c r="AV465" i="1"/>
  <c r="AX465" i="1"/>
  <c r="A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AR466" i="1"/>
  <c r="AT466" i="1"/>
  <c r="AV466" i="1"/>
  <c r="AX466" i="1"/>
  <c r="A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AR467" i="1"/>
  <c r="AT467" i="1"/>
  <c r="AV467" i="1"/>
  <c r="AX467" i="1"/>
  <c r="A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AR468" i="1"/>
  <c r="AT468" i="1"/>
  <c r="AV468" i="1"/>
  <c r="AX468" i="1"/>
  <c r="A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AR469" i="1"/>
  <c r="AT469" i="1"/>
  <c r="AV469" i="1"/>
  <c r="AX469" i="1"/>
  <c r="A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AR470" i="1"/>
  <c r="AT470" i="1"/>
  <c r="AV470" i="1"/>
  <c r="AX470" i="1"/>
  <c r="A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AR471" i="1"/>
  <c r="AT471" i="1"/>
  <c r="AV471" i="1"/>
  <c r="AX471" i="1"/>
  <c r="A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AR472" i="1"/>
  <c r="AT472" i="1"/>
  <c r="AV472" i="1"/>
  <c r="AX472" i="1"/>
  <c r="A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AR473" i="1"/>
  <c r="AT473" i="1"/>
  <c r="AV473" i="1"/>
  <c r="AX473" i="1"/>
  <c r="A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AR474" i="1"/>
  <c r="AT474" i="1"/>
  <c r="AV474" i="1"/>
  <c r="AX474" i="1"/>
  <c r="A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AR475" i="1"/>
  <c r="AT475" i="1"/>
  <c r="AV475" i="1"/>
  <c r="AX475" i="1"/>
  <c r="A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AR476" i="1"/>
  <c r="AT476" i="1"/>
  <c r="AV476" i="1"/>
  <c r="AX476" i="1"/>
  <c r="A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AR477" i="1"/>
  <c r="AT477" i="1"/>
  <c r="AV477" i="1"/>
  <c r="AX477" i="1"/>
  <c r="A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AR478" i="1"/>
  <c r="AT478" i="1"/>
  <c r="AV478" i="1"/>
  <c r="AX478" i="1"/>
  <c r="A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AR479" i="1"/>
  <c r="AT479" i="1"/>
  <c r="AV479" i="1"/>
  <c r="AX479" i="1"/>
  <c r="A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AR480" i="1"/>
  <c r="AT480" i="1"/>
  <c r="AV480" i="1"/>
  <c r="AX480" i="1"/>
  <c r="A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AR481" i="1"/>
  <c r="AT481" i="1"/>
  <c r="AV481" i="1"/>
  <c r="AX481" i="1"/>
  <c r="A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AR482" i="1"/>
  <c r="AT482" i="1"/>
  <c r="AV482" i="1"/>
  <c r="AX482" i="1"/>
  <c r="A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AR483" i="1"/>
  <c r="AT483" i="1"/>
  <c r="AV483" i="1"/>
  <c r="AX483" i="1"/>
  <c r="A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AR484" i="1"/>
  <c r="AT484" i="1"/>
  <c r="AV484" i="1"/>
  <c r="AX484" i="1"/>
  <c r="A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AR485" i="1"/>
  <c r="AT485" i="1"/>
  <c r="AV485" i="1"/>
  <c r="AX485" i="1"/>
  <c r="A486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AR486" i="1"/>
  <c r="AT486" i="1"/>
  <c r="AV486" i="1"/>
  <c r="AX486" i="1"/>
  <c r="AA85" i="2"/>
  <c r="AB85" i="2"/>
  <c r="B106" i="4"/>
  <c r="D106" i="4"/>
  <c r="E66" i="5"/>
  <c r="AC85" i="2"/>
  <c r="AD85" i="2"/>
  <c r="AE85" i="2"/>
  <c r="H106" i="4"/>
  <c r="K66" i="5"/>
  <c r="AF85" i="2"/>
  <c r="AG85" i="2"/>
  <c r="AH85" i="2"/>
  <c r="AI85" i="2"/>
  <c r="AJ85" i="2"/>
  <c r="AK85" i="2"/>
  <c r="M106" i="4"/>
  <c r="R66" i="5"/>
  <c r="L106" i="4"/>
  <c r="Q66" i="5"/>
  <c r="AL85" i="2"/>
  <c r="AM85" i="2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84" i="2"/>
  <c r="AA84" i="2"/>
  <c r="AB84" i="2"/>
  <c r="B105" i="4"/>
  <c r="D105" i="4"/>
  <c r="E65" i="5"/>
  <c r="AC84" i="2"/>
  <c r="AD84" i="2"/>
  <c r="AE84" i="2"/>
  <c r="H105" i="4"/>
  <c r="K65" i="5"/>
  <c r="AF84" i="2"/>
  <c r="AG84" i="2"/>
  <c r="AH84" i="2"/>
  <c r="AI84" i="2"/>
  <c r="AJ84" i="2"/>
  <c r="AK84" i="2"/>
  <c r="M105" i="4"/>
  <c r="R65" i="5"/>
  <c r="L105" i="4"/>
  <c r="Q65" i="5"/>
  <c r="AL84" i="2"/>
  <c r="AM84" i="2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83" i="2"/>
  <c r="AA83" i="2"/>
  <c r="AB83" i="2"/>
  <c r="B164" i="4"/>
  <c r="D164" i="4"/>
  <c r="E148" i="5"/>
  <c r="AC83" i="2"/>
  <c r="AD83" i="2"/>
  <c r="AE83" i="2"/>
  <c r="I164" i="4"/>
  <c r="L148" i="5"/>
  <c r="K148" i="5"/>
  <c r="AF83" i="2"/>
  <c r="AG83" i="2"/>
  <c r="AH83" i="2"/>
  <c r="AI83" i="2"/>
  <c r="AJ83" i="2"/>
  <c r="O148" i="5"/>
  <c r="J164" i="4"/>
  <c r="N148" i="5"/>
  <c r="AK83" i="2"/>
  <c r="M164" i="4"/>
  <c r="R148" i="5"/>
  <c r="L164" i="4"/>
  <c r="Q148" i="5"/>
  <c r="AL83" i="2"/>
  <c r="AM83" i="2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453" i="1"/>
  <c r="BA453" i="1"/>
  <c r="BB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BC453" i="1"/>
  <c r="CT453" i="1"/>
  <c r="AZ439" i="1"/>
  <c r="BA439" i="1"/>
  <c r="BB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BC439" i="1"/>
  <c r="CT439" i="1"/>
  <c r="AZ438" i="1"/>
  <c r="BA438" i="1"/>
  <c r="BB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BC438" i="1"/>
  <c r="CT438" i="1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448" i="1"/>
  <c r="BA448" i="1"/>
  <c r="BB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BC448" i="1"/>
  <c r="CT448" i="1"/>
  <c r="A82" i="2"/>
  <c r="AA82" i="2"/>
  <c r="AB82" i="2"/>
  <c r="B132" i="4"/>
  <c r="E132" i="4"/>
  <c r="F108" i="5"/>
  <c r="D132" i="4"/>
  <c r="E108" i="5"/>
  <c r="F148" i="5"/>
  <c r="AC82" i="2"/>
  <c r="I108" i="5"/>
  <c r="F132" i="4"/>
  <c r="H108" i="5"/>
  <c r="H148" i="5"/>
  <c r="I148" i="5"/>
  <c r="AD82" i="2"/>
  <c r="AE82" i="2"/>
  <c r="H132" i="4"/>
  <c r="K108" i="5"/>
  <c r="AF82" i="2"/>
  <c r="AG82" i="2"/>
  <c r="AH82" i="2"/>
  <c r="AI82" i="2"/>
  <c r="AJ82" i="2"/>
  <c r="AK82" i="2"/>
  <c r="M132" i="4"/>
  <c r="R108" i="5"/>
  <c r="L132" i="4"/>
  <c r="Q108" i="5"/>
  <c r="AL82" i="2"/>
  <c r="AM82" i="2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I132" i="4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W132" i="4"/>
  <c r="B136" i="4"/>
  <c r="W136" i="4"/>
  <c r="A9" i="3"/>
  <c r="B9" i="3"/>
  <c r="C9" i="3"/>
  <c r="AI28" i="4"/>
  <c r="H6" i="3"/>
  <c r="H7" i="3"/>
  <c r="H8" i="3"/>
  <c r="H9" i="3"/>
  <c r="H10" i="3"/>
  <c r="H11" i="3"/>
  <c r="H12" i="3"/>
  <c r="H13" i="3"/>
  <c r="H14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5" i="3"/>
  <c r="H38" i="3"/>
  <c r="H39" i="3"/>
  <c r="U28" i="4" a="1"/>
  <c r="U28" i="4"/>
  <c r="AD262" i="5"/>
  <c r="T28" i="4" a="1"/>
  <c r="T28" i="4"/>
  <c r="AC262" i="5"/>
  <c r="AD108" i="5"/>
  <c r="AC108" i="5"/>
  <c r="E9" i="3"/>
  <c r="A81" i="2"/>
  <c r="AA81" i="2"/>
  <c r="AB81" i="2"/>
  <c r="B304" i="4"/>
  <c r="D304" i="4"/>
  <c r="E307" i="5"/>
  <c r="AC81" i="2"/>
  <c r="AD81" i="2"/>
  <c r="AE81" i="2"/>
  <c r="I304" i="4"/>
  <c r="L307" i="5"/>
  <c r="K307" i="5"/>
  <c r="AF81" i="2"/>
  <c r="AG81" i="2"/>
  <c r="AH81" i="2"/>
  <c r="AI81" i="2"/>
  <c r="AJ81" i="2"/>
  <c r="O307" i="5"/>
  <c r="J304" i="4"/>
  <c r="N307" i="5"/>
  <c r="AK81" i="2"/>
  <c r="M304" i="4"/>
  <c r="R307" i="5"/>
  <c r="L304" i="4"/>
  <c r="Q307" i="5"/>
  <c r="AL81" i="2"/>
  <c r="AM81" i="2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D295" i="6"/>
  <c r="B154" i="4"/>
  <c r="D154" i="4"/>
  <c r="E4" i="5"/>
  <c r="C304" i="4"/>
  <c r="C307" i="5"/>
  <c r="B60" i="4"/>
  <c r="C60" i="4"/>
  <c r="C394" i="7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B306" i="4"/>
  <c r="T306" i="4"/>
  <c r="U306" i="4"/>
  <c r="AI306" i="4"/>
  <c r="B317" i="4"/>
  <c r="U317" i="4"/>
  <c r="A9" i="13"/>
  <c r="B9" i="13"/>
  <c r="C9" i="13"/>
  <c r="U304" i="4"/>
  <c r="AD307" i="5"/>
  <c r="T304" i="4"/>
  <c r="AC307" i="5"/>
  <c r="E9" i="13"/>
  <c r="F9" i="13"/>
  <c r="G9" i="13"/>
  <c r="H9" i="13"/>
  <c r="A80" i="2"/>
  <c r="AA80" i="2"/>
  <c r="AB80" i="2"/>
  <c r="B309" i="4"/>
  <c r="D309" i="4"/>
  <c r="E314" i="5"/>
  <c r="AC80" i="2"/>
  <c r="AD80" i="2"/>
  <c r="AE80" i="2"/>
  <c r="I309" i="4"/>
  <c r="L314" i="5"/>
  <c r="K314" i="5"/>
  <c r="AF80" i="2"/>
  <c r="AG80" i="2"/>
  <c r="AH80" i="2"/>
  <c r="AI80" i="2"/>
  <c r="AJ80" i="2"/>
  <c r="O314" i="5"/>
  <c r="J309" i="4"/>
  <c r="N314" i="5"/>
  <c r="AK80" i="2"/>
  <c r="M309" i="4"/>
  <c r="R314" i="5"/>
  <c r="L309" i="4"/>
  <c r="Q314" i="5"/>
  <c r="AL80" i="2"/>
  <c r="AM80" i="2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BC430" i="1"/>
  <c r="CT430" i="1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BC431" i="1"/>
  <c r="CT431" i="1"/>
  <c r="A29" i="3"/>
  <c r="B29" i="3"/>
  <c r="C29" i="3"/>
  <c r="AI17" i="4"/>
  <c r="U17" i="4" a="1"/>
  <c r="U17" i="4"/>
  <c r="AD51" i="5"/>
  <c r="T17" i="4" a="1"/>
  <c r="T17" i="4"/>
  <c r="AC51" i="5"/>
  <c r="AI45" i="4"/>
  <c r="AD91" i="5"/>
  <c r="T45" i="4" a="1"/>
  <c r="T45" i="4"/>
  <c r="AC91" i="5"/>
  <c r="E29" i="3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79" i="2"/>
  <c r="AA79" i="2"/>
  <c r="AB79" i="2"/>
  <c r="B101" i="4"/>
  <c r="D101" i="4"/>
  <c r="E60" i="5"/>
  <c r="AC79" i="2"/>
  <c r="AD79" i="2"/>
  <c r="AE79" i="2"/>
  <c r="H101" i="4"/>
  <c r="K60" i="5"/>
  <c r="AF79" i="2"/>
  <c r="AG79" i="2"/>
  <c r="AH79" i="2"/>
  <c r="AI79" i="2"/>
  <c r="AJ79" i="2"/>
  <c r="AK79" i="2"/>
  <c r="M101" i="4"/>
  <c r="R60" i="5"/>
  <c r="L101" i="4"/>
  <c r="Q60" i="5"/>
  <c r="AL79" i="2"/>
  <c r="AM79" i="2"/>
  <c r="AZ451" i="1"/>
  <c r="BA451" i="1"/>
  <c r="BB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BC451" i="1"/>
  <c r="CT451" i="1"/>
  <c r="AZ452" i="1"/>
  <c r="BA452" i="1"/>
  <c r="BB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BC452" i="1"/>
  <c r="CT452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B211" i="4"/>
  <c r="X211" i="4"/>
  <c r="B200" i="4"/>
  <c r="X200" i="4"/>
  <c r="B210" i="4"/>
  <c r="I210" i="4"/>
  <c r="I211" i="4"/>
  <c r="I200" i="4"/>
  <c r="B303" i="6"/>
  <c r="C303" i="6"/>
  <c r="D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C200" i="4"/>
  <c r="D200" i="4"/>
  <c r="E200" i="4"/>
  <c r="F200" i="4"/>
  <c r="J200" i="4"/>
  <c r="K200" i="4"/>
  <c r="L200" i="4"/>
  <c r="M200" i="4"/>
  <c r="N200" i="4"/>
  <c r="O200" i="4"/>
  <c r="P200" i="4"/>
  <c r="Q200" i="4"/>
  <c r="R200" i="4"/>
  <c r="AI200" i="4"/>
  <c r="T200" i="4" a="1"/>
  <c r="T200" i="4"/>
  <c r="U200" i="4" a="1"/>
  <c r="U200" i="4"/>
  <c r="Y200" i="4"/>
  <c r="Z200" i="4"/>
  <c r="AA200" i="4"/>
  <c r="AB200" i="4"/>
  <c r="AC200" i="4"/>
  <c r="AD200" i="4"/>
  <c r="AE200" i="4"/>
  <c r="AF200" i="4"/>
  <c r="AG200" i="4"/>
  <c r="AH200" i="4"/>
  <c r="AJ200" i="4"/>
  <c r="AK200" i="4"/>
  <c r="AL200" i="4"/>
  <c r="B303" i="5"/>
  <c r="C211" i="4"/>
  <c r="C303" i="5"/>
  <c r="D211" i="4"/>
  <c r="E303" i="5"/>
  <c r="F303" i="5"/>
  <c r="H303" i="5"/>
  <c r="I303" i="5"/>
  <c r="K303" i="5"/>
  <c r="L303" i="5"/>
  <c r="J211" i="4"/>
  <c r="N303" i="5"/>
  <c r="K211" i="4"/>
  <c r="O303" i="5"/>
  <c r="L211" i="4"/>
  <c r="Q303" i="5"/>
  <c r="M211" i="4"/>
  <c r="R303" i="5"/>
  <c r="N211" i="4"/>
  <c r="T303" i="5"/>
  <c r="O211" i="4"/>
  <c r="U303" i="5"/>
  <c r="P211" i="4"/>
  <c r="W303" i="5"/>
  <c r="Q211" i="4"/>
  <c r="X303" i="5"/>
  <c r="Z303" i="5"/>
  <c r="AA303" i="5"/>
  <c r="AI211" i="4"/>
  <c r="T211" i="4" a="1"/>
  <c r="T211" i="4"/>
  <c r="AC303" i="5"/>
  <c r="U211" i="4" a="1"/>
  <c r="U211" i="4"/>
  <c r="AD303" i="5"/>
  <c r="AF303" i="5"/>
  <c r="AG303" i="5"/>
  <c r="AI303" i="5"/>
  <c r="Y211" i="4"/>
  <c r="AJ303" i="5"/>
  <c r="Z211" i="4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D417" i="9"/>
  <c r="E417" i="9"/>
  <c r="F417" i="9"/>
  <c r="G417" i="9"/>
  <c r="H417" i="9"/>
  <c r="C418" i="7"/>
  <c r="D418" i="7"/>
  <c r="E418" i="7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E211" i="4"/>
  <c r="F211" i="4"/>
  <c r="R211" i="4"/>
  <c r="AA211" i="4"/>
  <c r="AB211" i="4"/>
  <c r="AC211" i="4"/>
  <c r="AD211" i="4"/>
  <c r="AE211" i="4"/>
  <c r="AF211" i="4"/>
  <c r="AG211" i="4"/>
  <c r="AH211" i="4"/>
  <c r="AJ211" i="4"/>
  <c r="AK211" i="4"/>
  <c r="AL211" i="4"/>
  <c r="L210" i="4"/>
  <c r="B36" i="4"/>
  <c r="L36" i="4"/>
  <c r="B302" i="5"/>
  <c r="C210" i="4"/>
  <c r="C302" i="5"/>
  <c r="D210" i="4"/>
  <c r="E302" i="5"/>
  <c r="F302" i="5"/>
  <c r="H302" i="5"/>
  <c r="I302" i="5"/>
  <c r="K302" i="5"/>
  <c r="L302" i="5"/>
  <c r="J210" i="4"/>
  <c r="N302" i="5"/>
  <c r="K210" i="4"/>
  <c r="O302" i="5"/>
  <c r="Q302" i="5"/>
  <c r="M210" i="4"/>
  <c r="R302" i="5"/>
  <c r="N210" i="4"/>
  <c r="T302" i="5"/>
  <c r="O210" i="4"/>
  <c r="U302" i="5"/>
  <c r="W302" i="5"/>
  <c r="Q210" i="4"/>
  <c r="X302" i="5"/>
  <c r="Z302" i="5"/>
  <c r="AA302" i="5"/>
  <c r="AI210" i="4"/>
  <c r="T210" i="4" a="1"/>
  <c r="T210" i="4"/>
  <c r="AC302" i="5"/>
  <c r="U210" i="4" a="1"/>
  <c r="U210" i="4"/>
  <c r="AD302" i="5"/>
  <c r="AF302" i="5"/>
  <c r="AG302" i="5"/>
  <c r="X210" i="4"/>
  <c r="AI302" i="5"/>
  <c r="Y210" i="4"/>
  <c r="AJ302" i="5"/>
  <c r="Z210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7" i="7"/>
  <c r="D417" i="7"/>
  <c r="E417" i="7"/>
  <c r="O301" i="5"/>
  <c r="K301" i="5"/>
  <c r="AG301" i="5"/>
  <c r="AF301" i="5"/>
  <c r="C301" i="5"/>
  <c r="E301" i="5"/>
  <c r="L301" i="5"/>
  <c r="N301" i="5"/>
  <c r="Q301" i="5"/>
  <c r="R301" i="5"/>
  <c r="T301" i="5"/>
  <c r="U301" i="5"/>
  <c r="W301" i="5"/>
  <c r="X301" i="5"/>
  <c r="AA301" i="5"/>
  <c r="AC301" i="5"/>
  <c r="AD301" i="5"/>
  <c r="AI301" i="5"/>
  <c r="AJ301" i="5"/>
  <c r="AL301" i="5"/>
  <c r="H301" i="5"/>
  <c r="I301" i="5"/>
  <c r="Z301" i="5"/>
  <c r="AN301" i="5"/>
  <c r="E210" i="4"/>
  <c r="F210" i="4"/>
  <c r="R210" i="4"/>
  <c r="AA210" i="4"/>
  <c r="AB210" i="4"/>
  <c r="AC210" i="4"/>
  <c r="AD210" i="4"/>
  <c r="AE210" i="4"/>
  <c r="AF210" i="4"/>
  <c r="AG210" i="4"/>
  <c r="AH210" i="4"/>
  <c r="AJ210" i="4"/>
  <c r="AK210" i="4"/>
  <c r="AL210" i="4"/>
  <c r="B301" i="5"/>
  <c r="B38" i="4"/>
  <c r="C38" i="4"/>
  <c r="D38" i="4"/>
  <c r="F301" i="5"/>
  <c r="I38" i="4"/>
  <c r="J38" i="4"/>
  <c r="L38" i="4"/>
  <c r="M38" i="4"/>
  <c r="N38" i="4"/>
  <c r="O38" i="4"/>
  <c r="P38" i="4"/>
  <c r="Q38" i="4"/>
  <c r="S38" i="4"/>
  <c r="AI38" i="4"/>
  <c r="T38" i="4" a="1"/>
  <c r="T38" i="4"/>
  <c r="X38" i="4"/>
  <c r="Y38" i="4"/>
  <c r="Z38" i="4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D301" i="6"/>
  <c r="C301" i="6"/>
  <c r="B301" i="6"/>
  <c r="D415" i="9"/>
  <c r="E415" i="9"/>
  <c r="F415" i="9"/>
  <c r="G415" i="9"/>
  <c r="H415" i="9"/>
  <c r="E416" i="7"/>
  <c r="C416" i="7"/>
  <c r="D416" i="7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78" i="2"/>
  <c r="AA78" i="2"/>
  <c r="AB78" i="2"/>
  <c r="B123" i="4"/>
  <c r="E123" i="4"/>
  <c r="F88" i="5"/>
  <c r="D123" i="4"/>
  <c r="E88" i="5"/>
  <c r="AC78" i="2"/>
  <c r="I88" i="5"/>
  <c r="F123" i="4"/>
  <c r="H88" i="5"/>
  <c r="AD78" i="2"/>
  <c r="AE78" i="2"/>
  <c r="H123" i="4"/>
  <c r="K88" i="5"/>
  <c r="L60" i="5"/>
  <c r="AF78" i="2"/>
  <c r="AG78" i="2"/>
  <c r="AH78" i="2"/>
  <c r="AI78" i="2"/>
  <c r="AJ78" i="2"/>
  <c r="N60" i="5"/>
  <c r="O60" i="5"/>
  <c r="AK78" i="2"/>
  <c r="M123" i="4"/>
  <c r="R88" i="5"/>
  <c r="L123" i="4"/>
  <c r="Q88" i="5"/>
  <c r="AL78" i="2"/>
  <c r="AM78" i="2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V123" i="4"/>
  <c r="B45" i="4"/>
  <c r="V45" i="4"/>
  <c r="A77" i="2"/>
  <c r="AA77" i="2"/>
  <c r="AB77" i="2"/>
  <c r="B122" i="4"/>
  <c r="E122" i="4"/>
  <c r="F87" i="5"/>
  <c r="D122" i="4"/>
  <c r="E87" i="5"/>
  <c r="AC77" i="2"/>
  <c r="I87" i="5"/>
  <c r="F122" i="4"/>
  <c r="H87" i="5"/>
  <c r="AD77" i="2"/>
  <c r="AE77" i="2"/>
  <c r="H122" i="4"/>
  <c r="K87" i="5"/>
  <c r="AF77" i="2"/>
  <c r="AG77" i="2"/>
  <c r="AH77" i="2"/>
  <c r="AI77" i="2"/>
  <c r="AJ77" i="2"/>
  <c r="AK77" i="2"/>
  <c r="M122" i="4"/>
  <c r="R87" i="5"/>
  <c r="L122" i="4"/>
  <c r="Q87" i="5"/>
  <c r="AL77" i="2"/>
  <c r="AM77" i="2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BC447" i="1"/>
  <c r="CT447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S304" i="4"/>
  <c r="B305" i="4"/>
  <c r="S305" i="4"/>
  <c r="B312" i="4"/>
  <c r="S312" i="4"/>
  <c r="B310" i="4"/>
  <c r="S310" i="4"/>
  <c r="S309" i="4"/>
  <c r="S317" i="4"/>
  <c r="B316" i="4"/>
  <c r="S316" i="4"/>
  <c r="S306" i="4"/>
  <c r="B307" i="4"/>
  <c r="S307" i="4"/>
  <c r="B319" i="4"/>
  <c r="S319" i="4"/>
  <c r="B318" i="4"/>
  <c r="S318" i="4"/>
  <c r="B311" i="4"/>
  <c r="S311" i="4"/>
  <c r="B314" i="4"/>
  <c r="S314" i="4"/>
  <c r="B315" i="4"/>
  <c r="S315" i="4"/>
  <c r="B313" i="4"/>
  <c r="S313" i="4"/>
  <c r="B308" i="4"/>
  <c r="S308" i="4"/>
  <c r="B118" i="4"/>
  <c r="S118" i="4"/>
  <c r="AZ445" i="1"/>
  <c r="BA445" i="1"/>
  <c r="BB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BC445" i="1"/>
  <c r="CT445" i="1"/>
  <c r="B159" i="4"/>
  <c r="D159" i="4"/>
  <c r="B7" i="4"/>
  <c r="E7" i="4"/>
  <c r="F7" i="4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A76" i="2"/>
  <c r="AB76" i="2"/>
  <c r="B86" i="4"/>
  <c r="E86" i="4"/>
  <c r="F241" i="5"/>
  <c r="D86" i="4"/>
  <c r="E241" i="5"/>
  <c r="AC76" i="2"/>
  <c r="I241" i="5"/>
  <c r="F86" i="4"/>
  <c r="H241" i="5"/>
  <c r="AD76" i="2"/>
  <c r="AE76" i="2"/>
  <c r="H86" i="4"/>
  <c r="K241" i="5"/>
  <c r="AF76" i="2"/>
  <c r="AG76" i="2"/>
  <c r="AH76" i="2"/>
  <c r="AI76" i="2"/>
  <c r="AJ76" i="2"/>
  <c r="AK76" i="2"/>
  <c r="M86" i="4"/>
  <c r="R241" i="5"/>
  <c r="L86" i="4"/>
  <c r="Q241" i="5"/>
  <c r="AL76" i="2"/>
  <c r="AM76" i="2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B261" i="6"/>
  <c r="C261" i="6"/>
  <c r="D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B241" i="5"/>
  <c r="B85" i="4"/>
  <c r="C85" i="4"/>
  <c r="C86" i="4"/>
  <c r="C241" i="5"/>
  <c r="D85" i="4"/>
  <c r="E85" i="4"/>
  <c r="F85" i="4"/>
  <c r="L241" i="5"/>
  <c r="N241" i="5"/>
  <c r="O241" i="5"/>
  <c r="L85" i="4"/>
  <c r="M85" i="4"/>
  <c r="N86" i="4"/>
  <c r="T241" i="5"/>
  <c r="O85" i="4"/>
  <c r="O86" i="4"/>
  <c r="U241" i="5"/>
  <c r="P85" i="4"/>
  <c r="P86" i="4"/>
  <c r="W241" i="5"/>
  <c r="Q85" i="4"/>
  <c r="Q86" i="4"/>
  <c r="X241" i="5"/>
  <c r="Z241" i="5"/>
  <c r="S85" i="4"/>
  <c r="S86" i="4"/>
  <c r="AA241" i="5"/>
  <c r="AI85" i="4"/>
  <c r="T85" i="4" a="1"/>
  <c r="T85" i="4"/>
  <c r="AI86" i="4"/>
  <c r="T86" i="4" a="1"/>
  <c r="T86" i="4"/>
  <c r="AC241" i="5"/>
  <c r="U85" i="4" a="1"/>
  <c r="U85" i="4"/>
  <c r="U86" i="4" a="1"/>
  <c r="U86" i="4"/>
  <c r="AD241" i="5"/>
  <c r="AF241" i="5"/>
  <c r="AG241" i="5"/>
  <c r="X85" i="4"/>
  <c r="X86" i="4"/>
  <c r="AI241" i="5"/>
  <c r="Y85" i="4"/>
  <c r="Y86" i="4"/>
  <c r="AJ241" i="5"/>
  <c r="Z85" i="4"/>
  <c r="Z86" i="4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I86" i="4"/>
  <c r="J86" i="4"/>
  <c r="R86" i="4"/>
  <c r="AA86" i="4"/>
  <c r="AB86" i="4"/>
  <c r="AC86" i="4"/>
  <c r="AD86" i="4"/>
  <c r="AE86" i="4"/>
  <c r="AF86" i="4"/>
  <c r="AG86" i="4"/>
  <c r="AH86" i="4"/>
  <c r="AJ86" i="4"/>
  <c r="AK86" i="4"/>
  <c r="AL86" i="4"/>
  <c r="AA75" i="2"/>
  <c r="AB75" i="2"/>
  <c r="B384" i="4"/>
  <c r="D384" i="4"/>
  <c r="E386" i="5"/>
  <c r="AC75" i="2"/>
  <c r="AD75" i="2"/>
  <c r="AE75" i="2"/>
  <c r="I384" i="4"/>
  <c r="L386" i="5"/>
  <c r="H384" i="4"/>
  <c r="K386" i="5"/>
  <c r="AF75" i="2"/>
  <c r="AG75" i="2"/>
  <c r="AH75" i="2"/>
  <c r="AI75" i="2"/>
  <c r="AJ75" i="2"/>
  <c r="K384" i="4"/>
  <c r="O386" i="5"/>
  <c r="J384" i="4"/>
  <c r="N386" i="5"/>
  <c r="AK75" i="2"/>
  <c r="M384" i="4"/>
  <c r="R386" i="5"/>
  <c r="L384" i="4"/>
  <c r="Q386" i="5"/>
  <c r="AL75" i="2"/>
  <c r="AM75" i="2"/>
  <c r="D336" i="9"/>
  <c r="E336" i="9"/>
  <c r="F336" i="9"/>
  <c r="G336" i="9"/>
  <c r="H336" i="9"/>
  <c r="C415" i="7"/>
  <c r="D415" i="7"/>
  <c r="E415" i="7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B386" i="5"/>
  <c r="B383" i="4"/>
  <c r="C383" i="4"/>
  <c r="C384" i="4"/>
  <c r="C386" i="5"/>
  <c r="D383" i="4"/>
  <c r="F386" i="5"/>
  <c r="H386" i="5"/>
  <c r="I386" i="5"/>
  <c r="H383" i="4"/>
  <c r="I383" i="4"/>
  <c r="J383" i="4"/>
  <c r="K383" i="4"/>
  <c r="L383" i="4"/>
  <c r="M383" i="4"/>
  <c r="N383" i="4"/>
  <c r="N384" i="4"/>
  <c r="T386" i="5"/>
  <c r="O383" i="4"/>
  <c r="O384" i="4"/>
  <c r="U386" i="5"/>
  <c r="P383" i="4"/>
  <c r="P384" i="4"/>
  <c r="W386" i="5"/>
  <c r="Q383" i="4"/>
  <c r="Q384" i="4"/>
  <c r="X386" i="5"/>
  <c r="Z386" i="5"/>
  <c r="S383" i="4"/>
  <c r="S384" i="4"/>
  <c r="AA386" i="5"/>
  <c r="T383" i="4"/>
  <c r="T384" i="4"/>
  <c r="AC386" i="5"/>
  <c r="U383" i="4"/>
  <c r="U384" i="4"/>
  <c r="AD386" i="5"/>
  <c r="V383" i="4"/>
  <c r="V384" i="4"/>
  <c r="AF386" i="5"/>
  <c r="W383" i="4"/>
  <c r="W384" i="4"/>
  <c r="AG386" i="5"/>
  <c r="X383" i="4"/>
  <c r="X384" i="4"/>
  <c r="AI386" i="5"/>
  <c r="Y383" i="4"/>
  <c r="Y384" i="4"/>
  <c r="AJ386" i="5"/>
  <c r="Z383" i="4"/>
  <c r="Z384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E384" i="4"/>
  <c r="F384" i="4"/>
  <c r="R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A74" i="2"/>
  <c r="AB74" i="2"/>
  <c r="D26" i="4"/>
  <c r="E261" i="5"/>
  <c r="AC74" i="2"/>
  <c r="AD74" i="2"/>
  <c r="AE74" i="2"/>
  <c r="K261" i="5"/>
  <c r="AF74" i="2"/>
  <c r="AG74" i="2"/>
  <c r="AH74" i="2"/>
  <c r="AI74" i="2"/>
  <c r="AJ74" i="2"/>
  <c r="AK74" i="2"/>
  <c r="M26" i="4"/>
  <c r="R261" i="5"/>
  <c r="L26" i="4"/>
  <c r="Q261" i="5"/>
  <c r="AL74" i="2"/>
  <c r="AM74" i="2"/>
  <c r="A7" i="14"/>
  <c r="B7" i="14"/>
  <c r="C7" i="14"/>
  <c r="E7" i="14"/>
  <c r="F7" i="14"/>
  <c r="G7" i="14"/>
  <c r="H7" i="14"/>
  <c r="D409" i="9"/>
  <c r="E409" i="9"/>
  <c r="F409" i="9"/>
  <c r="G409" i="9"/>
  <c r="H409" i="9"/>
  <c r="C414" i="7"/>
  <c r="D414" i="7"/>
  <c r="E414" i="7"/>
  <c r="AZ482" i="1"/>
  <c r="BA482" i="1"/>
  <c r="BB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BC482" i="1"/>
  <c r="CT482" i="1"/>
  <c r="AZ483" i="1"/>
  <c r="BA483" i="1"/>
  <c r="BB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BC483" i="1"/>
  <c r="CT48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A73" i="2"/>
  <c r="AB73" i="2"/>
  <c r="B270" i="4"/>
  <c r="D270" i="4"/>
  <c r="E197" i="5"/>
  <c r="AC73" i="2"/>
  <c r="I197" i="5"/>
  <c r="AD73" i="2"/>
  <c r="AE73" i="2"/>
  <c r="H270" i="4"/>
  <c r="K197" i="5"/>
  <c r="AF73" i="2"/>
  <c r="AG73" i="2"/>
  <c r="AH73" i="2"/>
  <c r="AI73" i="2"/>
  <c r="AJ73" i="2"/>
  <c r="AK73" i="2"/>
  <c r="M270" i="4"/>
  <c r="R197" i="5"/>
  <c r="L270" i="4"/>
  <c r="Q197" i="5"/>
  <c r="AL73" i="2"/>
  <c r="AM73" i="2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I198" i="5"/>
  <c r="I199" i="5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A72" i="2"/>
  <c r="AB72" i="2"/>
  <c r="B186" i="4"/>
  <c r="D186" i="4"/>
  <c r="E192" i="5"/>
  <c r="AC72" i="2"/>
  <c r="AD72" i="2"/>
  <c r="AE72" i="2"/>
  <c r="H186" i="4"/>
  <c r="K192" i="5"/>
  <c r="AF72" i="2"/>
  <c r="AG72" i="2"/>
  <c r="AH72" i="2"/>
  <c r="AI72" i="2"/>
  <c r="AJ72" i="2"/>
  <c r="AK72" i="2"/>
  <c r="M186" i="4"/>
  <c r="R192" i="5"/>
  <c r="L186" i="4"/>
  <c r="Q192" i="5"/>
  <c r="AL72" i="2"/>
  <c r="AM72" i="2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T285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481" i="1"/>
  <c r="BA481" i="1"/>
  <c r="BB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BC481" i="1"/>
  <c r="CT481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Z458" i="1"/>
  <c r="BA458" i="1"/>
  <c r="BB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BC458" i="1"/>
  <c r="CT458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BC457" i="1"/>
  <c r="CT457" i="1"/>
  <c r="AZ456" i="1"/>
  <c r="BA456" i="1"/>
  <c r="BB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BC456" i="1"/>
  <c r="CT456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A71" i="2"/>
  <c r="AB71" i="2"/>
  <c r="B185" i="4"/>
  <c r="D185" i="4"/>
  <c r="E191" i="5"/>
  <c r="AC71" i="2"/>
  <c r="AD71" i="2"/>
  <c r="AE71" i="2"/>
  <c r="H185" i="4"/>
  <c r="K191" i="5"/>
  <c r="AF71" i="2"/>
  <c r="AG71" i="2"/>
  <c r="AH71" i="2"/>
  <c r="AI71" i="2"/>
  <c r="AJ71" i="2"/>
  <c r="AK71" i="2"/>
  <c r="M185" i="4"/>
  <c r="R191" i="5"/>
  <c r="L185" i="4"/>
  <c r="Q191" i="5"/>
  <c r="AL71" i="2"/>
  <c r="AM71" i="2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BC266" i="1"/>
  <c r="AZ266" i="1"/>
  <c r="BA266" i="1"/>
  <c r="BB266" i="1"/>
  <c r="S185" i="4"/>
  <c r="AA70" i="2"/>
  <c r="AB70" i="2"/>
  <c r="B248" i="4"/>
  <c r="D248" i="4"/>
  <c r="E43" i="5"/>
  <c r="AC70" i="2"/>
  <c r="AD70" i="2"/>
  <c r="AE70" i="2"/>
  <c r="H248" i="4"/>
  <c r="K43" i="5"/>
  <c r="AF70" i="2"/>
  <c r="AG70" i="2"/>
  <c r="AH70" i="2"/>
  <c r="AI70" i="2"/>
  <c r="AJ70" i="2"/>
  <c r="AK70" i="2"/>
  <c r="M248" i="4"/>
  <c r="R43" i="5"/>
  <c r="L248" i="4"/>
  <c r="Q43" i="5"/>
  <c r="AL70" i="2"/>
  <c r="AM70" i="2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5" i="1"/>
  <c r="BA265" i="1"/>
  <c r="BB265" i="1"/>
  <c r="CT265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A69" i="2"/>
  <c r="AB69" i="2"/>
  <c r="D45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45" i="4"/>
  <c r="Q91" i="5"/>
  <c r="AL69" i="2"/>
  <c r="AM69" i="2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45" i="4"/>
  <c r="AA68" i="2"/>
  <c r="AB68" i="2"/>
  <c r="B380" i="4"/>
  <c r="D380" i="4"/>
  <c r="E379" i="5"/>
  <c r="AC68" i="2"/>
  <c r="AD68" i="2"/>
  <c r="AE68" i="2"/>
  <c r="I380" i="4"/>
  <c r="L379" i="5"/>
  <c r="H380" i="4"/>
  <c r="K379" i="5"/>
  <c r="AF68" i="2"/>
  <c r="AG68" i="2"/>
  <c r="AH68" i="2"/>
  <c r="AI68" i="2"/>
  <c r="AJ68" i="2"/>
  <c r="K380" i="4"/>
  <c r="O379" i="5"/>
  <c r="J380" i="4"/>
  <c r="N379" i="5"/>
  <c r="AK68" i="2"/>
  <c r="M380" i="4"/>
  <c r="R379" i="5"/>
  <c r="L380" i="4"/>
  <c r="Q379" i="5"/>
  <c r="R91" i="5"/>
  <c r="AL68" i="2"/>
  <c r="AM68" i="2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V380" i="4"/>
  <c r="AA67" i="2"/>
  <c r="AB67" i="2"/>
  <c r="B283" i="4"/>
  <c r="E283" i="4"/>
  <c r="F242" i="5"/>
  <c r="D283" i="4"/>
  <c r="E242" i="5"/>
  <c r="AC67" i="2"/>
  <c r="I242" i="5"/>
  <c r="F283" i="4"/>
  <c r="H242" i="5"/>
  <c r="AD67" i="2"/>
  <c r="AE67" i="2"/>
  <c r="K242" i="5"/>
  <c r="AF67" i="2"/>
  <c r="AG67" i="2"/>
  <c r="AH67" i="2"/>
  <c r="AI67" i="2"/>
  <c r="AJ67" i="2"/>
  <c r="AK67" i="2"/>
  <c r="M283" i="4"/>
  <c r="R242" i="5"/>
  <c r="L283" i="4"/>
  <c r="Q242" i="5"/>
  <c r="AL67" i="2"/>
  <c r="AM67" i="2"/>
  <c r="AZ469" i="1"/>
  <c r="BA469" i="1"/>
  <c r="BB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BC469" i="1"/>
  <c r="CT469" i="1"/>
  <c r="AZ470" i="1"/>
  <c r="BA470" i="1"/>
  <c r="BB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BC470" i="1"/>
  <c r="CT470" i="1"/>
  <c r="AZ468" i="1"/>
  <c r="BA468" i="1"/>
  <c r="BB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BC468" i="1"/>
  <c r="CT468" i="1"/>
  <c r="AZ467" i="1"/>
  <c r="BA467" i="1"/>
  <c r="BB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BC467" i="1"/>
  <c r="CT467" i="1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B212" i="4"/>
  <c r="N212" i="4"/>
  <c r="B213" i="4"/>
  <c r="N213" i="4"/>
  <c r="N227" i="5"/>
  <c r="L227" i="5"/>
  <c r="B227" i="4"/>
  <c r="J227" i="4"/>
  <c r="B18" i="4"/>
  <c r="W18" i="4"/>
  <c r="B134" i="4"/>
  <c r="W134" i="4"/>
  <c r="B135" i="4"/>
  <c r="W135" i="4"/>
  <c r="B301" i="4"/>
  <c r="W301" i="4"/>
  <c r="B13" i="4"/>
  <c r="W13" i="4"/>
  <c r="B14" i="4"/>
  <c r="W14" i="4"/>
  <c r="B183" i="4"/>
  <c r="W183" i="4"/>
  <c r="B10" i="4"/>
  <c r="W10" i="4"/>
  <c r="B11" i="4"/>
  <c r="W11" i="4"/>
  <c r="B63" i="4"/>
  <c r="W63" i="4"/>
  <c r="B64" i="4"/>
  <c r="W64" i="4"/>
  <c r="B194" i="4"/>
  <c r="W194" i="4"/>
  <c r="B68" i="4"/>
  <c r="W68" i="4"/>
  <c r="B221" i="4"/>
  <c r="W221" i="4"/>
  <c r="B78" i="4"/>
  <c r="W78" i="4"/>
  <c r="B81" i="4"/>
  <c r="W81" i="4"/>
  <c r="B82" i="4"/>
  <c r="W82" i="4"/>
  <c r="B84" i="4"/>
  <c r="W84" i="4"/>
  <c r="B67" i="4"/>
  <c r="W67" i="4"/>
  <c r="B69" i="4"/>
  <c r="W69" i="4"/>
  <c r="B70" i="4"/>
  <c r="W70" i="4"/>
  <c r="B121" i="4"/>
  <c r="W121" i="4"/>
  <c r="B35" i="4"/>
  <c r="W35" i="4"/>
  <c r="B127" i="4"/>
  <c r="W127" i="4"/>
  <c r="B48" i="4"/>
  <c r="W48" i="4"/>
  <c r="B137" i="4"/>
  <c r="W137" i="4"/>
  <c r="B256" i="4"/>
  <c r="W256" i="4"/>
  <c r="B257" i="4"/>
  <c r="W257" i="4"/>
  <c r="B266" i="4"/>
  <c r="W266" i="4"/>
  <c r="B160" i="4"/>
  <c r="W160" i="4"/>
  <c r="B163" i="4"/>
  <c r="W163" i="4"/>
  <c r="B165" i="4"/>
  <c r="W165" i="4"/>
  <c r="B184" i="4"/>
  <c r="W184" i="4"/>
  <c r="W185" i="4"/>
  <c r="W186" i="4"/>
  <c r="B187" i="4"/>
  <c r="W187" i="4"/>
  <c r="B189" i="4"/>
  <c r="W189" i="4"/>
  <c r="B190" i="4"/>
  <c r="W190" i="4"/>
  <c r="B196" i="4"/>
  <c r="W196" i="4"/>
  <c r="B197" i="4"/>
  <c r="W197" i="4"/>
  <c r="B198" i="4"/>
  <c r="W198" i="4"/>
  <c r="B228" i="4"/>
  <c r="W228" i="4"/>
  <c r="B229" i="4"/>
  <c r="W229" i="4"/>
  <c r="B265" i="4"/>
  <c r="W265" i="4"/>
  <c r="B87" i="4"/>
  <c r="W87" i="4"/>
  <c r="B245" i="4"/>
  <c r="W245" i="4"/>
  <c r="B246" i="4"/>
  <c r="W246" i="4"/>
  <c r="B195" i="4"/>
  <c r="W195" i="4"/>
  <c r="B65" i="4"/>
  <c r="W65" i="4"/>
  <c r="B66" i="4"/>
  <c r="W66" i="4"/>
  <c r="W227" i="4"/>
  <c r="B231" i="4"/>
  <c r="W231" i="4"/>
  <c r="B188" i="4"/>
  <c r="W188" i="4"/>
  <c r="S188" i="4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BC415" i="1"/>
  <c r="CT415" i="1"/>
  <c r="AA66" i="2"/>
  <c r="AB66" i="2"/>
  <c r="E231" i="4"/>
  <c r="F227" i="5"/>
  <c r="D231" i="4"/>
  <c r="E227" i="5"/>
  <c r="AC66" i="2"/>
  <c r="I227" i="5"/>
  <c r="F231" i="4"/>
  <c r="H227" i="5"/>
  <c r="AD66" i="2"/>
  <c r="AE66" i="2"/>
  <c r="I231" i="4"/>
  <c r="H231" i="4"/>
  <c r="K227" i="5"/>
  <c r="L242" i="5"/>
  <c r="AF66" i="2"/>
  <c r="AG66" i="2"/>
  <c r="AH66" i="2"/>
  <c r="AI66" i="2"/>
  <c r="AJ66" i="2"/>
  <c r="O227" i="5"/>
  <c r="J231" i="4"/>
  <c r="AK66" i="2"/>
  <c r="M231" i="4"/>
  <c r="R227" i="5"/>
  <c r="L231" i="4"/>
  <c r="Q227" i="5"/>
  <c r="AL66" i="2"/>
  <c r="AM66" i="2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A64" i="2"/>
  <c r="AB64" i="2"/>
  <c r="B281" i="4"/>
  <c r="E281" i="4"/>
  <c r="F226" i="5"/>
  <c r="D281" i="4"/>
  <c r="E226" i="5"/>
  <c r="AC64" i="2"/>
  <c r="I226" i="5"/>
  <c r="F281" i="4"/>
  <c r="H226" i="5"/>
  <c r="AD64" i="2"/>
  <c r="AE64" i="2"/>
  <c r="H281" i="4"/>
  <c r="K226" i="5"/>
  <c r="L226" i="5"/>
  <c r="AF64" i="2"/>
  <c r="AG64" i="2"/>
  <c r="AH64" i="2"/>
  <c r="AI64" i="2"/>
  <c r="AJ64" i="2"/>
  <c r="N226" i="5"/>
  <c r="O226" i="5"/>
  <c r="AK64" i="2"/>
  <c r="M281" i="4"/>
  <c r="R226" i="5"/>
  <c r="L281" i="4"/>
  <c r="Q226" i="5"/>
  <c r="AL64" i="2"/>
  <c r="AM64" i="2"/>
  <c r="AG172" i="5"/>
  <c r="AF172" i="5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I60" i="4"/>
  <c r="T60" i="4" a="1"/>
  <c r="T60" i="4"/>
  <c r="AC172" i="5"/>
  <c r="U60" i="4" a="1"/>
  <c r="U60" i="4"/>
  <c r="AD172" i="5"/>
  <c r="X60" i="4"/>
  <c r="AI172" i="5"/>
  <c r="Y60" i="4"/>
  <c r="AJ172" i="5"/>
  <c r="Z60" i="4"/>
  <c r="AL172" i="5"/>
  <c r="AN172" i="5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D78" i="5"/>
  <c r="AI119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T119" i="4" a="1"/>
  <c r="T119" i="4"/>
  <c r="AC78" i="5"/>
  <c r="AI25" i="4"/>
  <c r="U25" i="4" a="1"/>
  <c r="U25" i="4"/>
  <c r="AD85" i="5"/>
  <c r="T25" i="4" a="1"/>
  <c r="T25" i="4"/>
  <c r="AC85" i="5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A65" i="2"/>
  <c r="AB65" i="2"/>
  <c r="D188" i="4"/>
  <c r="E282" i="5"/>
  <c r="AC65" i="2"/>
  <c r="AD65" i="2"/>
  <c r="AE65" i="2"/>
  <c r="H188" i="4"/>
  <c r="K282" i="5"/>
  <c r="AF65" i="2"/>
  <c r="AG65" i="2"/>
  <c r="AH65" i="2"/>
  <c r="AI65" i="2"/>
  <c r="AJ65" i="2"/>
  <c r="AK65" i="2"/>
  <c r="M188" i="4"/>
  <c r="R282" i="5"/>
  <c r="L188" i="4"/>
  <c r="Q282" i="5"/>
  <c r="AL65" i="2"/>
  <c r="AM65" i="2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BC388" i="1"/>
  <c r="CT388" i="1"/>
  <c r="AA63" i="2"/>
  <c r="AB63" i="2"/>
  <c r="D319" i="4"/>
  <c r="E315" i="5"/>
  <c r="AC63" i="2"/>
  <c r="AD63" i="2"/>
  <c r="AE63" i="2"/>
  <c r="I319" i="4"/>
  <c r="L315" i="5"/>
  <c r="K315" i="5"/>
  <c r="AF63" i="2"/>
  <c r="AG63" i="2"/>
  <c r="AH63" i="2"/>
  <c r="AI63" i="2"/>
  <c r="AJ63" i="2"/>
  <c r="O315" i="5"/>
  <c r="J319" i="4"/>
  <c r="N315" i="5"/>
  <c r="AK63" i="2"/>
  <c r="M319" i="4"/>
  <c r="R315" i="5"/>
  <c r="L319" i="4"/>
  <c r="Q315" i="5"/>
  <c r="AL63" i="2"/>
  <c r="AM63" i="2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A62" i="2"/>
  <c r="AB62" i="2"/>
  <c r="B230" i="4"/>
  <c r="E230" i="4"/>
  <c r="F223" i="5"/>
  <c r="D230" i="4"/>
  <c r="E223" i="5"/>
  <c r="AC62" i="2"/>
  <c r="I223" i="5"/>
  <c r="F230" i="4"/>
  <c r="H223" i="5"/>
  <c r="AD62" i="2"/>
  <c r="AE62" i="2"/>
  <c r="H230" i="4"/>
  <c r="K223" i="5"/>
  <c r="AF62" i="2"/>
  <c r="AG62" i="2"/>
  <c r="AH62" i="2"/>
  <c r="AI62" i="2"/>
  <c r="AJ62" i="2"/>
  <c r="AK62" i="2"/>
  <c r="M230" i="4"/>
  <c r="R223" i="5"/>
  <c r="L230" i="4"/>
  <c r="Q223" i="5"/>
  <c r="AL62" i="2"/>
  <c r="AM62" i="2"/>
  <c r="AZ455" i="1"/>
  <c r="BA455" i="1"/>
  <c r="BB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BC455" i="1"/>
  <c r="CT455" i="1"/>
  <c r="AZ454" i="1"/>
  <c r="BA454" i="1"/>
  <c r="BB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BC454" i="1"/>
  <c r="CT454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X230" i="4"/>
  <c r="AA61" i="2"/>
  <c r="AB61" i="2"/>
  <c r="D307" i="4"/>
  <c r="E305" i="5"/>
  <c r="AC61" i="2"/>
  <c r="AD61" i="2"/>
  <c r="AE61" i="2"/>
  <c r="I307" i="4"/>
  <c r="L305" i="5"/>
  <c r="K305" i="5"/>
  <c r="L223" i="5"/>
  <c r="AF61" i="2"/>
  <c r="AG61" i="2"/>
  <c r="AH61" i="2"/>
  <c r="AI61" i="2"/>
  <c r="AJ61" i="2"/>
  <c r="O305" i="5"/>
  <c r="J307" i="4"/>
  <c r="N305" i="5"/>
  <c r="N223" i="5"/>
  <c r="O223" i="5"/>
  <c r="AK61" i="2"/>
  <c r="M307" i="4"/>
  <c r="R305" i="5"/>
  <c r="L307" i="4"/>
  <c r="Q305" i="5"/>
  <c r="AL61" i="2"/>
  <c r="AM61" i="2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BC387" i="1"/>
  <c r="CT387" i="1"/>
  <c r="AZ386" i="1"/>
  <c r="BA386" i="1"/>
  <c r="BB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BC386" i="1"/>
  <c r="CT386" i="1"/>
  <c r="AA60" i="2"/>
  <c r="AB60" i="2"/>
  <c r="E300" i="5"/>
  <c r="AC60" i="2"/>
  <c r="AD60" i="2"/>
  <c r="AE60" i="2"/>
  <c r="L300" i="5"/>
  <c r="K300" i="5"/>
  <c r="AF60" i="2"/>
  <c r="AG60" i="2"/>
  <c r="AH60" i="2"/>
  <c r="AI60" i="2"/>
  <c r="AJ60" i="2"/>
  <c r="O300" i="5"/>
  <c r="N300" i="5"/>
  <c r="AK60" i="2"/>
  <c r="R300" i="5"/>
  <c r="Q300" i="5"/>
  <c r="AL60" i="2"/>
  <c r="AM60" i="2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10" i="9"/>
  <c r="H411" i="9"/>
  <c r="H412" i="9"/>
  <c r="H413" i="9"/>
  <c r="H414" i="9"/>
  <c r="H2" i="9"/>
  <c r="AL99" i="4"/>
  <c r="A6" i="14"/>
  <c r="H6" i="14"/>
  <c r="G6" i="14"/>
  <c r="F6" i="14"/>
  <c r="AD385" i="5"/>
  <c r="AC385" i="5"/>
  <c r="E6" i="14"/>
  <c r="C6" i="14"/>
  <c r="B6" i="14"/>
  <c r="A8" i="13"/>
  <c r="H8" i="13"/>
  <c r="G8" i="13"/>
  <c r="F8" i="13"/>
  <c r="U314" i="4"/>
  <c r="AD308" i="5"/>
  <c r="T314" i="4"/>
  <c r="AC308" i="5"/>
  <c r="E8" i="13"/>
  <c r="C8" i="13"/>
  <c r="B8" i="13"/>
  <c r="A7" i="13"/>
  <c r="H7" i="13"/>
  <c r="G7" i="13"/>
  <c r="F7" i="13"/>
  <c r="AD313" i="5"/>
  <c r="T317" i="4"/>
  <c r="AC313" i="5"/>
  <c r="E7" i="13"/>
  <c r="C7" i="13"/>
  <c r="B7" i="13"/>
  <c r="A6" i="13"/>
  <c r="H6" i="13"/>
  <c r="G6" i="13"/>
  <c r="F6" i="13"/>
  <c r="U315" i="4"/>
  <c r="AD311" i="5"/>
  <c r="T315" i="4"/>
  <c r="AC311" i="5"/>
  <c r="E6" i="13"/>
  <c r="C6" i="13"/>
  <c r="B6" i="13"/>
  <c r="B300" i="6"/>
  <c r="C300" i="6"/>
  <c r="D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F300" i="5"/>
  <c r="B300" i="5"/>
  <c r="B39" i="4"/>
  <c r="C39" i="4"/>
  <c r="C300" i="5"/>
  <c r="D39" i="4"/>
  <c r="H300" i="5"/>
  <c r="I300" i="5"/>
  <c r="I39" i="4"/>
  <c r="J39" i="4"/>
  <c r="L39" i="4"/>
  <c r="M39" i="4"/>
  <c r="N39" i="4"/>
  <c r="T300" i="5"/>
  <c r="O39" i="4"/>
  <c r="U300" i="5"/>
  <c r="P39" i="4"/>
  <c r="W300" i="5"/>
  <c r="Q39" i="4"/>
  <c r="X300" i="5"/>
  <c r="Z300" i="5"/>
  <c r="S39" i="4"/>
  <c r="AA300" i="5"/>
  <c r="AI39" i="4"/>
  <c r="T39" i="4" a="1"/>
  <c r="T39" i="4"/>
  <c r="AC300" i="5"/>
  <c r="AD300" i="5"/>
  <c r="AF300" i="5"/>
  <c r="AG300" i="5"/>
  <c r="X39" i="4"/>
  <c r="AI300" i="5"/>
  <c r="Y39" i="4"/>
  <c r="AJ300" i="5"/>
  <c r="Z39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E38" i="4"/>
  <c r="F38" i="4"/>
  <c r="R38" i="4"/>
  <c r="AA38" i="4"/>
  <c r="AB38" i="4"/>
  <c r="AC38" i="4"/>
  <c r="AD38" i="4"/>
  <c r="AE38" i="4"/>
  <c r="AF38" i="4"/>
  <c r="AG38" i="4"/>
  <c r="AH38" i="4"/>
  <c r="AJ38" i="4"/>
  <c r="AK38" i="4"/>
  <c r="AL38" i="4"/>
  <c r="AA59" i="2"/>
  <c r="AB59" i="2"/>
  <c r="B233" i="4"/>
  <c r="E233" i="4"/>
  <c r="F231" i="5"/>
  <c r="D233" i="4"/>
  <c r="E231" i="5"/>
  <c r="AC59" i="2"/>
  <c r="I231" i="5"/>
  <c r="F233" i="4"/>
  <c r="H231" i="5"/>
  <c r="AD59" i="2"/>
  <c r="AE59" i="2"/>
  <c r="H233" i="4"/>
  <c r="K231" i="5"/>
  <c r="AF59" i="2"/>
  <c r="AG59" i="2"/>
  <c r="AH59" i="2"/>
  <c r="AI59" i="2"/>
  <c r="AJ59" i="2"/>
  <c r="AK59" i="2"/>
  <c r="M233" i="4"/>
  <c r="R231" i="5"/>
  <c r="L233" i="4"/>
  <c r="Q231" i="5"/>
  <c r="AL59" i="2"/>
  <c r="AM59" i="2"/>
  <c r="D414" i="9"/>
  <c r="E414" i="9"/>
  <c r="F414" i="9"/>
  <c r="G414" i="9"/>
  <c r="AZ412" i="1"/>
  <c r="BA412" i="1"/>
  <c r="BB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BC412" i="1"/>
  <c r="CT412" i="1"/>
  <c r="AZ411" i="1"/>
  <c r="BA411" i="1"/>
  <c r="BB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BC411" i="1"/>
  <c r="CT411" i="1"/>
  <c r="AZ410" i="1"/>
  <c r="BA410" i="1"/>
  <c r="BB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BC410" i="1"/>
  <c r="CT410" i="1"/>
  <c r="C124" i="7"/>
  <c r="D124" i="7"/>
  <c r="E124" i="7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1" i="4"/>
  <c r="AB202" i="4"/>
  <c r="AB203" i="4"/>
  <c r="AB204" i="4"/>
  <c r="AB205" i="4"/>
  <c r="AB206" i="4"/>
  <c r="AB207" i="4"/>
  <c r="AB208" i="4"/>
  <c r="AB209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3" i="4"/>
  <c r="AB382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2" i="4"/>
  <c r="AA58" i="2"/>
  <c r="AB58" i="2"/>
  <c r="D195" i="4"/>
  <c r="E289" i="5"/>
  <c r="AC58" i="2"/>
  <c r="AD58" i="2"/>
  <c r="AE58" i="2"/>
  <c r="H195" i="4"/>
  <c r="K289" i="5"/>
  <c r="L231" i="5"/>
  <c r="AF58" i="2"/>
  <c r="AG58" i="2"/>
  <c r="AH58" i="2"/>
  <c r="AI58" i="2"/>
  <c r="AJ58" i="2"/>
  <c r="N231" i="5"/>
  <c r="O231" i="5"/>
  <c r="AK58" i="2"/>
  <c r="M195" i="4"/>
  <c r="R289" i="5"/>
  <c r="L195" i="4"/>
  <c r="Q289" i="5"/>
  <c r="AL58" i="2"/>
  <c r="AM58" i="2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B387" i="6"/>
  <c r="C387" i="6"/>
  <c r="D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Z486" i="1"/>
  <c r="BA486" i="1"/>
  <c r="BB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BC486" i="1"/>
  <c r="CT486" i="1"/>
  <c r="H387" i="5"/>
  <c r="B382" i="4"/>
  <c r="H382" i="4"/>
  <c r="K387" i="5"/>
  <c r="B387" i="5"/>
  <c r="C382" i="4"/>
  <c r="C387" i="5"/>
  <c r="D382" i="4"/>
  <c r="E387" i="5"/>
  <c r="F387" i="5"/>
  <c r="I387" i="5"/>
  <c r="I382" i="4"/>
  <c r="L387" i="5"/>
  <c r="J382" i="4"/>
  <c r="N387" i="5"/>
  <c r="K382" i="4"/>
  <c r="O387" i="5"/>
  <c r="L382" i="4"/>
  <c r="Q387" i="5"/>
  <c r="M382" i="4"/>
  <c r="R387" i="5"/>
  <c r="N382" i="4"/>
  <c r="T387" i="5"/>
  <c r="O382" i="4"/>
  <c r="U387" i="5"/>
  <c r="P382" i="4"/>
  <c r="W387" i="5"/>
  <c r="Q382" i="4"/>
  <c r="X387" i="5"/>
  <c r="Z387" i="5"/>
  <c r="S382" i="4"/>
  <c r="AA387" i="5"/>
  <c r="T382" i="4"/>
  <c r="AC387" i="5"/>
  <c r="U382" i="4"/>
  <c r="AD387" i="5"/>
  <c r="V382" i="4"/>
  <c r="AF387" i="5"/>
  <c r="W382" i="4"/>
  <c r="AG387" i="5"/>
  <c r="X382" i="4"/>
  <c r="AI387" i="5"/>
  <c r="Y382" i="4"/>
  <c r="AJ387" i="5"/>
  <c r="Z382" i="4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D413" i="9"/>
  <c r="E413" i="9"/>
  <c r="F413" i="9"/>
  <c r="G413" i="9"/>
  <c r="E382" i="4"/>
  <c r="F382" i="4"/>
  <c r="R382" i="4"/>
  <c r="AA382" i="4"/>
  <c r="AC382" i="4"/>
  <c r="AD382" i="4"/>
  <c r="AE382" i="4"/>
  <c r="AF382" i="4"/>
  <c r="AG382" i="4"/>
  <c r="AH382" i="4"/>
  <c r="AI382" i="4"/>
  <c r="AJ382" i="4"/>
  <c r="AK382" i="4"/>
  <c r="AL382" i="4"/>
  <c r="AA53" i="2"/>
  <c r="AB53" i="2"/>
  <c r="E385" i="5"/>
  <c r="AC53" i="2"/>
  <c r="AD53" i="2"/>
  <c r="AE53" i="2"/>
  <c r="L385" i="5"/>
  <c r="K385" i="5"/>
  <c r="AF53" i="2"/>
  <c r="AG53" i="2"/>
  <c r="AH53" i="2"/>
  <c r="AI53" i="2"/>
  <c r="AJ53" i="2"/>
  <c r="O385" i="5"/>
  <c r="N385" i="5"/>
  <c r="AK53" i="2"/>
  <c r="R385" i="5"/>
  <c r="Q385" i="5"/>
  <c r="AL53" i="2"/>
  <c r="AM53" i="2"/>
  <c r="AZ485" i="1"/>
  <c r="BA485" i="1"/>
  <c r="BB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BC485" i="1"/>
  <c r="CT485" i="1"/>
  <c r="AZ484" i="1"/>
  <c r="BA484" i="1"/>
  <c r="BB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BC484" i="1"/>
  <c r="CT484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A57" i="2"/>
  <c r="AB57" i="2"/>
  <c r="B119" i="4"/>
  <c r="E119" i="4"/>
  <c r="F78" i="5"/>
  <c r="D119" i="4"/>
  <c r="E78" i="5"/>
  <c r="F289" i="5"/>
  <c r="AC57" i="2"/>
  <c r="I78" i="5"/>
  <c r="F119" i="4"/>
  <c r="H78" i="5"/>
  <c r="H289" i="5"/>
  <c r="I289" i="5"/>
  <c r="AD57" i="2"/>
  <c r="AE57" i="2"/>
  <c r="H119" i="4"/>
  <c r="K78" i="5"/>
  <c r="L289" i="5"/>
  <c r="AF57" i="2"/>
  <c r="AG57" i="2"/>
  <c r="AH57" i="2"/>
  <c r="AI57" i="2"/>
  <c r="AJ57" i="2"/>
  <c r="N289" i="5"/>
  <c r="O289" i="5"/>
  <c r="AK57" i="2"/>
  <c r="M119" i="4"/>
  <c r="R78" i="5"/>
  <c r="L119" i="4"/>
  <c r="Q78" i="5"/>
  <c r="AL57" i="2"/>
  <c r="AM57" i="2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328" i="1"/>
  <c r="BA328" i="1"/>
  <c r="BB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BC328" i="1"/>
  <c r="CT328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BC327" i="1"/>
  <c r="CT327" i="1"/>
  <c r="B73" i="4"/>
  <c r="X73" i="4"/>
  <c r="AK276" i="4"/>
  <c r="AK178" i="4"/>
  <c r="AK5" i="4"/>
  <c r="AK6" i="4"/>
  <c r="AK8" i="4"/>
  <c r="AK130" i="4"/>
  <c r="AK162" i="4"/>
  <c r="AK129" i="4"/>
  <c r="AK280" i="4"/>
  <c r="AK168" i="4"/>
  <c r="AK3" i="4"/>
  <c r="AK261" i="4"/>
  <c r="AK181" i="4"/>
  <c r="AK182" i="4"/>
  <c r="AK128" i="4"/>
  <c r="AK80" i="4"/>
  <c r="AK83" i="4"/>
  <c r="AK19" i="4"/>
  <c r="AK302" i="4"/>
  <c r="AK153" i="4"/>
  <c r="AK164" i="4"/>
  <c r="AK277" i="4"/>
  <c r="AK94" i="4"/>
  <c r="AK285" i="4"/>
  <c r="AK303" i="4"/>
  <c r="AK105" i="4"/>
  <c r="AK298" i="4"/>
  <c r="AK299" i="4"/>
  <c r="AK167" i="4"/>
  <c r="AK54" i="4"/>
  <c r="AK238" i="4"/>
  <c r="AK240" i="4"/>
  <c r="AK287" i="4"/>
  <c r="AK267" i="4"/>
  <c r="AK239" i="4"/>
  <c r="AK237" i="4"/>
  <c r="AK241" i="4"/>
  <c r="AK242" i="4"/>
  <c r="AK243" i="4"/>
  <c r="AK93" i="4"/>
  <c r="AK156" i="4"/>
  <c r="AK166" i="4"/>
  <c r="AK110" i="4"/>
  <c r="AK109" i="4"/>
  <c r="AK251" i="4"/>
  <c r="AK108" i="4"/>
  <c r="AK91" i="4"/>
  <c r="AK96" i="4"/>
  <c r="AK125" i="4"/>
  <c r="AK97" i="4"/>
  <c r="AK100" i="4"/>
  <c r="AK174" i="4"/>
  <c r="AK101" i="4"/>
  <c r="AK98" i="4"/>
  <c r="AK99" i="4"/>
  <c r="AK158" i="4"/>
  <c r="AK294" i="4"/>
  <c r="AK295" i="4"/>
  <c r="AK296" i="4"/>
  <c r="AK293" i="4"/>
  <c r="AK297" i="4"/>
  <c r="AK300" i="4"/>
  <c r="AK51" i="4"/>
  <c r="AK205" i="4"/>
  <c r="AK206" i="4"/>
  <c r="AK207" i="4"/>
  <c r="AK208" i="4"/>
  <c r="AK209" i="4"/>
  <c r="AK175" i="4"/>
  <c r="AK152" i="4"/>
  <c r="AK55" i="4"/>
  <c r="AK56" i="4"/>
  <c r="AK202" i="4"/>
  <c r="AK204" i="4"/>
  <c r="AK16" i="4"/>
  <c r="AK45" i="4"/>
  <c r="AK141" i="4"/>
  <c r="AK275" i="4"/>
  <c r="AK203" i="4"/>
  <c r="AK264" i="4"/>
  <c r="AK258" i="4"/>
  <c r="AK260" i="4"/>
  <c r="AK247" i="4"/>
  <c r="AK44" i="4"/>
  <c r="AK216" i="4"/>
  <c r="AK244" i="4"/>
  <c r="AK269" i="4"/>
  <c r="AK145" i="4"/>
  <c r="AK102" i="4"/>
  <c r="AK111" i="4"/>
  <c r="AK103" i="4"/>
  <c r="AK72" i="4"/>
  <c r="AK104" i="4"/>
  <c r="AK154" i="4"/>
  <c r="AK278" i="4"/>
  <c r="AK92" i="4"/>
  <c r="AK253" i="4"/>
  <c r="AK176" i="4"/>
  <c r="AK254" i="4"/>
  <c r="AK62" i="4"/>
  <c r="AK76" i="4"/>
  <c r="AK282" i="4"/>
  <c r="AK179" i="4"/>
  <c r="AK77" i="4"/>
  <c r="AK180" i="4"/>
  <c r="AK75" i="4"/>
  <c r="AK17" i="4"/>
  <c r="AK79" i="4"/>
  <c r="AK90" i="4"/>
  <c r="AK89" i="4"/>
  <c r="AK259" i="4"/>
  <c r="AK53" i="4"/>
  <c r="AK88" i="4"/>
  <c r="AK107" i="4"/>
  <c r="AK106" i="4"/>
  <c r="AK140" i="4"/>
  <c r="AK9" i="4"/>
  <c r="AK183" i="4"/>
  <c r="AK10" i="4"/>
  <c r="AK11" i="4"/>
  <c r="AK124" i="4"/>
  <c r="AK221" i="4"/>
  <c r="AK14" i="4"/>
  <c r="AK134" i="4"/>
  <c r="AK84" i="4"/>
  <c r="AK143" i="4"/>
  <c r="AK63" i="4"/>
  <c r="AK64" i="4"/>
  <c r="AK67" i="4"/>
  <c r="AK68" i="4"/>
  <c r="AK69" i="4"/>
  <c r="AK70" i="4"/>
  <c r="AK78" i="4"/>
  <c r="AK81" i="4"/>
  <c r="AK135" i="4"/>
  <c r="AK136" i="4"/>
  <c r="AK82" i="4"/>
  <c r="AK18" i="4"/>
  <c r="AK301" i="4"/>
  <c r="AK139" i="4"/>
  <c r="AK13" i="4"/>
  <c r="AK194" i="4"/>
  <c r="AK249" i="4"/>
  <c r="AK288" i="4"/>
  <c r="AK228" i="4"/>
  <c r="AK229" i="4"/>
  <c r="AK35" i="4"/>
  <c r="AK286" i="4"/>
  <c r="AK290" i="4"/>
  <c r="AK257" i="4"/>
  <c r="AK291" i="4"/>
  <c r="AK256" i="4"/>
  <c r="AK289" i="4"/>
  <c r="AK227" i="4"/>
  <c r="AK87" i="4"/>
  <c r="AK65" i="4"/>
  <c r="AK66" i="4"/>
  <c r="AK187" i="4"/>
  <c r="AK196" i="4"/>
  <c r="AK127" i="4"/>
  <c r="AK160" i="4"/>
  <c r="AK184" i="4"/>
  <c r="AK185" i="4"/>
  <c r="AK186" i="4"/>
  <c r="AK197" i="4"/>
  <c r="AK188" i="4"/>
  <c r="AK190" i="4"/>
  <c r="AK195" i="4"/>
  <c r="AK189" i="4"/>
  <c r="AK265" i="4"/>
  <c r="AK266" i="4"/>
  <c r="AK163" i="4"/>
  <c r="AK165" i="4"/>
  <c r="AK48" i="4"/>
  <c r="AK245" i="4"/>
  <c r="AK246" i="4"/>
  <c r="AK231" i="4"/>
  <c r="AK252" i="4"/>
  <c r="AK248" i="4"/>
  <c r="AK250" i="4"/>
  <c r="AK121" i="4"/>
  <c r="AK137" i="4"/>
  <c r="AK198" i="4"/>
  <c r="AK120" i="4"/>
  <c r="AK119" i="4"/>
  <c r="AK149" i="4"/>
  <c r="AK230" i="4"/>
  <c r="AK118" i="4"/>
  <c r="AK49" i="4"/>
  <c r="AK201" i="4"/>
  <c r="AK226" i="4"/>
  <c r="AK171" i="4"/>
  <c r="AK144" i="4"/>
  <c r="AK123" i="4"/>
  <c r="AK273" i="4"/>
  <c r="AK274" i="4"/>
  <c r="AK170" i="4"/>
  <c r="AK191" i="4"/>
  <c r="AK292" i="4"/>
  <c r="AK7" i="4"/>
  <c r="AK263" i="4"/>
  <c r="AK117" i="4"/>
  <c r="AK192" i="4"/>
  <c r="AK193" i="4"/>
  <c r="AK234" i="4"/>
  <c r="AK262" i="4"/>
  <c r="AK46" i="4"/>
  <c r="AK131" i="4"/>
  <c r="AK52" i="4"/>
  <c r="AK214" i="4"/>
  <c r="AK157" i="4"/>
  <c r="AK279" i="4"/>
  <c r="AK138" i="4"/>
  <c r="AK177" i="4"/>
  <c r="AK213" i="4"/>
  <c r="AK212" i="4"/>
  <c r="AK132" i="4"/>
  <c r="AK133" i="4"/>
  <c r="AK74" i="4"/>
  <c r="AK215" i="4"/>
  <c r="AK219" i="4"/>
  <c r="AK150" i="4"/>
  <c r="AK233" i="4"/>
  <c r="AK114" i="4"/>
  <c r="AK218" i="4"/>
  <c r="AK159" i="4"/>
  <c r="AK268" i="4"/>
  <c r="AK270" i="4"/>
  <c r="AK271" i="4"/>
  <c r="AK272" i="4"/>
  <c r="AK2" i="4"/>
  <c r="AK20" i="4"/>
  <c r="AK41" i="4"/>
  <c r="AK42" i="4"/>
  <c r="AK24" i="4"/>
  <c r="AK43" i="4"/>
  <c r="AK27" i="4"/>
  <c r="AK29" i="4"/>
  <c r="AK147" i="4"/>
  <c r="AK40" i="4"/>
  <c r="AK23" i="4"/>
  <c r="AK25" i="4"/>
  <c r="AK151" i="4"/>
  <c r="AK161" i="4"/>
  <c r="AK122" i="4"/>
  <c r="AK146" i="4"/>
  <c r="AK112" i="4"/>
  <c r="AK113" i="4"/>
  <c r="AK50" i="4"/>
  <c r="AK15" i="4"/>
  <c r="AK57" i="4"/>
  <c r="AK59" i="4"/>
  <c r="AK71" i="4"/>
  <c r="AK116" i="4"/>
  <c r="AK169" i="4"/>
  <c r="AK73" i="4"/>
  <c r="AK220" i="4"/>
  <c r="AK223" i="4"/>
  <c r="AK224" i="4"/>
  <c r="AK225" i="4"/>
  <c r="AK115" i="4"/>
  <c r="AK283" i="4"/>
  <c r="AK95" i="4"/>
  <c r="AK21" i="4"/>
  <c r="AK22" i="4"/>
  <c r="AK26" i="4"/>
  <c r="AK28" i="4"/>
  <c r="AK30" i="4"/>
  <c r="AK31" i="4"/>
  <c r="AK32" i="4"/>
  <c r="AK33" i="4"/>
  <c r="AK39" i="4"/>
  <c r="AK34" i="4"/>
  <c r="AK155" i="4"/>
  <c r="AK236" i="4"/>
  <c r="AK172" i="4"/>
  <c r="AK173" i="4"/>
  <c r="AK58" i="4"/>
  <c r="AK85" i="4"/>
  <c r="AK12" i="4"/>
  <c r="AK126" i="4"/>
  <c r="AK284" i="4"/>
  <c r="AK235" i="4"/>
  <c r="AK47" i="4"/>
  <c r="AK4" i="4"/>
  <c r="AK60" i="4"/>
  <c r="AK61" i="4"/>
  <c r="AK217" i="4"/>
  <c r="AK232" i="4"/>
  <c r="AK148" i="4"/>
  <c r="AK281" i="4"/>
  <c r="AK37" i="4"/>
  <c r="AK142" i="4"/>
  <c r="AK222" i="4"/>
  <c r="AK199" i="4"/>
  <c r="AK310" i="4"/>
  <c r="AK308" i="4"/>
  <c r="AK309" i="4"/>
  <c r="AK311" i="4"/>
  <c r="AK312" i="4"/>
  <c r="AK306" i="4"/>
  <c r="AK307" i="4"/>
  <c r="AK305" i="4"/>
  <c r="AK304" i="4"/>
  <c r="AK318" i="4"/>
  <c r="AK314" i="4"/>
  <c r="AK313" i="4"/>
  <c r="AK315" i="4"/>
  <c r="AK316" i="4"/>
  <c r="AK317" i="4"/>
  <c r="AK319" i="4"/>
  <c r="AK323" i="4"/>
  <c r="AK349" i="4"/>
  <c r="AK341" i="4"/>
  <c r="AK335" i="4"/>
  <c r="AK333" i="4"/>
  <c r="AK334" i="4"/>
  <c r="AK346" i="4"/>
  <c r="AK345" i="4"/>
  <c r="AK342" i="4"/>
  <c r="AK340" i="4"/>
  <c r="AK343" i="4"/>
  <c r="AK322" i="4"/>
  <c r="AK324" i="4"/>
  <c r="AK325" i="4"/>
  <c r="AK326" i="4"/>
  <c r="AK328" i="4"/>
  <c r="AK329" i="4"/>
  <c r="AK330" i="4"/>
  <c r="AK331" i="4"/>
  <c r="AK344" i="4"/>
  <c r="AK332" i="4"/>
  <c r="AK350" i="4"/>
  <c r="AK348" i="4"/>
  <c r="AK347" i="4"/>
  <c r="AK351" i="4"/>
  <c r="AK320" i="4"/>
  <c r="AK321" i="4"/>
  <c r="AK339" i="4"/>
  <c r="AK352" i="4"/>
  <c r="AK338" i="4"/>
  <c r="AK336" i="4"/>
  <c r="AK337" i="4"/>
  <c r="AK327" i="4"/>
  <c r="AK360" i="4"/>
  <c r="AK364" i="4"/>
  <c r="AK359" i="4"/>
  <c r="AK353" i="4"/>
  <c r="AK369" i="4"/>
  <c r="AK370" i="4"/>
  <c r="AK371" i="4"/>
  <c r="AK372" i="4"/>
  <c r="AK361" i="4"/>
  <c r="AK362" i="4"/>
  <c r="AK373" i="4"/>
  <c r="AK374" i="4"/>
  <c r="AK368" i="4"/>
  <c r="AK354" i="4"/>
  <c r="AK355" i="4"/>
  <c r="AK363" i="4"/>
  <c r="AK365" i="4"/>
  <c r="AK366" i="4"/>
  <c r="AK367" i="4"/>
  <c r="AK357" i="4"/>
  <c r="AK356" i="4"/>
  <c r="AK358" i="4"/>
  <c r="AK380" i="4"/>
  <c r="AK375" i="4"/>
  <c r="AK387" i="4"/>
  <c r="AK379" i="4"/>
  <c r="AK385" i="4"/>
  <c r="AK386" i="4"/>
  <c r="AK381" i="4"/>
  <c r="AK376" i="4"/>
  <c r="AK377" i="4"/>
  <c r="AK378" i="4"/>
  <c r="AK383" i="4"/>
  <c r="AK392" i="4"/>
  <c r="AK388" i="4"/>
  <c r="AK391" i="4"/>
  <c r="AK389" i="4"/>
  <c r="AK390" i="4"/>
  <c r="AK401" i="4"/>
  <c r="AK393" i="4"/>
  <c r="AK407" i="4"/>
  <c r="AK406" i="4"/>
  <c r="AK408" i="4"/>
  <c r="AK409" i="4"/>
  <c r="AK410" i="4"/>
  <c r="AK412" i="4"/>
  <c r="AK394" i="4"/>
  <c r="AK405" i="4"/>
  <c r="AK396" i="4"/>
  <c r="AK397" i="4"/>
  <c r="AK398" i="4"/>
  <c r="AK399" i="4"/>
  <c r="AK417" i="4"/>
  <c r="AK411" i="4"/>
  <c r="AK400" i="4"/>
  <c r="AK402" i="4"/>
  <c r="AK403" i="4"/>
  <c r="AK413" i="4"/>
  <c r="AK404" i="4"/>
  <c r="AK395" i="4"/>
  <c r="AK414" i="4"/>
  <c r="AK415" i="4"/>
  <c r="AK416" i="4"/>
  <c r="AK36" i="4"/>
  <c r="B7" i="3"/>
  <c r="C7" i="3"/>
  <c r="AI33" i="4"/>
  <c r="U33" i="4" a="1"/>
  <c r="U33" i="4"/>
  <c r="AD94" i="5"/>
  <c r="T33" i="4" a="1"/>
  <c r="T33" i="4"/>
  <c r="AC94" i="5"/>
  <c r="E7" i="3"/>
  <c r="AA56" i="2"/>
  <c r="AB56" i="2"/>
  <c r="D74" i="4"/>
  <c r="E20" i="5"/>
  <c r="AC56" i="2"/>
  <c r="AD56" i="2"/>
  <c r="AE56" i="2"/>
  <c r="H74" i="4"/>
  <c r="K20" i="5"/>
  <c r="L78" i="5"/>
  <c r="AF56" i="2"/>
  <c r="AG56" i="2"/>
  <c r="AH56" i="2"/>
  <c r="AI56" i="2"/>
  <c r="AJ56" i="2"/>
  <c r="N78" i="5"/>
  <c r="O78" i="5"/>
  <c r="AK56" i="2"/>
  <c r="M74" i="4"/>
  <c r="R20" i="5"/>
  <c r="L74" i="4"/>
  <c r="Q20" i="5"/>
  <c r="AL56" i="2"/>
  <c r="AM56" i="2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480" i="1"/>
  <c r="BA480" i="1"/>
  <c r="BB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BC480" i="1"/>
  <c r="CT480" i="1"/>
  <c r="AZ479" i="1"/>
  <c r="BA479" i="1"/>
  <c r="BB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BC479" i="1"/>
  <c r="CT479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B354" i="4"/>
  <c r="S354" i="4"/>
  <c r="AZ466" i="1"/>
  <c r="BA466" i="1"/>
  <c r="BB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BC466" i="1"/>
  <c r="CT466" i="1"/>
  <c r="AZ465" i="1"/>
  <c r="BA465" i="1"/>
  <c r="BB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BC465" i="1"/>
  <c r="CT465" i="1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BC444" i="1"/>
  <c r="CT444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43" i="4"/>
  <c r="H243" i="4"/>
  <c r="B250" i="4"/>
  <c r="S250" i="4"/>
  <c r="B272" i="4"/>
  <c r="N272" i="4"/>
  <c r="N231" i="4"/>
  <c r="B251" i="4"/>
  <c r="N251" i="4"/>
  <c r="AA9" i="2"/>
  <c r="AB9" i="2"/>
  <c r="B249" i="4"/>
  <c r="D249" i="4"/>
  <c r="E44" i="5"/>
  <c r="D250" i="4"/>
  <c r="E45" i="5"/>
  <c r="F45" i="5"/>
  <c r="AC9" i="2"/>
  <c r="H45" i="5"/>
  <c r="I45" i="5"/>
  <c r="AD9" i="2"/>
  <c r="AE9" i="2"/>
  <c r="H249" i="4"/>
  <c r="K44" i="5"/>
  <c r="H250" i="4"/>
  <c r="K45" i="5"/>
  <c r="L45" i="5"/>
  <c r="AF9" i="2"/>
  <c r="AG9" i="2"/>
  <c r="AH9" i="2"/>
  <c r="AI9" i="2"/>
  <c r="AJ9" i="2"/>
  <c r="N45" i="5"/>
  <c r="O45" i="5"/>
  <c r="AK9" i="2"/>
  <c r="M249" i="4"/>
  <c r="R44" i="5"/>
  <c r="L249" i="4"/>
  <c r="Q44" i="5"/>
  <c r="M250" i="4"/>
  <c r="R45" i="5"/>
  <c r="L250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B125" i="4"/>
  <c r="S125" i="4"/>
  <c r="B108" i="4"/>
  <c r="S108" i="4"/>
  <c r="B109" i="4"/>
  <c r="S109" i="4"/>
  <c r="B110" i="4"/>
  <c r="S110" i="4"/>
  <c r="B99" i="4"/>
  <c r="S99" i="4"/>
  <c r="B100" i="4"/>
  <c r="S100" i="4"/>
  <c r="S101" i="4"/>
  <c r="B96" i="4"/>
  <c r="S96" i="4"/>
  <c r="B97" i="4"/>
  <c r="S97" i="4"/>
  <c r="B98" i="4"/>
  <c r="S98" i="4"/>
  <c r="S251" i="4"/>
  <c r="B93" i="4"/>
  <c r="S93" i="4"/>
  <c r="B91" i="4"/>
  <c r="S91" i="4"/>
  <c r="N125" i="4"/>
  <c r="AA4" i="2"/>
  <c r="AB4" i="2"/>
  <c r="B253" i="4"/>
  <c r="D253" i="4"/>
  <c r="E264" i="5"/>
  <c r="D125" i="4"/>
  <c r="E255" i="5"/>
  <c r="F255" i="5"/>
  <c r="AC4" i="2"/>
  <c r="H255" i="5"/>
  <c r="I255" i="5"/>
  <c r="AD4" i="2"/>
  <c r="AE4" i="2"/>
  <c r="H253" i="4"/>
  <c r="K264" i="5"/>
  <c r="H125" i="4"/>
  <c r="K255" i="5"/>
  <c r="L255" i="5"/>
  <c r="AF4" i="2"/>
  <c r="AG4" i="2"/>
  <c r="AH4" i="2"/>
  <c r="AI4" i="2"/>
  <c r="AJ4" i="2"/>
  <c r="N255" i="5"/>
  <c r="O255" i="5"/>
  <c r="AK4" i="2"/>
  <c r="M253" i="4"/>
  <c r="R264" i="5"/>
  <c r="L253" i="4"/>
  <c r="Q264" i="5"/>
  <c r="M125" i="4"/>
  <c r="R255" i="5"/>
  <c r="L125" i="4"/>
  <c r="Q255" i="5"/>
  <c r="AL4" i="2"/>
  <c r="AM4" i="2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437" i="1"/>
  <c r="BA437" i="1"/>
  <c r="BB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BC437" i="1"/>
  <c r="CT437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116" i="4"/>
  <c r="M116" i="4"/>
  <c r="B41" i="4"/>
  <c r="M41" i="4"/>
  <c r="B115" i="4"/>
  <c r="N115" i="4"/>
  <c r="N41" i="4"/>
  <c r="B23" i="4"/>
  <c r="N23" i="4"/>
  <c r="B42" i="4"/>
  <c r="N42" i="4"/>
  <c r="B24" i="4"/>
  <c r="N24" i="4"/>
  <c r="B25" i="4"/>
  <c r="N25" i="4"/>
  <c r="B113" i="4"/>
  <c r="N113" i="4"/>
  <c r="B214" i="4"/>
  <c r="N214" i="4"/>
  <c r="B114" i="4"/>
  <c r="N114" i="4"/>
  <c r="N132" i="4"/>
  <c r="B133" i="4"/>
  <c r="N133" i="4"/>
  <c r="B150" i="4"/>
  <c r="N150" i="4"/>
  <c r="N159" i="4"/>
  <c r="B268" i="4"/>
  <c r="N268" i="4"/>
  <c r="N270" i="4"/>
  <c r="B271" i="4"/>
  <c r="N271" i="4"/>
  <c r="B215" i="4"/>
  <c r="N215" i="4"/>
  <c r="B218" i="4"/>
  <c r="N218" i="4"/>
  <c r="B219" i="4"/>
  <c r="N219" i="4"/>
  <c r="N233" i="4"/>
  <c r="B20" i="4"/>
  <c r="N20" i="4"/>
  <c r="B112" i="4"/>
  <c r="N112" i="4"/>
  <c r="O219" i="4"/>
  <c r="O74" i="4"/>
  <c r="O20" i="4"/>
  <c r="N74" i="4"/>
  <c r="B141" i="6"/>
  <c r="C141" i="6"/>
  <c r="D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B20" i="5"/>
  <c r="C73" i="4"/>
  <c r="C74" i="4"/>
  <c r="C20" i="5"/>
  <c r="D73" i="4"/>
  <c r="F20" i="5"/>
  <c r="H20" i="5"/>
  <c r="I20" i="5"/>
  <c r="H73" i="4"/>
  <c r="L20" i="5"/>
  <c r="N20" i="5"/>
  <c r="O20" i="5"/>
  <c r="L73" i="4"/>
  <c r="M73" i="4"/>
  <c r="N73" i="4"/>
  <c r="T20" i="5"/>
  <c r="O73" i="4"/>
  <c r="U20" i="5"/>
  <c r="P73" i="4"/>
  <c r="P74" i="4"/>
  <c r="W20" i="5"/>
  <c r="Q73" i="4"/>
  <c r="Q74" i="4"/>
  <c r="X20" i="5"/>
  <c r="R73" i="4"/>
  <c r="R74" i="4"/>
  <c r="Z20" i="5"/>
  <c r="S73" i="4"/>
  <c r="S74" i="4"/>
  <c r="AA20" i="5"/>
  <c r="AI73" i="4"/>
  <c r="T73" i="4" a="1"/>
  <c r="T73" i="4"/>
  <c r="AI74" i="4"/>
  <c r="T74" i="4" a="1"/>
  <c r="T74" i="4"/>
  <c r="AC20" i="5"/>
  <c r="U73" i="4" a="1"/>
  <c r="U73" i="4"/>
  <c r="U74" i="4" a="1"/>
  <c r="U74" i="4"/>
  <c r="AD20" i="5"/>
  <c r="AF20" i="5"/>
  <c r="AG20" i="5"/>
  <c r="X74" i="4"/>
  <c r="AI20" i="5"/>
  <c r="Y73" i="4"/>
  <c r="Y74" i="4"/>
  <c r="AJ20" i="5"/>
  <c r="Z73" i="4"/>
  <c r="Z7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74" i="4"/>
  <c r="F74" i="4"/>
  <c r="I74" i="4"/>
  <c r="J74" i="4"/>
  <c r="K74" i="4"/>
  <c r="AA74" i="4"/>
  <c r="AC74" i="4"/>
  <c r="AD74" i="4"/>
  <c r="AE74" i="4"/>
  <c r="AF74" i="4"/>
  <c r="AG74" i="4"/>
  <c r="AH74" i="4"/>
  <c r="AJ74" i="4"/>
  <c r="AL74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BC400" i="1"/>
  <c r="CT400" i="1"/>
  <c r="D349" i="9"/>
  <c r="E349" i="9"/>
  <c r="F349" i="9"/>
  <c r="G349" i="9"/>
  <c r="C125" i="7"/>
  <c r="D125" i="7"/>
  <c r="E125" i="7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BC401" i="1"/>
  <c r="CT401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B75" i="4"/>
  <c r="X75" i="4"/>
  <c r="N75" i="4"/>
  <c r="B259" i="4"/>
  <c r="X259" i="4"/>
  <c r="B208" i="4"/>
  <c r="N208" i="4"/>
  <c r="B209" i="4"/>
  <c r="N209" i="4"/>
  <c r="B206" i="4"/>
  <c r="N206" i="4"/>
  <c r="B207" i="4"/>
  <c r="N207" i="4"/>
  <c r="B55" i="4"/>
  <c r="O55" i="4"/>
  <c r="B56" i="4"/>
  <c r="O56" i="4"/>
  <c r="B54" i="4"/>
  <c r="O54" i="4"/>
  <c r="N54" i="4"/>
  <c r="B358" i="4"/>
  <c r="Y358" i="4"/>
  <c r="AJ361" i="5"/>
  <c r="Q246" i="4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V253" i="4"/>
  <c r="E254" i="4"/>
  <c r="F254" i="4"/>
  <c r="I254" i="4"/>
  <c r="J254" i="4"/>
  <c r="R254" i="4"/>
  <c r="AA254" i="4"/>
  <c r="AC254" i="4"/>
  <c r="AD254" i="4"/>
  <c r="AE254" i="4"/>
  <c r="AF254" i="4"/>
  <c r="AG254" i="4"/>
  <c r="AH254" i="4"/>
  <c r="AJ254" i="4"/>
  <c r="AL254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L19" i="5"/>
  <c r="N19" i="5"/>
  <c r="L19" i="5"/>
  <c r="B19" i="5"/>
  <c r="C56" i="4"/>
  <c r="C19" i="5"/>
  <c r="D56" i="4"/>
  <c r="F19" i="5"/>
  <c r="H19" i="5"/>
  <c r="I19" i="5"/>
  <c r="H56" i="4"/>
  <c r="O19" i="5"/>
  <c r="L56" i="4"/>
  <c r="M56" i="4"/>
  <c r="T19" i="5"/>
  <c r="U19" i="5"/>
  <c r="P56" i="4"/>
  <c r="W19" i="5"/>
  <c r="Q56" i="4"/>
  <c r="X19" i="5"/>
  <c r="R56" i="4"/>
  <c r="Z19" i="5"/>
  <c r="S56" i="4"/>
  <c r="AA19" i="5"/>
  <c r="AI56" i="4"/>
  <c r="T56" i="4" a="1"/>
  <c r="T56" i="4"/>
  <c r="AC19" i="5"/>
  <c r="U56" i="4" a="1"/>
  <c r="U56" i="4"/>
  <c r="AD19" i="5"/>
  <c r="AF19" i="5"/>
  <c r="AG19" i="5"/>
  <c r="X56" i="4"/>
  <c r="AI19" i="5"/>
  <c r="Y56" i="4"/>
  <c r="AJ19" i="5"/>
  <c r="Z5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73" i="4"/>
  <c r="F73" i="4"/>
  <c r="I73" i="4"/>
  <c r="J73" i="4"/>
  <c r="K73" i="4"/>
  <c r="AA73" i="4"/>
  <c r="AC73" i="4"/>
  <c r="AD73" i="4"/>
  <c r="AE73" i="4"/>
  <c r="AF73" i="4"/>
  <c r="AG73" i="4"/>
  <c r="AH73" i="4"/>
  <c r="AJ73" i="4"/>
  <c r="AL73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D348" i="9"/>
  <c r="E348" i="9"/>
  <c r="F348" i="9"/>
  <c r="G348" i="9"/>
  <c r="C123" i="7"/>
  <c r="E123" i="7"/>
  <c r="D123" i="7"/>
  <c r="AG3" i="5"/>
  <c r="AF3" i="5"/>
  <c r="B152" i="4"/>
  <c r="C152" i="4"/>
  <c r="C3" i="5"/>
  <c r="D152" i="4"/>
  <c r="E3" i="5"/>
  <c r="H152" i="4"/>
  <c r="K3" i="5"/>
  <c r="L152" i="4"/>
  <c r="Q3" i="5"/>
  <c r="M152" i="4"/>
  <c r="R3" i="5"/>
  <c r="T3" i="5"/>
  <c r="O152" i="4"/>
  <c r="U3" i="5"/>
  <c r="P152" i="4"/>
  <c r="W3" i="5"/>
  <c r="Q152" i="4"/>
  <c r="X3" i="5"/>
  <c r="S152" i="4"/>
  <c r="AA3" i="5"/>
  <c r="AI152" i="4"/>
  <c r="T152" i="4" a="1"/>
  <c r="T152" i="4"/>
  <c r="AC3" i="5"/>
  <c r="U152" i="4" a="1"/>
  <c r="U152" i="4"/>
  <c r="AD3" i="5"/>
  <c r="X152" i="4"/>
  <c r="AI3" i="5"/>
  <c r="Y152" i="4"/>
  <c r="AJ3" i="5"/>
  <c r="Z152" i="4"/>
  <c r="AL3" i="5"/>
  <c r="F3" i="5"/>
  <c r="L3" i="5"/>
  <c r="N3" i="5"/>
  <c r="O3" i="5"/>
  <c r="H3" i="5"/>
  <c r="I3" i="5"/>
  <c r="Z3" i="5"/>
  <c r="AN3" i="5"/>
  <c r="O4" i="5"/>
  <c r="H154" i="4"/>
  <c r="K4" i="5"/>
  <c r="AG4" i="5"/>
  <c r="AF4" i="5"/>
  <c r="C154" i="4"/>
  <c r="C4" i="5"/>
  <c r="I154" i="4"/>
  <c r="L4" i="5"/>
  <c r="J154" i="4"/>
  <c r="N4" i="5"/>
  <c r="L154" i="4"/>
  <c r="Q4" i="5"/>
  <c r="M154" i="4"/>
  <c r="R4" i="5"/>
  <c r="T4" i="5"/>
  <c r="O154" i="4"/>
  <c r="U4" i="5"/>
  <c r="W4" i="5"/>
  <c r="Q154" i="4"/>
  <c r="X4" i="5"/>
  <c r="AA4" i="5"/>
  <c r="AI154" i="4"/>
  <c r="T154" i="4" a="1"/>
  <c r="T154" i="4"/>
  <c r="AC4" i="5"/>
  <c r="U154" i="4" a="1"/>
  <c r="U154" i="4"/>
  <c r="AD4" i="5"/>
  <c r="X154" i="4"/>
  <c r="AI4" i="5"/>
  <c r="Y154" i="4"/>
  <c r="AJ4" i="5"/>
  <c r="Z154" i="4"/>
  <c r="AL4" i="5"/>
  <c r="F4" i="5"/>
  <c r="H4" i="5"/>
  <c r="I4" i="5"/>
  <c r="Z4" i="5"/>
  <c r="AN4" i="5"/>
  <c r="AG5" i="5"/>
  <c r="AF5" i="5"/>
  <c r="C194" i="4"/>
  <c r="C5" i="5"/>
  <c r="D194" i="4"/>
  <c r="E5" i="5"/>
  <c r="E194" i="4"/>
  <c r="F5" i="5"/>
  <c r="F194" i="4"/>
  <c r="H5" i="5"/>
  <c r="I5" i="5"/>
  <c r="H194" i="4"/>
  <c r="K5" i="5"/>
  <c r="L194" i="4"/>
  <c r="Q5" i="5"/>
  <c r="M194" i="4"/>
  <c r="R5" i="5"/>
  <c r="T5" i="5"/>
  <c r="U5" i="5"/>
  <c r="P194" i="4"/>
  <c r="W5" i="5"/>
  <c r="Q194" i="4"/>
  <c r="X5" i="5"/>
  <c r="S194" i="4"/>
  <c r="AA5" i="5"/>
  <c r="AI194" i="4"/>
  <c r="T194" i="4" a="1"/>
  <c r="T194" i="4"/>
  <c r="AC5" i="5"/>
  <c r="U194" i="4" a="1"/>
  <c r="U194" i="4"/>
  <c r="AD5" i="5"/>
  <c r="X194" i="4"/>
  <c r="AI5" i="5"/>
  <c r="Y194" i="4"/>
  <c r="AJ5" i="5"/>
  <c r="Z194" i="4"/>
  <c r="AL5" i="5"/>
  <c r="L5" i="5"/>
  <c r="N5" i="5"/>
  <c r="O5" i="5"/>
  <c r="Z5" i="5"/>
  <c r="AN5" i="5"/>
  <c r="AG6" i="5"/>
  <c r="AF6" i="5"/>
  <c r="C212" i="4"/>
  <c r="C6" i="5"/>
  <c r="D212" i="4"/>
  <c r="E6" i="5"/>
  <c r="H212" i="4"/>
  <c r="K6" i="5"/>
  <c r="L212" i="4"/>
  <c r="Q6" i="5"/>
  <c r="M212" i="4"/>
  <c r="R6" i="5"/>
  <c r="T6" i="5"/>
  <c r="O212" i="4"/>
  <c r="U6" i="5"/>
  <c r="P212" i="4"/>
  <c r="W6" i="5"/>
  <c r="Q212" i="4"/>
  <c r="X6" i="5"/>
  <c r="S212" i="4"/>
  <c r="AA6" i="5"/>
  <c r="AD6" i="5"/>
  <c r="X212" i="4"/>
  <c r="AI6" i="5"/>
  <c r="Y212" i="4"/>
  <c r="AJ6" i="5"/>
  <c r="Z212" i="4"/>
  <c r="AL6" i="5"/>
  <c r="F6" i="5"/>
  <c r="H6" i="5"/>
  <c r="I6" i="5"/>
  <c r="L6" i="5"/>
  <c r="N6" i="5"/>
  <c r="O6" i="5"/>
  <c r="Z6" i="5"/>
  <c r="AN6" i="5"/>
  <c r="AG7" i="5"/>
  <c r="AF7" i="5"/>
  <c r="C213" i="4"/>
  <c r="C7" i="5"/>
  <c r="D213" i="4"/>
  <c r="E7" i="5"/>
  <c r="H213" i="4"/>
  <c r="K7" i="5"/>
  <c r="L213" i="4"/>
  <c r="Q7" i="5"/>
  <c r="M213" i="4"/>
  <c r="R7" i="5"/>
  <c r="T7" i="5"/>
  <c r="O213" i="4"/>
  <c r="U7" i="5"/>
  <c r="P213" i="4"/>
  <c r="W7" i="5"/>
  <c r="Q213" i="4"/>
  <c r="X7" i="5"/>
  <c r="S213" i="4"/>
  <c r="AA7" i="5"/>
  <c r="AD7" i="5"/>
  <c r="X213" i="4"/>
  <c r="AI7" i="5"/>
  <c r="Y213" i="4"/>
  <c r="AJ7" i="5"/>
  <c r="Z213" i="4"/>
  <c r="AL7" i="5"/>
  <c r="F7" i="5"/>
  <c r="H7" i="5"/>
  <c r="I7" i="5"/>
  <c r="L7" i="5"/>
  <c r="N7" i="5"/>
  <c r="O7" i="5"/>
  <c r="Z7" i="5"/>
  <c r="AN7" i="5"/>
  <c r="AG8" i="5"/>
  <c r="AF8" i="5"/>
  <c r="C265" i="4"/>
  <c r="C8" i="5"/>
  <c r="D265" i="4"/>
  <c r="E8" i="5"/>
  <c r="H265" i="4"/>
  <c r="K8" i="5"/>
  <c r="L265" i="4"/>
  <c r="Q8" i="5"/>
  <c r="M265" i="4"/>
  <c r="R8" i="5"/>
  <c r="T8" i="5"/>
  <c r="O265" i="4"/>
  <c r="U8" i="5"/>
  <c r="P265" i="4"/>
  <c r="W8" i="5"/>
  <c r="Q265" i="4"/>
  <c r="X8" i="5"/>
  <c r="S265" i="4"/>
  <c r="AA8" i="5"/>
  <c r="AI265" i="4"/>
  <c r="T265" i="4" a="1"/>
  <c r="T265" i="4"/>
  <c r="AC8" i="5"/>
  <c r="U265" i="4" a="1"/>
  <c r="U265" i="4"/>
  <c r="AD8" i="5"/>
  <c r="X265" i="4"/>
  <c r="AI8" i="5"/>
  <c r="Y265" i="4"/>
  <c r="AJ8" i="5"/>
  <c r="Z265" i="4"/>
  <c r="AL8" i="5"/>
  <c r="F8" i="5"/>
  <c r="H8" i="5"/>
  <c r="I8" i="5"/>
  <c r="L8" i="5"/>
  <c r="N8" i="5"/>
  <c r="O8" i="5"/>
  <c r="Z8" i="5"/>
  <c r="AN8" i="5"/>
  <c r="AG9" i="5"/>
  <c r="AF9" i="5"/>
  <c r="C113" i="4"/>
  <c r="C9" i="5"/>
  <c r="D113" i="4"/>
  <c r="E9" i="5"/>
  <c r="E113" i="4"/>
  <c r="F9" i="5"/>
  <c r="F113" i="4"/>
  <c r="H9" i="5"/>
  <c r="I9" i="5"/>
  <c r="H113" i="4"/>
  <c r="K9" i="5"/>
  <c r="L113" i="4"/>
  <c r="Q9" i="5"/>
  <c r="M113" i="4"/>
  <c r="R9" i="5"/>
  <c r="T9" i="5"/>
  <c r="O113" i="4"/>
  <c r="U9" i="5"/>
  <c r="P113" i="4"/>
  <c r="W9" i="5"/>
  <c r="Q113" i="4"/>
  <c r="X9" i="5"/>
  <c r="S113" i="4"/>
  <c r="AA9" i="5"/>
  <c r="AI113" i="4"/>
  <c r="T113" i="4" a="1"/>
  <c r="T113" i="4"/>
  <c r="AC9" i="5"/>
  <c r="U113" i="4" a="1"/>
  <c r="U113" i="4"/>
  <c r="AD9" i="5"/>
  <c r="X113" i="4"/>
  <c r="AI9" i="5"/>
  <c r="Y113" i="4"/>
  <c r="AJ9" i="5"/>
  <c r="Z113" i="4"/>
  <c r="AL9" i="5"/>
  <c r="L9" i="5"/>
  <c r="N9" i="5"/>
  <c r="O9" i="5"/>
  <c r="Z9" i="5"/>
  <c r="AN9" i="5"/>
  <c r="AG10" i="5"/>
  <c r="AF10" i="5"/>
  <c r="B30" i="4"/>
  <c r="C30" i="4"/>
  <c r="C10" i="5"/>
  <c r="D30" i="4"/>
  <c r="E10" i="5"/>
  <c r="K10" i="5"/>
  <c r="L30" i="4"/>
  <c r="Q10" i="5"/>
  <c r="M30" i="4"/>
  <c r="R10" i="5"/>
  <c r="T10" i="5"/>
  <c r="O30" i="4"/>
  <c r="U10" i="5"/>
  <c r="P30" i="4"/>
  <c r="W10" i="5"/>
  <c r="Q30" i="4"/>
  <c r="X10" i="5"/>
  <c r="S30" i="4"/>
  <c r="AA10" i="5"/>
  <c r="AI30" i="4"/>
  <c r="T30" i="4" a="1"/>
  <c r="T30" i="4"/>
  <c r="AC10" i="5"/>
  <c r="U30" i="4" a="1"/>
  <c r="U30" i="4"/>
  <c r="AD10" i="5"/>
  <c r="X30" i="4"/>
  <c r="AI10" i="5"/>
  <c r="Y30" i="4"/>
  <c r="AJ10" i="5"/>
  <c r="Z30" i="4"/>
  <c r="AL10" i="5"/>
  <c r="F10" i="5"/>
  <c r="H10" i="5"/>
  <c r="I10" i="5"/>
  <c r="L10" i="5"/>
  <c r="N10" i="5"/>
  <c r="O10" i="5"/>
  <c r="Z10" i="5"/>
  <c r="AN10" i="5"/>
  <c r="AG11" i="5"/>
  <c r="AF11" i="5"/>
  <c r="B31" i="4"/>
  <c r="C31" i="4"/>
  <c r="C11" i="5"/>
  <c r="D31" i="4"/>
  <c r="E11" i="5"/>
  <c r="K11" i="5"/>
  <c r="L31" i="4"/>
  <c r="Q11" i="5"/>
  <c r="M31" i="4"/>
  <c r="R11" i="5"/>
  <c r="T11" i="5"/>
  <c r="U11" i="5"/>
  <c r="P31" i="4"/>
  <c r="W11" i="5"/>
  <c r="Q31" i="4"/>
  <c r="X11" i="5"/>
  <c r="S31" i="4"/>
  <c r="AA11" i="5"/>
  <c r="AI31" i="4"/>
  <c r="T31" i="4" a="1"/>
  <c r="T31" i="4"/>
  <c r="AC11" i="5"/>
  <c r="U31" i="4" a="1"/>
  <c r="U31" i="4"/>
  <c r="AD11" i="5"/>
  <c r="X31" i="4"/>
  <c r="AI11" i="5"/>
  <c r="Y31" i="4"/>
  <c r="AJ11" i="5"/>
  <c r="Z31" i="4"/>
  <c r="AL11" i="5"/>
  <c r="F11" i="5"/>
  <c r="H11" i="5"/>
  <c r="I11" i="5"/>
  <c r="L11" i="5"/>
  <c r="N11" i="5"/>
  <c r="O11" i="5"/>
  <c r="Z11" i="5"/>
  <c r="AN11" i="5"/>
  <c r="S256" i="4"/>
  <c r="AA12" i="5"/>
  <c r="P256" i="4"/>
  <c r="W12" i="5"/>
  <c r="O12" i="5"/>
  <c r="K12" i="5"/>
  <c r="AG12" i="5"/>
  <c r="AF12" i="5"/>
  <c r="C256" i="4"/>
  <c r="C12" i="5"/>
  <c r="D256" i="4"/>
  <c r="E12" i="5"/>
  <c r="E256" i="4"/>
  <c r="F12" i="5"/>
  <c r="F256" i="4"/>
  <c r="H12" i="5"/>
  <c r="I12" i="5"/>
  <c r="L256" i="4"/>
  <c r="Q12" i="5"/>
  <c r="M256" i="4"/>
  <c r="R12" i="5"/>
  <c r="T12" i="5"/>
  <c r="O256" i="4"/>
  <c r="U12" i="5"/>
  <c r="Q256" i="4"/>
  <c r="X12" i="5"/>
  <c r="R256" i="4"/>
  <c r="Z12" i="5"/>
  <c r="AI256" i="4"/>
  <c r="T256" i="4" a="1"/>
  <c r="T256" i="4"/>
  <c r="AC12" i="5"/>
  <c r="U256" i="4" a="1"/>
  <c r="U256" i="4"/>
  <c r="AD12" i="5"/>
  <c r="X256" i="4"/>
  <c r="AI12" i="5"/>
  <c r="Y256" i="4"/>
  <c r="AJ12" i="5"/>
  <c r="Z256" i="4"/>
  <c r="AL12" i="5"/>
  <c r="AN12" i="5"/>
  <c r="S257" i="4"/>
  <c r="AA13" i="5"/>
  <c r="P257" i="4"/>
  <c r="W13" i="5"/>
  <c r="O13" i="5"/>
  <c r="K13" i="5"/>
  <c r="AG13" i="5"/>
  <c r="AF13" i="5"/>
  <c r="C257" i="4"/>
  <c r="C13" i="5"/>
  <c r="D257" i="4"/>
  <c r="E13" i="5"/>
  <c r="E257" i="4"/>
  <c r="F13" i="5"/>
  <c r="F257" i="4"/>
  <c r="H13" i="5"/>
  <c r="I13" i="5"/>
  <c r="I257" i="4"/>
  <c r="L13" i="5"/>
  <c r="J257" i="4"/>
  <c r="N13" i="5"/>
  <c r="L257" i="4"/>
  <c r="Q13" i="5"/>
  <c r="M257" i="4"/>
  <c r="R13" i="5"/>
  <c r="T13" i="5"/>
  <c r="U13" i="5"/>
  <c r="Q257" i="4"/>
  <c r="X13" i="5"/>
  <c r="R257" i="4"/>
  <c r="Z13" i="5"/>
  <c r="AI257" i="4"/>
  <c r="T257" i="4" a="1"/>
  <c r="T257" i="4"/>
  <c r="AC13" i="5"/>
  <c r="U257" i="4" a="1"/>
  <c r="U257" i="4"/>
  <c r="AD13" i="5"/>
  <c r="X257" i="4"/>
  <c r="AI13" i="5"/>
  <c r="Y257" i="4"/>
  <c r="AJ13" i="5"/>
  <c r="Z257" i="4"/>
  <c r="AL13" i="5"/>
  <c r="AN13" i="5"/>
  <c r="AG14" i="5"/>
  <c r="AF14" i="5"/>
  <c r="B143" i="4"/>
  <c r="C143" i="4"/>
  <c r="C14" i="5"/>
  <c r="D143" i="4"/>
  <c r="E14" i="5"/>
  <c r="E143" i="4"/>
  <c r="F14" i="5"/>
  <c r="F143" i="4"/>
  <c r="H14" i="5"/>
  <c r="I14" i="5"/>
  <c r="H143" i="4"/>
  <c r="K14" i="5"/>
  <c r="L143" i="4"/>
  <c r="Q14" i="5"/>
  <c r="M143" i="4"/>
  <c r="R14" i="5"/>
  <c r="T14" i="5"/>
  <c r="O143" i="4"/>
  <c r="U14" i="5"/>
  <c r="P143" i="4"/>
  <c r="W14" i="5"/>
  <c r="Q143" i="4"/>
  <c r="X14" i="5"/>
  <c r="S143" i="4"/>
  <c r="AA14" i="5"/>
  <c r="AI143" i="4"/>
  <c r="T143" i="4" a="1"/>
  <c r="T143" i="4"/>
  <c r="AC14" i="5"/>
  <c r="U143" i="4" a="1"/>
  <c r="U143" i="4"/>
  <c r="AD14" i="5"/>
  <c r="X143" i="4"/>
  <c r="AI14" i="5"/>
  <c r="Y143" i="4"/>
  <c r="AJ14" i="5"/>
  <c r="Z143" i="4"/>
  <c r="AL14" i="5"/>
  <c r="L14" i="5"/>
  <c r="N14" i="5"/>
  <c r="O14" i="5"/>
  <c r="Z14" i="5"/>
  <c r="AN14" i="5"/>
  <c r="AG15" i="5"/>
  <c r="AF15" i="5"/>
  <c r="B50" i="4"/>
  <c r="C50" i="4"/>
  <c r="C15" i="5"/>
  <c r="D50" i="4"/>
  <c r="E15" i="5"/>
  <c r="E50" i="4"/>
  <c r="F15" i="5"/>
  <c r="F50" i="4"/>
  <c r="H15" i="5"/>
  <c r="I15" i="5"/>
  <c r="K15" i="5"/>
  <c r="L50" i="4"/>
  <c r="Q15" i="5"/>
  <c r="M50" i="4"/>
  <c r="R15" i="5"/>
  <c r="T15" i="5"/>
  <c r="O50" i="4"/>
  <c r="U15" i="5"/>
  <c r="P50" i="4"/>
  <c r="W15" i="5"/>
  <c r="Q50" i="4"/>
  <c r="X15" i="5"/>
  <c r="S50" i="4"/>
  <c r="AA15" i="5"/>
  <c r="AI50" i="4"/>
  <c r="T50" i="4" a="1"/>
  <c r="T50" i="4"/>
  <c r="AC15" i="5"/>
  <c r="U50" i="4" a="1"/>
  <c r="U50" i="4"/>
  <c r="AD15" i="5"/>
  <c r="X50" i="4"/>
  <c r="AI15" i="5"/>
  <c r="Y50" i="4"/>
  <c r="AJ15" i="5"/>
  <c r="Z50" i="4"/>
  <c r="AL15" i="5"/>
  <c r="L15" i="5"/>
  <c r="N15" i="5"/>
  <c r="O15" i="5"/>
  <c r="Z15" i="5"/>
  <c r="AN15" i="5"/>
  <c r="S54" i="4"/>
  <c r="AA16" i="5"/>
  <c r="P54" i="4"/>
  <c r="W16" i="5"/>
  <c r="AG16" i="5"/>
  <c r="AF16" i="5"/>
  <c r="C54" i="4"/>
  <c r="C16" i="5"/>
  <c r="D54" i="4"/>
  <c r="E16" i="5"/>
  <c r="K16" i="5"/>
  <c r="L54" i="4"/>
  <c r="Q16" i="5"/>
  <c r="M54" i="4"/>
  <c r="R16" i="5"/>
  <c r="T16" i="5"/>
  <c r="U16" i="5"/>
  <c r="Q54" i="4"/>
  <c r="X16" i="5"/>
  <c r="R54" i="4"/>
  <c r="Z16" i="5"/>
  <c r="AI54" i="4"/>
  <c r="T54" i="4" a="1"/>
  <c r="T54" i="4"/>
  <c r="AC16" i="5"/>
  <c r="U54" i="4" a="1"/>
  <c r="U54" i="4"/>
  <c r="AD16" i="5"/>
  <c r="X54" i="4"/>
  <c r="AI16" i="5"/>
  <c r="Y54" i="4"/>
  <c r="AJ16" i="5"/>
  <c r="Z54" i="4"/>
  <c r="AL16" i="5"/>
  <c r="L16" i="5"/>
  <c r="N16" i="5"/>
  <c r="O16" i="5"/>
  <c r="F16" i="5"/>
  <c r="H16" i="5"/>
  <c r="I16" i="5"/>
  <c r="AN16" i="5"/>
  <c r="S55" i="4"/>
  <c r="AA17" i="5"/>
  <c r="P55" i="4"/>
  <c r="W17" i="5"/>
  <c r="AG17" i="5"/>
  <c r="AF17" i="5"/>
  <c r="C55" i="4"/>
  <c r="C17" i="5"/>
  <c r="D55" i="4"/>
  <c r="E17" i="5"/>
  <c r="H55" i="4"/>
  <c r="K17" i="5"/>
  <c r="L55" i="4"/>
  <c r="Q17" i="5"/>
  <c r="M55" i="4"/>
  <c r="R17" i="5"/>
  <c r="T17" i="5"/>
  <c r="U17" i="5"/>
  <c r="Q55" i="4"/>
  <c r="X17" i="5"/>
  <c r="R55" i="4"/>
  <c r="Z17" i="5"/>
  <c r="AI55" i="4"/>
  <c r="T55" i="4" a="1"/>
  <c r="T55" i="4"/>
  <c r="AC17" i="5"/>
  <c r="U55" i="4" a="1"/>
  <c r="U55" i="4"/>
  <c r="AD17" i="5"/>
  <c r="X55" i="4"/>
  <c r="AI17" i="5"/>
  <c r="Y55" i="4"/>
  <c r="AJ17" i="5"/>
  <c r="Z5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204" i="4"/>
  <c r="C204" i="4"/>
  <c r="C21" i="5"/>
  <c r="D204" i="4"/>
  <c r="E21" i="5"/>
  <c r="L204" i="4"/>
  <c r="Q21" i="5"/>
  <c r="M204" i="4"/>
  <c r="R21" i="5"/>
  <c r="T21" i="5"/>
  <c r="O204" i="4"/>
  <c r="U21" i="5"/>
  <c r="P204" i="4"/>
  <c r="W21" i="5"/>
  <c r="Q204" i="4"/>
  <c r="X21" i="5"/>
  <c r="S204" i="4"/>
  <c r="AA21" i="5"/>
  <c r="AI204" i="4"/>
  <c r="T204" i="4" a="1"/>
  <c r="T204" i="4"/>
  <c r="AC21" i="5"/>
  <c r="U204" i="4" a="1"/>
  <c r="U204" i="4"/>
  <c r="AD21" i="5"/>
  <c r="X204" i="4"/>
  <c r="AI21" i="5"/>
  <c r="Y204" i="4"/>
  <c r="AJ21" i="5"/>
  <c r="Z204" i="4"/>
  <c r="AL21" i="5"/>
  <c r="L21" i="5"/>
  <c r="N21" i="5"/>
  <c r="O21" i="5"/>
  <c r="F21" i="5"/>
  <c r="H21" i="5"/>
  <c r="I21" i="5"/>
  <c r="Z21" i="5"/>
  <c r="AN21" i="5"/>
  <c r="AG22" i="5"/>
  <c r="AF22" i="5"/>
  <c r="B205" i="4"/>
  <c r="C205" i="4"/>
  <c r="C22" i="5"/>
  <c r="D205" i="4"/>
  <c r="E22" i="5"/>
  <c r="H205" i="4"/>
  <c r="K22" i="5"/>
  <c r="L205" i="4"/>
  <c r="Q22" i="5"/>
  <c r="M205" i="4"/>
  <c r="R22" i="5"/>
  <c r="T22" i="5"/>
  <c r="O205" i="4"/>
  <c r="U22" i="5"/>
  <c r="P205" i="4"/>
  <c r="W22" i="5"/>
  <c r="Q205" i="4"/>
  <c r="X22" i="5"/>
  <c r="S205" i="4"/>
  <c r="AA22" i="5"/>
  <c r="AI205" i="4"/>
  <c r="T205" i="4" a="1"/>
  <c r="T205" i="4"/>
  <c r="AC22" i="5"/>
  <c r="U205" i="4" a="1"/>
  <c r="U205" i="4"/>
  <c r="AD22" i="5"/>
  <c r="X205" i="4"/>
  <c r="AI22" i="5"/>
  <c r="Y205" i="4"/>
  <c r="AJ22" i="5"/>
  <c r="Z205" i="4"/>
  <c r="AL22" i="5"/>
  <c r="L22" i="5"/>
  <c r="N22" i="5"/>
  <c r="O22" i="5"/>
  <c r="F22" i="5"/>
  <c r="H22" i="5"/>
  <c r="I22" i="5"/>
  <c r="Z22" i="5"/>
  <c r="AN22" i="5"/>
  <c r="AG23" i="5"/>
  <c r="AF23" i="5"/>
  <c r="C206" i="4"/>
  <c r="C23" i="5"/>
  <c r="D206" i="4"/>
  <c r="E23" i="5"/>
  <c r="H206" i="4"/>
  <c r="K23" i="5"/>
  <c r="I206" i="4"/>
  <c r="L23" i="5"/>
  <c r="J206" i="4"/>
  <c r="N23" i="5"/>
  <c r="O23" i="5"/>
  <c r="L206" i="4"/>
  <c r="Q23" i="5"/>
  <c r="M206" i="4"/>
  <c r="R23" i="5"/>
  <c r="T23" i="5"/>
  <c r="O206" i="4"/>
  <c r="U23" i="5"/>
  <c r="P206" i="4"/>
  <c r="W23" i="5"/>
  <c r="Q206" i="4"/>
  <c r="X23" i="5"/>
  <c r="S206" i="4"/>
  <c r="AA23" i="5"/>
  <c r="AI206" i="4"/>
  <c r="T206" i="4" a="1"/>
  <c r="T206" i="4"/>
  <c r="AC23" i="5"/>
  <c r="U206" i="4" a="1"/>
  <c r="U206" i="4"/>
  <c r="AD23" i="5"/>
  <c r="X206" i="4"/>
  <c r="AI23" i="5"/>
  <c r="Y206" i="4"/>
  <c r="AJ23" i="5"/>
  <c r="Z206" i="4"/>
  <c r="AL23" i="5"/>
  <c r="F23" i="5"/>
  <c r="H23" i="5"/>
  <c r="I23" i="5"/>
  <c r="Z23" i="5"/>
  <c r="AN23" i="5"/>
  <c r="AG24" i="5"/>
  <c r="AF24" i="5"/>
  <c r="C207" i="4"/>
  <c r="C24" i="5"/>
  <c r="D207" i="4"/>
  <c r="E24" i="5"/>
  <c r="H207" i="4"/>
  <c r="K24" i="5"/>
  <c r="L207" i="4"/>
  <c r="Q24" i="5"/>
  <c r="M207" i="4"/>
  <c r="R24" i="5"/>
  <c r="T24" i="5"/>
  <c r="O207" i="4"/>
  <c r="U24" i="5"/>
  <c r="P207" i="4"/>
  <c r="W24" i="5"/>
  <c r="Q207" i="4"/>
  <c r="X24" i="5"/>
  <c r="S207" i="4"/>
  <c r="AA24" i="5"/>
  <c r="AI207" i="4"/>
  <c r="T207" i="4" a="1"/>
  <c r="T207" i="4"/>
  <c r="AC24" i="5"/>
  <c r="U207" i="4" a="1"/>
  <c r="U207" i="4"/>
  <c r="AD24" i="5"/>
  <c r="X207" i="4"/>
  <c r="AI24" i="5"/>
  <c r="Y207" i="4"/>
  <c r="AJ24" i="5"/>
  <c r="Z207" i="4"/>
  <c r="AL24" i="5"/>
  <c r="L24" i="5"/>
  <c r="N24" i="5"/>
  <c r="O24" i="5"/>
  <c r="F24" i="5"/>
  <c r="H24" i="5"/>
  <c r="I24" i="5"/>
  <c r="Z24" i="5"/>
  <c r="AN24" i="5"/>
  <c r="AG25" i="5"/>
  <c r="AF25" i="5"/>
  <c r="C208" i="4"/>
  <c r="C25" i="5"/>
  <c r="D208" i="4"/>
  <c r="E25" i="5"/>
  <c r="H208" i="4"/>
  <c r="K25" i="5"/>
  <c r="L208" i="4"/>
  <c r="Q25" i="5"/>
  <c r="M208" i="4"/>
  <c r="R25" i="5"/>
  <c r="T25" i="5"/>
  <c r="O208" i="4"/>
  <c r="U25" i="5"/>
  <c r="P208" i="4"/>
  <c r="W25" i="5"/>
  <c r="Q208" i="4"/>
  <c r="X25" i="5"/>
  <c r="S208" i="4"/>
  <c r="AA25" i="5"/>
  <c r="AI208" i="4"/>
  <c r="T208" i="4" a="1"/>
  <c r="T208" i="4"/>
  <c r="AC25" i="5"/>
  <c r="U208" i="4" a="1"/>
  <c r="U208" i="4"/>
  <c r="AD25" i="5"/>
  <c r="X208" i="4"/>
  <c r="AI25" i="5"/>
  <c r="Y208" i="4"/>
  <c r="AJ25" i="5"/>
  <c r="Z208" i="4"/>
  <c r="AL25" i="5"/>
  <c r="L25" i="5"/>
  <c r="N25" i="5"/>
  <c r="O25" i="5"/>
  <c r="F25" i="5"/>
  <c r="H25" i="5"/>
  <c r="I25" i="5"/>
  <c r="Z25" i="5"/>
  <c r="AN25" i="5"/>
  <c r="AG26" i="5"/>
  <c r="AF26" i="5"/>
  <c r="C209" i="4"/>
  <c r="C26" i="5"/>
  <c r="D209" i="4"/>
  <c r="E26" i="5"/>
  <c r="H209" i="4"/>
  <c r="K26" i="5"/>
  <c r="L209" i="4"/>
  <c r="Q26" i="5"/>
  <c r="M209" i="4"/>
  <c r="R26" i="5"/>
  <c r="T26" i="5"/>
  <c r="O209" i="4"/>
  <c r="U26" i="5"/>
  <c r="P209" i="4"/>
  <c r="W26" i="5"/>
  <c r="Q209" i="4"/>
  <c r="X26" i="5"/>
  <c r="S209" i="4"/>
  <c r="AA26" i="5"/>
  <c r="AI209" i="4"/>
  <c r="T209" i="4" a="1"/>
  <c r="T209" i="4"/>
  <c r="AC26" i="5"/>
  <c r="U209" i="4" a="1"/>
  <c r="U209" i="4"/>
  <c r="AD26" i="5"/>
  <c r="X209" i="4"/>
  <c r="AI26" i="5"/>
  <c r="Y209" i="4"/>
  <c r="AJ26" i="5"/>
  <c r="Z209" i="4"/>
  <c r="AL26" i="5"/>
  <c r="L26" i="5"/>
  <c r="N26" i="5"/>
  <c r="O26" i="5"/>
  <c r="F26" i="5"/>
  <c r="H26" i="5"/>
  <c r="I26" i="5"/>
  <c r="Z26" i="5"/>
  <c r="AN26" i="5"/>
  <c r="AG27" i="5"/>
  <c r="AF27" i="5"/>
  <c r="B71" i="4"/>
  <c r="C71" i="4"/>
  <c r="C27" i="5"/>
  <c r="D71" i="4"/>
  <c r="E27" i="5"/>
  <c r="E71" i="4"/>
  <c r="F27" i="5"/>
  <c r="F71" i="4"/>
  <c r="H27" i="5"/>
  <c r="I27" i="5"/>
  <c r="K27" i="5"/>
  <c r="L71" i="4"/>
  <c r="Q27" i="5"/>
  <c r="M71" i="4"/>
  <c r="R27" i="5"/>
  <c r="T27" i="5"/>
  <c r="O71" i="4"/>
  <c r="U27" i="5"/>
  <c r="P71" i="4"/>
  <c r="W27" i="5"/>
  <c r="Q71" i="4"/>
  <c r="X27" i="5"/>
  <c r="S71" i="4"/>
  <c r="AA27" i="5"/>
  <c r="AI71" i="4"/>
  <c r="T71" i="4" a="1"/>
  <c r="T71" i="4"/>
  <c r="AC27" i="5"/>
  <c r="U71" i="4" a="1"/>
  <c r="U71" i="4"/>
  <c r="AD27" i="5"/>
  <c r="X71" i="4"/>
  <c r="AI27" i="5"/>
  <c r="Y71" i="4"/>
  <c r="AJ27" i="5"/>
  <c r="Z71" i="4"/>
  <c r="AL27" i="5"/>
  <c r="L27" i="5"/>
  <c r="N27" i="5"/>
  <c r="O27" i="5"/>
  <c r="Z27" i="5"/>
  <c r="AN27" i="5"/>
  <c r="AG28" i="5"/>
  <c r="AF28" i="5"/>
  <c r="C227" i="4"/>
  <c r="C28" i="5"/>
  <c r="D227" i="4"/>
  <c r="E28" i="5"/>
  <c r="E227" i="4"/>
  <c r="F28" i="5"/>
  <c r="F227" i="4"/>
  <c r="H28" i="5"/>
  <c r="I28" i="5"/>
  <c r="H227" i="4"/>
  <c r="K28" i="5"/>
  <c r="L227" i="4"/>
  <c r="Q28" i="5"/>
  <c r="M227" i="4"/>
  <c r="R28" i="5"/>
  <c r="N227" i="4"/>
  <c r="T28" i="5"/>
  <c r="O227" i="4"/>
  <c r="U28" i="5"/>
  <c r="P227" i="4"/>
  <c r="W28" i="5"/>
  <c r="Q227" i="4"/>
  <c r="X28" i="5"/>
  <c r="S227" i="4"/>
  <c r="AA28" i="5"/>
  <c r="AI227" i="4"/>
  <c r="T227" i="4" a="1"/>
  <c r="T227" i="4"/>
  <c r="AC28" i="5"/>
  <c r="U227" i="4" a="1"/>
  <c r="U227" i="4"/>
  <c r="AD28" i="5"/>
  <c r="X227" i="4"/>
  <c r="AI28" i="5"/>
  <c r="Y227" i="4"/>
  <c r="AJ28" i="5"/>
  <c r="Z227" i="4"/>
  <c r="AL28" i="5"/>
  <c r="L28" i="5"/>
  <c r="N28" i="5"/>
  <c r="O28" i="5"/>
  <c r="Z28" i="5"/>
  <c r="AN28" i="5"/>
  <c r="O29" i="5"/>
  <c r="B298" i="4"/>
  <c r="H298" i="4"/>
  <c r="K29" i="5"/>
  <c r="AG29" i="5"/>
  <c r="AF29" i="5"/>
  <c r="C298" i="4"/>
  <c r="C29" i="5"/>
  <c r="D298" i="4"/>
  <c r="E29" i="5"/>
  <c r="I298" i="4"/>
  <c r="L29" i="5"/>
  <c r="J298" i="4"/>
  <c r="N29" i="5"/>
  <c r="L298" i="4"/>
  <c r="Q29" i="5"/>
  <c r="M298" i="4"/>
  <c r="R29" i="5"/>
  <c r="T29" i="5"/>
  <c r="O298" i="4"/>
  <c r="U29" i="5"/>
  <c r="P298" i="4"/>
  <c r="W29" i="5"/>
  <c r="Q298" i="4"/>
  <c r="X29" i="5"/>
  <c r="AA29" i="5"/>
  <c r="AI298" i="4"/>
  <c r="T298" i="4" a="1"/>
  <c r="T298" i="4"/>
  <c r="AC29" i="5"/>
  <c r="U298" i="4" a="1"/>
  <c r="U298" i="4"/>
  <c r="AD29" i="5"/>
  <c r="Y298" i="4"/>
  <c r="AJ29" i="5"/>
  <c r="Z298" i="4"/>
  <c r="AL29" i="5"/>
  <c r="F29" i="5"/>
  <c r="H29" i="5"/>
  <c r="I29" i="5"/>
  <c r="Z29" i="5"/>
  <c r="AN29" i="5"/>
  <c r="AG30" i="5"/>
  <c r="AF30" i="5"/>
  <c r="B299" i="4"/>
  <c r="C299" i="4"/>
  <c r="C30" i="5"/>
  <c r="D299" i="4"/>
  <c r="E30" i="5"/>
  <c r="H299" i="4"/>
  <c r="K30" i="5"/>
  <c r="L299" i="4"/>
  <c r="Q30" i="5"/>
  <c r="M299" i="4"/>
  <c r="R30" i="5"/>
  <c r="T30" i="5"/>
  <c r="O299" i="4"/>
  <c r="U30" i="5"/>
  <c r="P299" i="4"/>
  <c r="W30" i="5"/>
  <c r="Q299" i="4"/>
  <c r="X30" i="5"/>
  <c r="AA30" i="5"/>
  <c r="AI299" i="4"/>
  <c r="T299" i="4" a="1"/>
  <c r="T299" i="4"/>
  <c r="AC30" i="5"/>
  <c r="U299" i="4" a="1"/>
  <c r="U299" i="4"/>
  <c r="AD30" i="5"/>
  <c r="Y299" i="4"/>
  <c r="AJ30" i="5"/>
  <c r="Z299" i="4"/>
  <c r="AL30" i="5"/>
  <c r="L30" i="5"/>
  <c r="N30" i="5"/>
  <c r="O30" i="5"/>
  <c r="F30" i="5"/>
  <c r="H30" i="5"/>
  <c r="I30" i="5"/>
  <c r="Z30" i="5"/>
  <c r="AN30" i="5"/>
  <c r="S75" i="4"/>
  <c r="AA31" i="5"/>
  <c r="P75" i="4"/>
  <c r="W31" i="5"/>
  <c r="AG31" i="5"/>
  <c r="AF31" i="5"/>
  <c r="C75" i="4"/>
  <c r="C31" i="5"/>
  <c r="D75" i="4"/>
  <c r="E31" i="5"/>
  <c r="K31" i="5"/>
  <c r="L75" i="4"/>
  <c r="Q31" i="5"/>
  <c r="M75" i="4"/>
  <c r="R31" i="5"/>
  <c r="T31" i="5"/>
  <c r="O75" i="4"/>
  <c r="U31" i="5"/>
  <c r="Q75" i="4"/>
  <c r="X31" i="5"/>
  <c r="R75" i="4"/>
  <c r="Z31" i="5"/>
  <c r="AI75" i="4"/>
  <c r="T75" i="4" a="1"/>
  <c r="T75" i="4"/>
  <c r="AC31" i="5"/>
  <c r="U75" i="4" a="1"/>
  <c r="U75" i="4"/>
  <c r="AD31" i="5"/>
  <c r="AI31" i="5"/>
  <c r="Y75" i="4"/>
  <c r="AJ31" i="5"/>
  <c r="Z75" i="4"/>
  <c r="AL31" i="5"/>
  <c r="L31" i="5"/>
  <c r="N31" i="5"/>
  <c r="O31" i="5"/>
  <c r="F31" i="5"/>
  <c r="H31" i="5"/>
  <c r="I31" i="5"/>
  <c r="AN31" i="5"/>
  <c r="B76" i="4"/>
  <c r="S76" i="4"/>
  <c r="AA32" i="5"/>
  <c r="P76" i="4"/>
  <c r="W32" i="5"/>
  <c r="AG32" i="5"/>
  <c r="AF32" i="5"/>
  <c r="C76" i="4"/>
  <c r="C32" i="5"/>
  <c r="D76" i="4"/>
  <c r="E32" i="5"/>
  <c r="K32" i="5"/>
  <c r="L76" i="4"/>
  <c r="Q32" i="5"/>
  <c r="M76" i="4"/>
  <c r="R32" i="5"/>
  <c r="T32" i="5"/>
  <c r="O76" i="4"/>
  <c r="U32" i="5"/>
  <c r="Q76" i="4"/>
  <c r="X32" i="5"/>
  <c r="R76" i="4"/>
  <c r="Z32" i="5"/>
  <c r="AI76" i="4"/>
  <c r="T76" i="4" a="1"/>
  <c r="T76" i="4"/>
  <c r="AC32" i="5"/>
  <c r="U76" i="4" a="1"/>
  <c r="U76" i="4"/>
  <c r="AD32" i="5"/>
  <c r="X76" i="4"/>
  <c r="AI32" i="5"/>
  <c r="Y76" i="4"/>
  <c r="AJ32" i="5"/>
  <c r="Z76" i="4"/>
  <c r="AL32" i="5"/>
  <c r="L32" i="5"/>
  <c r="N32" i="5"/>
  <c r="O32" i="5"/>
  <c r="F32" i="5"/>
  <c r="H32" i="5"/>
  <c r="I32" i="5"/>
  <c r="AN32" i="5"/>
  <c r="B77" i="4"/>
  <c r="S77" i="4"/>
  <c r="AA33" i="5"/>
  <c r="P77" i="4"/>
  <c r="W33" i="5"/>
  <c r="AG33" i="5"/>
  <c r="AF33" i="5"/>
  <c r="C77" i="4"/>
  <c r="C33" i="5"/>
  <c r="D77" i="4"/>
  <c r="E33" i="5"/>
  <c r="K33" i="5"/>
  <c r="L77" i="4"/>
  <c r="Q33" i="5"/>
  <c r="M77" i="4"/>
  <c r="R33" i="5"/>
  <c r="T33" i="5"/>
  <c r="O77" i="4"/>
  <c r="U33" i="5"/>
  <c r="Q77" i="4"/>
  <c r="X33" i="5"/>
  <c r="R77" i="4"/>
  <c r="Z33" i="5"/>
  <c r="AI77" i="4"/>
  <c r="T77" i="4" a="1"/>
  <c r="T77" i="4"/>
  <c r="AC33" i="5"/>
  <c r="U77" i="4" a="1"/>
  <c r="U77" i="4"/>
  <c r="AD33" i="5"/>
  <c r="X77" i="4"/>
  <c r="AI33" i="5"/>
  <c r="Y77" i="4"/>
  <c r="AJ33" i="5"/>
  <c r="Z77" i="4"/>
  <c r="AL33" i="5"/>
  <c r="L33" i="5"/>
  <c r="N33" i="5"/>
  <c r="O33" i="5"/>
  <c r="F33" i="5"/>
  <c r="H33" i="5"/>
  <c r="I33" i="5"/>
  <c r="AN33" i="5"/>
  <c r="B79" i="4"/>
  <c r="S79" i="4"/>
  <c r="AA34" i="5"/>
  <c r="P79" i="4"/>
  <c r="W34" i="5"/>
  <c r="AG34" i="5"/>
  <c r="AF34" i="5"/>
  <c r="C79" i="4"/>
  <c r="C34" i="5"/>
  <c r="D79" i="4"/>
  <c r="E34" i="5"/>
  <c r="K34" i="5"/>
  <c r="L79" i="4"/>
  <c r="Q34" i="5"/>
  <c r="M79" i="4"/>
  <c r="R34" i="5"/>
  <c r="T34" i="5"/>
  <c r="O79" i="4"/>
  <c r="U34" i="5"/>
  <c r="Q79" i="4"/>
  <c r="X34" i="5"/>
  <c r="R79" i="4"/>
  <c r="Z34" i="5"/>
  <c r="AI79" i="4"/>
  <c r="T79" i="4" a="1"/>
  <c r="T79" i="4"/>
  <c r="AC34" i="5"/>
  <c r="U79" i="4" a="1"/>
  <c r="U79" i="4"/>
  <c r="AD34" i="5"/>
  <c r="X79" i="4"/>
  <c r="AI34" i="5"/>
  <c r="Y79" i="4"/>
  <c r="AJ34" i="5"/>
  <c r="Z79" i="4"/>
  <c r="AL34" i="5"/>
  <c r="L34" i="5"/>
  <c r="N34" i="5"/>
  <c r="O34" i="5"/>
  <c r="F34" i="5"/>
  <c r="H34" i="5"/>
  <c r="I34" i="5"/>
  <c r="AN34" i="5"/>
  <c r="AG35" i="5"/>
  <c r="AF35" i="5"/>
  <c r="C87" i="4"/>
  <c r="C35" i="5"/>
  <c r="D87" i="4"/>
  <c r="E35" i="5"/>
  <c r="K35" i="5"/>
  <c r="L87" i="4"/>
  <c r="Q35" i="5"/>
  <c r="M87" i="4"/>
  <c r="R35" i="5"/>
  <c r="T35" i="5"/>
  <c r="O87" i="4"/>
  <c r="U35" i="5"/>
  <c r="P87" i="4"/>
  <c r="W35" i="5"/>
  <c r="Q87" i="4"/>
  <c r="X35" i="5"/>
  <c r="S87" i="4"/>
  <c r="AA35" i="5"/>
  <c r="AI87" i="4"/>
  <c r="T87" i="4" a="1"/>
  <c r="T87" i="4"/>
  <c r="AC35" i="5"/>
  <c r="U87" i="4" a="1"/>
  <c r="U87" i="4"/>
  <c r="AD35" i="5"/>
  <c r="AI35" i="5"/>
  <c r="Y87" i="4"/>
  <c r="AJ35" i="5"/>
  <c r="Z87" i="4"/>
  <c r="AL35" i="5"/>
  <c r="L35" i="5"/>
  <c r="F35" i="5"/>
  <c r="H35" i="5"/>
  <c r="I35" i="5"/>
  <c r="N35" i="5"/>
  <c r="O35" i="5"/>
  <c r="Z35" i="5"/>
  <c r="AN35" i="5"/>
  <c r="AG36" i="5"/>
  <c r="AF36" i="5"/>
  <c r="C245" i="4"/>
  <c r="C36" i="5"/>
  <c r="D245" i="4"/>
  <c r="E36" i="5"/>
  <c r="K36" i="5"/>
  <c r="L245" i="4"/>
  <c r="Q36" i="5"/>
  <c r="M245" i="4"/>
  <c r="R36" i="5"/>
  <c r="T36" i="5"/>
  <c r="O245" i="4"/>
  <c r="U36" i="5"/>
  <c r="P245" i="4"/>
  <c r="W36" i="5"/>
  <c r="Q245" i="4"/>
  <c r="X36" i="5"/>
  <c r="S245" i="4"/>
  <c r="AA36" i="5"/>
  <c r="AI245" i="4"/>
  <c r="T245" i="4" a="1"/>
  <c r="T245" i="4"/>
  <c r="AC36" i="5"/>
  <c r="U245" i="4" a="1"/>
  <c r="U245" i="4"/>
  <c r="AD36" i="5"/>
  <c r="X245" i="4"/>
  <c r="AI36" i="5"/>
  <c r="Y245" i="4"/>
  <c r="AJ36" i="5"/>
  <c r="Z245" i="4"/>
  <c r="AL36" i="5"/>
  <c r="L36" i="5"/>
  <c r="F36" i="5"/>
  <c r="H36" i="5"/>
  <c r="I36" i="5"/>
  <c r="N36" i="5"/>
  <c r="O36" i="5"/>
  <c r="Z36" i="5"/>
  <c r="AN36" i="5"/>
  <c r="AG37" i="5"/>
  <c r="AF37" i="5"/>
  <c r="C246" i="4"/>
  <c r="C37" i="5"/>
  <c r="D246" i="4"/>
  <c r="E37" i="5"/>
  <c r="K37" i="5"/>
  <c r="L246" i="4"/>
  <c r="Q37" i="5"/>
  <c r="M246" i="4"/>
  <c r="R37" i="5"/>
  <c r="T37" i="5"/>
  <c r="O246" i="4"/>
  <c r="U37" i="5"/>
  <c r="P246" i="4"/>
  <c r="W37" i="5"/>
  <c r="S246" i="4"/>
  <c r="AA37" i="5"/>
  <c r="AI246" i="4"/>
  <c r="T246" i="4" a="1"/>
  <c r="T246" i="4"/>
  <c r="AC37" i="5"/>
  <c r="U246" i="4" a="1"/>
  <c r="U246" i="4"/>
  <c r="AD37" i="5"/>
  <c r="X246" i="4"/>
  <c r="AI37" i="5"/>
  <c r="Y246" i="4"/>
  <c r="AJ37" i="5"/>
  <c r="Z246" i="4"/>
  <c r="AL37" i="5"/>
  <c r="L37" i="5"/>
  <c r="F37" i="5"/>
  <c r="H37" i="5"/>
  <c r="I37" i="5"/>
  <c r="N37" i="5"/>
  <c r="O37" i="5"/>
  <c r="Z37" i="5"/>
  <c r="AN37" i="5"/>
  <c r="AG38" i="5"/>
  <c r="AF38" i="5"/>
  <c r="B88" i="4"/>
  <c r="C88" i="4"/>
  <c r="C38" i="5"/>
  <c r="D88" i="4"/>
  <c r="E38" i="5"/>
  <c r="H88" i="4"/>
  <c r="K38" i="5"/>
  <c r="L88" i="4"/>
  <c r="Q38" i="5"/>
  <c r="M88" i="4"/>
  <c r="R38" i="5"/>
  <c r="T38" i="5"/>
  <c r="U38" i="5"/>
  <c r="P88" i="4"/>
  <c r="W38" i="5"/>
  <c r="Q88" i="4"/>
  <c r="X38" i="5"/>
  <c r="AA38" i="5"/>
  <c r="AI88" i="4"/>
  <c r="T88" i="4" a="1"/>
  <c r="T88" i="4"/>
  <c r="AC38" i="5"/>
  <c r="U88" i="4" a="1"/>
  <c r="U88" i="4"/>
  <c r="AD38" i="5"/>
  <c r="X88" i="4"/>
  <c r="AI38" i="5"/>
  <c r="Y88" i="4"/>
  <c r="AJ38" i="5"/>
  <c r="Z88" i="4"/>
  <c r="AL38" i="5"/>
  <c r="F38" i="5"/>
  <c r="H38" i="5"/>
  <c r="I38" i="5"/>
  <c r="L38" i="5"/>
  <c r="N38" i="5"/>
  <c r="O38" i="5"/>
  <c r="Z38" i="5"/>
  <c r="AN38" i="5"/>
  <c r="AG39" i="5"/>
  <c r="AF39" i="5"/>
  <c r="B89" i="4"/>
  <c r="C89" i="4"/>
  <c r="C39" i="5"/>
  <c r="D89" i="4"/>
  <c r="E39" i="5"/>
  <c r="H89" i="4"/>
  <c r="K39" i="5"/>
  <c r="L89" i="4"/>
  <c r="Q39" i="5"/>
  <c r="M89" i="4"/>
  <c r="R39" i="5"/>
  <c r="N89" i="4"/>
  <c r="T39" i="5"/>
  <c r="O89" i="4"/>
  <c r="U39" i="5"/>
  <c r="P89" i="4"/>
  <c r="W39" i="5"/>
  <c r="Q89" i="4"/>
  <c r="X39" i="5"/>
  <c r="AA39" i="5"/>
  <c r="AI89" i="4"/>
  <c r="T89" i="4" a="1"/>
  <c r="T89" i="4"/>
  <c r="AC39" i="5"/>
  <c r="U89" i="4" a="1"/>
  <c r="U89" i="4"/>
  <c r="AD39" i="5"/>
  <c r="X89" i="4"/>
  <c r="AI39" i="5"/>
  <c r="Y89" i="4"/>
  <c r="AJ39" i="5"/>
  <c r="Z89" i="4"/>
  <c r="AL39" i="5"/>
  <c r="F39" i="5"/>
  <c r="H39" i="5"/>
  <c r="I39" i="5"/>
  <c r="L39" i="5"/>
  <c r="N39" i="5"/>
  <c r="O39" i="5"/>
  <c r="Z39" i="5"/>
  <c r="AN39" i="5"/>
  <c r="AG40" i="5"/>
  <c r="AF40" i="5"/>
  <c r="B90" i="4"/>
  <c r="C90" i="4"/>
  <c r="C40" i="5"/>
  <c r="D90" i="4"/>
  <c r="E40" i="5"/>
  <c r="H90" i="4"/>
  <c r="K40" i="5"/>
  <c r="L90" i="4"/>
  <c r="Q40" i="5"/>
  <c r="M90" i="4"/>
  <c r="R40" i="5"/>
  <c r="T40" i="5"/>
  <c r="U40" i="5"/>
  <c r="P90" i="4"/>
  <c r="W40" i="5"/>
  <c r="Q90" i="4"/>
  <c r="X40" i="5"/>
  <c r="AA40" i="5"/>
  <c r="AI90" i="4"/>
  <c r="T90" i="4" a="1"/>
  <c r="T90" i="4"/>
  <c r="AC40" i="5"/>
  <c r="U90" i="4" a="1"/>
  <c r="U90" i="4"/>
  <c r="AD40" i="5"/>
  <c r="X90" i="4"/>
  <c r="AI40" i="5"/>
  <c r="Y90" i="4"/>
  <c r="AJ40" i="5"/>
  <c r="Z90" i="4"/>
  <c r="AL40" i="5"/>
  <c r="F40" i="5"/>
  <c r="H40" i="5"/>
  <c r="I40" i="5"/>
  <c r="L40" i="5"/>
  <c r="N40" i="5"/>
  <c r="O40" i="5"/>
  <c r="Z40" i="5"/>
  <c r="AN40" i="5"/>
  <c r="AG41" i="5"/>
  <c r="AF41" i="5"/>
  <c r="C91" i="4"/>
  <c r="C41" i="5"/>
  <c r="D91" i="4"/>
  <c r="E41" i="5"/>
  <c r="H91" i="4"/>
  <c r="K41" i="5"/>
  <c r="L91" i="4"/>
  <c r="Q41" i="5"/>
  <c r="M91" i="4"/>
  <c r="R41" i="5"/>
  <c r="T41" i="5"/>
  <c r="U41" i="5"/>
  <c r="P91" i="4"/>
  <c r="W41" i="5"/>
  <c r="Q91" i="4"/>
  <c r="X41" i="5"/>
  <c r="AA41" i="5"/>
  <c r="AI91" i="4"/>
  <c r="T91" i="4" a="1"/>
  <c r="T91" i="4"/>
  <c r="AC41" i="5"/>
  <c r="U91" i="4" a="1"/>
  <c r="U91" i="4"/>
  <c r="AD41" i="5"/>
  <c r="X91" i="4"/>
  <c r="AI41" i="5"/>
  <c r="Y91" i="4"/>
  <c r="AJ41" i="5"/>
  <c r="Z91" i="4"/>
  <c r="AL41" i="5"/>
  <c r="F41" i="5"/>
  <c r="H41" i="5"/>
  <c r="I41" i="5"/>
  <c r="L41" i="5"/>
  <c r="N41" i="5"/>
  <c r="O41" i="5"/>
  <c r="Z41" i="5"/>
  <c r="AN41" i="5"/>
  <c r="AG42" i="5"/>
  <c r="AF42" i="5"/>
  <c r="B92" i="4"/>
  <c r="C92" i="4"/>
  <c r="C42" i="5"/>
  <c r="D92" i="4"/>
  <c r="E42" i="5"/>
  <c r="H92" i="4"/>
  <c r="K42" i="5"/>
  <c r="L92" i="4"/>
  <c r="Q42" i="5"/>
  <c r="M92" i="4"/>
  <c r="R42" i="5"/>
  <c r="T42" i="5"/>
  <c r="U42" i="5"/>
  <c r="P92" i="4"/>
  <c r="W42" i="5"/>
  <c r="Q92" i="4"/>
  <c r="X42" i="5"/>
  <c r="AA42" i="5"/>
  <c r="AI92" i="4"/>
  <c r="T92" i="4" a="1"/>
  <c r="T92" i="4"/>
  <c r="AC42" i="5"/>
  <c r="U92" i="4" a="1"/>
  <c r="U92" i="4"/>
  <c r="AD42" i="5"/>
  <c r="X92" i="4"/>
  <c r="AI42" i="5"/>
  <c r="Y92" i="4"/>
  <c r="AJ42" i="5"/>
  <c r="Z92" i="4"/>
  <c r="AL42" i="5"/>
  <c r="F42" i="5"/>
  <c r="H42" i="5"/>
  <c r="I42" i="5"/>
  <c r="L42" i="5"/>
  <c r="N42" i="5"/>
  <c r="O42" i="5"/>
  <c r="Z42" i="5"/>
  <c r="AN42" i="5"/>
  <c r="AG43" i="5"/>
  <c r="AF43" i="5"/>
  <c r="C248" i="4"/>
  <c r="C43" i="5"/>
  <c r="T43" i="5"/>
  <c r="O248" i="4"/>
  <c r="U43" i="5"/>
  <c r="P248" i="4"/>
  <c r="W43" i="5"/>
  <c r="Q248" i="4"/>
  <c r="X43" i="5"/>
  <c r="AA43" i="5"/>
  <c r="AI248" i="4"/>
  <c r="T248" i="4" a="1"/>
  <c r="T248" i="4"/>
  <c r="AC43" i="5"/>
  <c r="U248" i="4" a="1"/>
  <c r="U248" i="4"/>
  <c r="AD43" i="5"/>
  <c r="X248" i="4"/>
  <c r="AI43" i="5"/>
  <c r="Y248" i="4"/>
  <c r="AJ43" i="5"/>
  <c r="Z248" i="4"/>
  <c r="AL43" i="5"/>
  <c r="F43" i="5"/>
  <c r="H43" i="5"/>
  <c r="I43" i="5"/>
  <c r="L43" i="5"/>
  <c r="N43" i="5"/>
  <c r="O43" i="5"/>
  <c r="Z43" i="5"/>
  <c r="AN43" i="5"/>
  <c r="AG44" i="5"/>
  <c r="AF44" i="5"/>
  <c r="C249" i="4"/>
  <c r="C44" i="5"/>
  <c r="N249" i="4"/>
  <c r="T44" i="5"/>
  <c r="O249" i="4"/>
  <c r="U44" i="5"/>
  <c r="P249" i="4"/>
  <c r="W44" i="5"/>
  <c r="Q249" i="4"/>
  <c r="X44" i="5"/>
  <c r="AA44" i="5"/>
  <c r="AI249" i="4"/>
  <c r="T249" i="4" a="1"/>
  <c r="T249" i="4"/>
  <c r="AC44" i="5"/>
  <c r="U249" i="4" a="1"/>
  <c r="U249" i="4"/>
  <c r="AD44" i="5"/>
  <c r="X249" i="4"/>
  <c r="AI44" i="5"/>
  <c r="Y249" i="4"/>
  <c r="AJ44" i="5"/>
  <c r="Z249" i="4"/>
  <c r="AL44" i="5"/>
  <c r="F44" i="5"/>
  <c r="H44" i="5"/>
  <c r="I44" i="5"/>
  <c r="L44" i="5"/>
  <c r="N44" i="5"/>
  <c r="O44" i="5"/>
  <c r="Z44" i="5"/>
  <c r="AN44" i="5"/>
  <c r="AG45" i="5"/>
  <c r="AF45" i="5"/>
  <c r="C250" i="4"/>
  <c r="C45" i="5"/>
  <c r="T45" i="5"/>
  <c r="O250" i="4"/>
  <c r="U45" i="5"/>
  <c r="P250" i="4"/>
  <c r="W45" i="5"/>
  <c r="Q250" i="4"/>
  <c r="X45" i="5"/>
  <c r="AA45" i="5"/>
  <c r="AI250" i="4"/>
  <c r="T250" i="4" a="1"/>
  <c r="T250" i="4"/>
  <c r="AC45" i="5"/>
  <c r="U250" i="4" a="1"/>
  <c r="U250" i="4"/>
  <c r="AD45" i="5"/>
  <c r="X250" i="4"/>
  <c r="AI45" i="5"/>
  <c r="Y250" i="4"/>
  <c r="AJ45" i="5"/>
  <c r="Z250" i="4"/>
  <c r="AL45" i="5"/>
  <c r="Z45" i="5"/>
  <c r="AN45" i="5"/>
  <c r="AG46" i="5"/>
  <c r="AF46" i="5"/>
  <c r="C93" i="4"/>
  <c r="C46" i="5"/>
  <c r="D93" i="4"/>
  <c r="E46" i="5"/>
  <c r="H93" i="4"/>
  <c r="K46" i="5"/>
  <c r="L93" i="4"/>
  <c r="Q46" i="5"/>
  <c r="M93" i="4"/>
  <c r="R46" i="5"/>
  <c r="T46" i="5"/>
  <c r="U46" i="5"/>
  <c r="P93" i="4"/>
  <c r="W46" i="5"/>
  <c r="Q93" i="4"/>
  <c r="X46" i="5"/>
  <c r="AA46" i="5"/>
  <c r="AI93" i="4"/>
  <c r="T93" i="4" a="1"/>
  <c r="T93" i="4"/>
  <c r="AC46" i="5"/>
  <c r="U93" i="4" a="1"/>
  <c r="U93" i="4"/>
  <c r="AD46" i="5"/>
  <c r="Y93" i="4"/>
  <c r="AJ46" i="5"/>
  <c r="Z93" i="4"/>
  <c r="AL46" i="5"/>
  <c r="F46" i="5"/>
  <c r="H46" i="5"/>
  <c r="I46" i="5"/>
  <c r="L46" i="5"/>
  <c r="N46" i="5"/>
  <c r="O46" i="5"/>
  <c r="Z46" i="5"/>
  <c r="AN46" i="5"/>
  <c r="AG47" i="5"/>
  <c r="AF47" i="5"/>
  <c r="C251" i="4"/>
  <c r="C47" i="5"/>
  <c r="D251" i="4"/>
  <c r="E47" i="5"/>
  <c r="H251" i="4"/>
  <c r="K47" i="5"/>
  <c r="L251" i="4"/>
  <c r="Q47" i="5"/>
  <c r="M251" i="4"/>
  <c r="R47" i="5"/>
  <c r="T47" i="5"/>
  <c r="O251" i="4"/>
  <c r="U47" i="5"/>
  <c r="P251" i="4"/>
  <c r="W47" i="5"/>
  <c r="Q251" i="4"/>
  <c r="X47" i="5"/>
  <c r="AA47" i="5"/>
  <c r="AI251" i="4"/>
  <c r="T251" i="4" a="1"/>
  <c r="T251" i="4"/>
  <c r="AC47" i="5"/>
  <c r="U251" i="4" a="1"/>
  <c r="U251" i="4"/>
  <c r="AD47" i="5"/>
  <c r="X251" i="4"/>
  <c r="AI47" i="5"/>
  <c r="Y251" i="4"/>
  <c r="AJ47" i="5"/>
  <c r="Z251" i="4"/>
  <c r="AL47" i="5"/>
  <c r="F47" i="5"/>
  <c r="H47" i="5"/>
  <c r="I47" i="5"/>
  <c r="L47" i="5"/>
  <c r="N47" i="5"/>
  <c r="O47" i="5"/>
  <c r="Z47" i="5"/>
  <c r="AN47" i="5"/>
  <c r="AG48" i="5"/>
  <c r="AF48" i="5"/>
  <c r="B94" i="4"/>
  <c r="C94" i="4"/>
  <c r="C48" i="5"/>
  <c r="D94" i="4"/>
  <c r="E48" i="5"/>
  <c r="H94" i="4"/>
  <c r="K48" i="5"/>
  <c r="L94" i="4"/>
  <c r="Q48" i="5"/>
  <c r="M94" i="4"/>
  <c r="R48" i="5"/>
  <c r="T48" i="5"/>
  <c r="U48" i="5"/>
  <c r="P94" i="4"/>
  <c r="W48" i="5"/>
  <c r="Q94" i="4"/>
  <c r="X48" i="5"/>
  <c r="AA48" i="5"/>
  <c r="AI94" i="4"/>
  <c r="T94" i="4" a="1"/>
  <c r="T94" i="4"/>
  <c r="AC48" i="5"/>
  <c r="U94" i="4" a="1"/>
  <c r="U94" i="4"/>
  <c r="AD48" i="5"/>
  <c r="X94" i="4"/>
  <c r="AI48" i="5"/>
  <c r="Y94" i="4"/>
  <c r="AJ48" i="5"/>
  <c r="Z94" i="4"/>
  <c r="AL48" i="5"/>
  <c r="F48" i="5"/>
  <c r="H48" i="5"/>
  <c r="I48" i="5"/>
  <c r="L48" i="5"/>
  <c r="N48" i="5"/>
  <c r="O48" i="5"/>
  <c r="Z48" i="5"/>
  <c r="AN48" i="5"/>
  <c r="AG49" i="5"/>
  <c r="AF49" i="5"/>
  <c r="B252" i="4"/>
  <c r="C252" i="4"/>
  <c r="C49" i="5"/>
  <c r="D252" i="4"/>
  <c r="E49" i="5"/>
  <c r="H252" i="4"/>
  <c r="K49" i="5"/>
  <c r="L252" i="4"/>
  <c r="Q49" i="5"/>
  <c r="M252" i="4"/>
  <c r="R49" i="5"/>
  <c r="T49" i="5"/>
  <c r="O252" i="4"/>
  <c r="U49" i="5"/>
  <c r="P252" i="4"/>
  <c r="W49" i="5"/>
  <c r="Q252" i="4"/>
  <c r="X49" i="5"/>
  <c r="AA49" i="5"/>
  <c r="AI252" i="4"/>
  <c r="T252" i="4" a="1"/>
  <c r="T252" i="4"/>
  <c r="AC49" i="5"/>
  <c r="U252" i="4" a="1"/>
  <c r="U252" i="4"/>
  <c r="AD49" i="5"/>
  <c r="X252" i="4"/>
  <c r="AI49" i="5"/>
  <c r="Y252" i="4"/>
  <c r="AJ49" i="5"/>
  <c r="Z252" i="4"/>
  <c r="AL49" i="5"/>
  <c r="F49" i="5"/>
  <c r="H49" i="5"/>
  <c r="I49" i="5"/>
  <c r="L49" i="5"/>
  <c r="N49" i="5"/>
  <c r="O49" i="5"/>
  <c r="Z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6" i="4"/>
  <c r="AA50" i="5"/>
  <c r="AI16" i="4"/>
  <c r="T16" i="4" a="1"/>
  <c r="T16" i="4"/>
  <c r="AC50" i="5"/>
  <c r="U16" i="4" a="1"/>
  <c r="U16" i="4"/>
  <c r="AD50" i="5"/>
  <c r="X16" i="4"/>
  <c r="AI50" i="5"/>
  <c r="Y16" i="4"/>
  <c r="AJ50" i="5"/>
  <c r="Z16" i="4"/>
  <c r="AL50" i="5"/>
  <c r="L50" i="5"/>
  <c r="F50" i="5"/>
  <c r="H50" i="5"/>
  <c r="I50" i="5"/>
  <c r="N50" i="5"/>
  <c r="O50" i="5"/>
  <c r="Z50" i="5"/>
  <c r="AN50" i="5"/>
  <c r="AG51" i="5"/>
  <c r="AF51" i="5"/>
  <c r="B17" i="4"/>
  <c r="C17" i="4"/>
  <c r="C51" i="5"/>
  <c r="D17" i="4"/>
  <c r="E51" i="5"/>
  <c r="L17" i="4"/>
  <c r="Q51" i="5"/>
  <c r="M17" i="4"/>
  <c r="R51" i="5"/>
  <c r="N17" i="4"/>
  <c r="T51" i="5"/>
  <c r="O17" i="4"/>
  <c r="U51" i="5"/>
  <c r="P17" i="4"/>
  <c r="W51" i="5"/>
  <c r="Q17" i="4"/>
  <c r="X51" i="5"/>
  <c r="S17" i="4"/>
  <c r="AA51" i="5"/>
  <c r="X17" i="4"/>
  <c r="AI51" i="5"/>
  <c r="Y17" i="4"/>
  <c r="AJ51" i="5"/>
  <c r="Z17" i="4"/>
  <c r="AL51" i="5"/>
  <c r="L51" i="5"/>
  <c r="F51" i="5"/>
  <c r="H51" i="5"/>
  <c r="I51" i="5"/>
  <c r="N51" i="5"/>
  <c r="O51" i="5"/>
  <c r="Z51" i="5"/>
  <c r="AN51" i="5"/>
  <c r="AG52" i="5"/>
  <c r="AF52" i="5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I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F52" i="5"/>
  <c r="H52" i="5"/>
  <c r="I52" i="5"/>
  <c r="N52" i="5"/>
  <c r="O52" i="5"/>
  <c r="Z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I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F53" i="5"/>
  <c r="H53" i="5"/>
  <c r="I53" i="5"/>
  <c r="N53" i="5"/>
  <c r="O53" i="5"/>
  <c r="Z53" i="5"/>
  <c r="AN53" i="5"/>
  <c r="AG54" i="5"/>
  <c r="AF54" i="5"/>
  <c r="C20" i="4"/>
  <c r="C54" i="5"/>
  <c r="D20" i="4"/>
  <c r="E54" i="5"/>
  <c r="K54" i="5"/>
  <c r="I20" i="4"/>
  <c r="L54" i="5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I20" i="4"/>
  <c r="T20" i="4" a="1"/>
  <c r="T20" i="4"/>
  <c r="AC54" i="5"/>
  <c r="U20" i="4" a="1"/>
  <c r="U20" i="4"/>
  <c r="AD54" i="5"/>
  <c r="X20" i="4"/>
  <c r="AI54" i="5"/>
  <c r="Y20" i="4"/>
  <c r="AJ54" i="5"/>
  <c r="Z20" i="4"/>
  <c r="AL54" i="5"/>
  <c r="F54" i="5"/>
  <c r="H54" i="5"/>
  <c r="I54" i="5"/>
  <c r="Z54" i="5"/>
  <c r="AN54" i="5"/>
  <c r="AG55" i="5"/>
  <c r="AF55" i="5"/>
  <c r="C96" i="4"/>
  <c r="C55" i="5"/>
  <c r="D96" i="4"/>
  <c r="E55" i="5"/>
  <c r="H96" i="4"/>
  <c r="K55" i="5"/>
  <c r="L96" i="4"/>
  <c r="Q55" i="5"/>
  <c r="M96" i="4"/>
  <c r="R55" i="5"/>
  <c r="N96" i="4"/>
  <c r="T55" i="5"/>
  <c r="O96" i="4"/>
  <c r="U55" i="5"/>
  <c r="P96" i="4"/>
  <c r="W55" i="5"/>
  <c r="Q96" i="4"/>
  <c r="X55" i="5"/>
  <c r="AA55" i="5"/>
  <c r="AI96" i="4"/>
  <c r="T96" i="4" a="1"/>
  <c r="T96" i="4"/>
  <c r="AC55" i="5"/>
  <c r="U96" i="4" a="1"/>
  <c r="U96" i="4"/>
  <c r="AD55" i="5"/>
  <c r="X96" i="4"/>
  <c r="AI55" i="5"/>
  <c r="Y96" i="4"/>
  <c r="AJ55" i="5"/>
  <c r="Z96" i="4"/>
  <c r="AL55" i="5"/>
  <c r="L55" i="5"/>
  <c r="N55" i="5"/>
  <c r="O55" i="5"/>
  <c r="F55" i="5"/>
  <c r="H55" i="5"/>
  <c r="I55" i="5"/>
  <c r="Z55" i="5"/>
  <c r="AN55" i="5"/>
  <c r="AG56" i="5"/>
  <c r="AF56" i="5"/>
  <c r="C97" i="4"/>
  <c r="C56" i="5"/>
  <c r="D97" i="4"/>
  <c r="E56" i="5"/>
  <c r="H97" i="4"/>
  <c r="K56" i="5"/>
  <c r="L97" i="4"/>
  <c r="Q56" i="5"/>
  <c r="M97" i="4"/>
  <c r="R56" i="5"/>
  <c r="N97" i="4"/>
  <c r="T56" i="5"/>
  <c r="O97" i="4"/>
  <c r="U56" i="5"/>
  <c r="P97" i="4"/>
  <c r="W56" i="5"/>
  <c r="Q97" i="4"/>
  <c r="X56" i="5"/>
  <c r="AA56" i="5"/>
  <c r="AI97" i="4"/>
  <c r="T97" i="4" a="1"/>
  <c r="T97" i="4"/>
  <c r="AC56" i="5"/>
  <c r="U97" i="4" a="1"/>
  <c r="U97" i="4"/>
  <c r="AD56" i="5"/>
  <c r="X97" i="4"/>
  <c r="AI56" i="5"/>
  <c r="Y97" i="4"/>
  <c r="AJ56" i="5"/>
  <c r="Z97" i="4"/>
  <c r="AL56" i="5"/>
  <c r="L56" i="5"/>
  <c r="N56" i="5"/>
  <c r="O56" i="5"/>
  <c r="F56" i="5"/>
  <c r="H56" i="5"/>
  <c r="I56" i="5"/>
  <c r="Z56" i="5"/>
  <c r="AN56" i="5"/>
  <c r="AG57" i="5"/>
  <c r="AF57" i="5"/>
  <c r="C98" i="4"/>
  <c r="C57" i="5"/>
  <c r="D98" i="4"/>
  <c r="E57" i="5"/>
  <c r="H98" i="4"/>
  <c r="K57" i="5"/>
  <c r="L98" i="4"/>
  <c r="Q57" i="5"/>
  <c r="M98" i="4"/>
  <c r="R57" i="5"/>
  <c r="T57" i="5"/>
  <c r="U57" i="5"/>
  <c r="P98" i="4"/>
  <c r="W57" i="5"/>
  <c r="Q98" i="4"/>
  <c r="X57" i="5"/>
  <c r="AA57" i="5"/>
  <c r="AI98" i="4"/>
  <c r="T98" i="4" a="1"/>
  <c r="T98" i="4"/>
  <c r="AC57" i="5"/>
  <c r="U98" i="4" a="1"/>
  <c r="U98" i="4"/>
  <c r="AD57" i="5"/>
  <c r="X98" i="4"/>
  <c r="AI57" i="5"/>
  <c r="Y98" i="4"/>
  <c r="AJ57" i="5"/>
  <c r="Z98" i="4"/>
  <c r="AL57" i="5"/>
  <c r="L57" i="5"/>
  <c r="N57" i="5"/>
  <c r="O57" i="5"/>
  <c r="F57" i="5"/>
  <c r="H57" i="5"/>
  <c r="I57" i="5"/>
  <c r="Z57" i="5"/>
  <c r="AN57" i="5"/>
  <c r="AG58" i="5"/>
  <c r="AF58" i="5"/>
  <c r="C99" i="4"/>
  <c r="C58" i="5"/>
  <c r="D99" i="4"/>
  <c r="E58" i="5"/>
  <c r="H99" i="4"/>
  <c r="K58" i="5"/>
  <c r="I99" i="4"/>
  <c r="L58" i="5"/>
  <c r="J99" i="4"/>
  <c r="N58" i="5"/>
  <c r="O58" i="5"/>
  <c r="L99" i="4"/>
  <c r="Q58" i="5"/>
  <c r="M99" i="4"/>
  <c r="R58" i="5"/>
  <c r="N99" i="4"/>
  <c r="T58" i="5"/>
  <c r="O99" i="4"/>
  <c r="U58" i="5"/>
  <c r="P99" i="4"/>
  <c r="W58" i="5"/>
  <c r="Q99" i="4"/>
  <c r="X58" i="5"/>
  <c r="AA58" i="5"/>
  <c r="AI99" i="4"/>
  <c r="T99" i="4" a="1"/>
  <c r="T99" i="4"/>
  <c r="AC58" i="5"/>
  <c r="U99" i="4" a="1"/>
  <c r="U99" i="4"/>
  <c r="AD58" i="5"/>
  <c r="X99" i="4"/>
  <c r="AI58" i="5"/>
  <c r="Y99" i="4"/>
  <c r="AJ58" i="5"/>
  <c r="Z99" i="4"/>
  <c r="AL58" i="5"/>
  <c r="F58" i="5"/>
  <c r="H58" i="5"/>
  <c r="I58" i="5"/>
  <c r="Z58" i="5"/>
  <c r="AN58" i="5"/>
  <c r="AG59" i="5"/>
  <c r="AF59" i="5"/>
  <c r="C100" i="4"/>
  <c r="C59" i="5"/>
  <c r="D100" i="4"/>
  <c r="E59" i="5"/>
  <c r="H100" i="4"/>
  <c r="K59" i="5"/>
  <c r="L100" i="4"/>
  <c r="Q59" i="5"/>
  <c r="M100" i="4"/>
  <c r="R59" i="5"/>
  <c r="N100" i="4"/>
  <c r="T59" i="5"/>
  <c r="O100" i="4"/>
  <c r="U59" i="5"/>
  <c r="P100" i="4"/>
  <c r="W59" i="5"/>
  <c r="Q100" i="4"/>
  <c r="X59" i="5"/>
  <c r="AA59" i="5"/>
  <c r="AI100" i="4"/>
  <c r="T100" i="4" a="1"/>
  <c r="T100" i="4"/>
  <c r="AC59" i="5"/>
  <c r="U100" i="4" a="1"/>
  <c r="U100" i="4"/>
  <c r="AD59" i="5"/>
  <c r="X100" i="4"/>
  <c r="AI59" i="5"/>
  <c r="Y100" i="4"/>
  <c r="AJ59" i="5"/>
  <c r="Z100" i="4"/>
  <c r="AL59" i="5"/>
  <c r="L59" i="5"/>
  <c r="N59" i="5"/>
  <c r="O59" i="5"/>
  <c r="F59" i="5"/>
  <c r="H59" i="5"/>
  <c r="I59" i="5"/>
  <c r="Z59" i="5"/>
  <c r="AN59" i="5"/>
  <c r="AG60" i="5"/>
  <c r="AF60" i="5"/>
  <c r="C101" i="4"/>
  <c r="C60" i="5"/>
  <c r="T60" i="5"/>
  <c r="U60" i="5"/>
  <c r="P101" i="4"/>
  <c r="W60" i="5"/>
  <c r="Q101" i="4"/>
  <c r="X60" i="5"/>
  <c r="AA60" i="5"/>
  <c r="AI101" i="4"/>
  <c r="T101" i="4" a="1"/>
  <c r="T101" i="4"/>
  <c r="AC60" i="5"/>
  <c r="U101" i="4" a="1"/>
  <c r="U101" i="4"/>
  <c r="AD60" i="5"/>
  <c r="X101" i="4"/>
  <c r="AI60" i="5"/>
  <c r="Y101" i="4"/>
  <c r="AJ60" i="5"/>
  <c r="Z101" i="4"/>
  <c r="AL60" i="5"/>
  <c r="F60" i="5"/>
  <c r="H60" i="5"/>
  <c r="I60" i="5"/>
  <c r="Z60" i="5"/>
  <c r="AN60" i="5"/>
  <c r="F61" i="5"/>
  <c r="H61" i="5"/>
  <c r="I61" i="5"/>
  <c r="AG62" i="5"/>
  <c r="AF62" i="5"/>
  <c r="B102" i="4"/>
  <c r="C102" i="4"/>
  <c r="C62" i="5"/>
  <c r="D102" i="4"/>
  <c r="E62" i="5"/>
  <c r="H102" i="4"/>
  <c r="K62" i="5"/>
  <c r="L102" i="4"/>
  <c r="Q62" i="5"/>
  <c r="M102" i="4"/>
  <c r="R62" i="5"/>
  <c r="T62" i="5"/>
  <c r="U62" i="5"/>
  <c r="P102" i="4"/>
  <c r="W62" i="5"/>
  <c r="Q102" i="4"/>
  <c r="X62" i="5"/>
  <c r="AA62" i="5"/>
  <c r="AI102" i="4"/>
  <c r="T102" i="4" a="1"/>
  <c r="T102" i="4"/>
  <c r="AC62" i="5"/>
  <c r="U102" i="4" a="1"/>
  <c r="U102" i="4"/>
  <c r="AD62" i="5"/>
  <c r="AI62" i="5"/>
  <c r="Y102" i="4"/>
  <c r="AJ62" i="5"/>
  <c r="Z102" i="4"/>
  <c r="AL62" i="5"/>
  <c r="F62" i="5"/>
  <c r="H62" i="5"/>
  <c r="I62" i="5"/>
  <c r="L62" i="5"/>
  <c r="N62" i="5"/>
  <c r="O62" i="5"/>
  <c r="Z62" i="5"/>
  <c r="AN62" i="5"/>
  <c r="AG63" i="5"/>
  <c r="AF63" i="5"/>
  <c r="B103" i="4"/>
  <c r="C103" i="4"/>
  <c r="C63" i="5"/>
  <c r="D103" i="4"/>
  <c r="E63" i="5"/>
  <c r="H103" i="4"/>
  <c r="K63" i="5"/>
  <c r="L103" i="4"/>
  <c r="Q63" i="5"/>
  <c r="M103" i="4"/>
  <c r="R63" i="5"/>
  <c r="T63" i="5"/>
  <c r="U63" i="5"/>
  <c r="P103" i="4"/>
  <c r="W63" i="5"/>
  <c r="Q103" i="4"/>
  <c r="X63" i="5"/>
  <c r="AA63" i="5"/>
  <c r="AI103" i="4"/>
  <c r="T103" i="4" a="1"/>
  <c r="T103" i="4"/>
  <c r="AC63" i="5"/>
  <c r="U103" i="4" a="1"/>
  <c r="U103" i="4"/>
  <c r="AD63" i="5"/>
  <c r="Y103" i="4"/>
  <c r="AJ63" i="5"/>
  <c r="Z103" i="4"/>
  <c r="AL63" i="5"/>
  <c r="F63" i="5"/>
  <c r="H63" i="5"/>
  <c r="I63" i="5"/>
  <c r="L63" i="5"/>
  <c r="N63" i="5"/>
  <c r="O63" i="5"/>
  <c r="Z63" i="5"/>
  <c r="AN63" i="5"/>
  <c r="AG64" i="5"/>
  <c r="AF64" i="5"/>
  <c r="B104" i="4"/>
  <c r="C104" i="4"/>
  <c r="C64" i="5"/>
  <c r="D104" i="4"/>
  <c r="E64" i="5"/>
  <c r="H104" i="4"/>
  <c r="K64" i="5"/>
  <c r="L104" i="4"/>
  <c r="Q64" i="5"/>
  <c r="M104" i="4"/>
  <c r="R64" i="5"/>
  <c r="T64" i="5"/>
  <c r="U64" i="5"/>
  <c r="P104" i="4"/>
  <c r="W64" i="5"/>
  <c r="Q104" i="4"/>
  <c r="X64" i="5"/>
  <c r="AA64" i="5"/>
  <c r="AI104" i="4"/>
  <c r="T104" i="4" a="1"/>
  <c r="T104" i="4"/>
  <c r="AC64" i="5"/>
  <c r="U104" i="4" a="1"/>
  <c r="U104" i="4"/>
  <c r="AD64" i="5"/>
  <c r="Y104" i="4"/>
  <c r="AJ64" i="5"/>
  <c r="Z104" i="4"/>
  <c r="AL64" i="5"/>
  <c r="F64" i="5"/>
  <c r="H64" i="5"/>
  <c r="I64" i="5"/>
  <c r="L64" i="5"/>
  <c r="N64" i="5"/>
  <c r="O64" i="5"/>
  <c r="Z64" i="5"/>
  <c r="AN64" i="5"/>
  <c r="AG65" i="5"/>
  <c r="AF65" i="5"/>
  <c r="C105" i="4"/>
  <c r="C65" i="5"/>
  <c r="T65" i="5"/>
  <c r="U65" i="5"/>
  <c r="P105" i="4"/>
  <c r="W65" i="5"/>
  <c r="Q105" i="4"/>
  <c r="X65" i="5"/>
  <c r="AA65" i="5"/>
  <c r="AI105" i="4"/>
  <c r="T105" i="4" a="1"/>
  <c r="T105" i="4"/>
  <c r="AC65" i="5"/>
  <c r="U105" i="4" a="1"/>
  <c r="U105" i="4"/>
  <c r="AD65" i="5"/>
  <c r="X105" i="4"/>
  <c r="AI65" i="5"/>
  <c r="Y105" i="4"/>
  <c r="AJ65" i="5"/>
  <c r="Z105" i="4"/>
  <c r="AL65" i="5"/>
  <c r="F65" i="5"/>
  <c r="H65" i="5"/>
  <c r="I65" i="5"/>
  <c r="L65" i="5"/>
  <c r="N65" i="5"/>
  <c r="O65" i="5"/>
  <c r="Z65" i="5"/>
  <c r="AN65" i="5"/>
  <c r="AG66" i="5"/>
  <c r="AF66" i="5"/>
  <c r="C106" i="4"/>
  <c r="C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C107" i="4"/>
  <c r="C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108" i="4"/>
  <c r="C68" i="5"/>
  <c r="D108" i="4"/>
  <c r="E68" i="5"/>
  <c r="H108" i="4"/>
  <c r="K68" i="5"/>
  <c r="L108" i="4"/>
  <c r="Q68" i="5"/>
  <c r="M108" i="4"/>
  <c r="R68" i="5"/>
  <c r="T68" i="5"/>
  <c r="U68" i="5"/>
  <c r="P108" i="4"/>
  <c r="W68" i="5"/>
  <c r="Q108" i="4"/>
  <c r="X68" i="5"/>
  <c r="AA68" i="5"/>
  <c r="AI108" i="4"/>
  <c r="T108" i="4" a="1"/>
  <c r="T108" i="4"/>
  <c r="AC68" i="5"/>
  <c r="U108" i="4" a="1"/>
  <c r="U108" i="4"/>
  <c r="AD68" i="5"/>
  <c r="Y108" i="4"/>
  <c r="AJ68" i="5"/>
  <c r="Z108" i="4"/>
  <c r="AL68" i="5"/>
  <c r="F68" i="5"/>
  <c r="H68" i="5"/>
  <c r="I68" i="5"/>
  <c r="L68" i="5"/>
  <c r="N68" i="5"/>
  <c r="O68" i="5"/>
  <c r="Z68" i="5"/>
  <c r="AN68" i="5"/>
  <c r="AG69" i="5"/>
  <c r="AF69" i="5"/>
  <c r="C109" i="4"/>
  <c r="C69" i="5"/>
  <c r="D109" i="4"/>
  <c r="E69" i="5"/>
  <c r="H109" i="4"/>
  <c r="K69" i="5"/>
  <c r="I109" i="4"/>
  <c r="L69" i="5"/>
  <c r="J109" i="4"/>
  <c r="N69" i="5"/>
  <c r="O69" i="5"/>
  <c r="L109" i="4"/>
  <c r="Q69" i="5"/>
  <c r="M109" i="4"/>
  <c r="R69" i="5"/>
  <c r="N109" i="4"/>
  <c r="T69" i="5"/>
  <c r="O109" i="4"/>
  <c r="U69" i="5"/>
  <c r="P109" i="4"/>
  <c r="W69" i="5"/>
  <c r="Q109" i="4"/>
  <c r="X69" i="5"/>
  <c r="AA69" i="5"/>
  <c r="AI109" i="4"/>
  <c r="T109" i="4" a="1"/>
  <c r="T109" i="4"/>
  <c r="AC69" i="5"/>
  <c r="AD69" i="5"/>
  <c r="X109" i="4"/>
  <c r="AI69" i="5"/>
  <c r="Y109" i="4"/>
  <c r="AJ69" i="5"/>
  <c r="Z109" i="4"/>
  <c r="AL69" i="5"/>
  <c r="F69" i="5"/>
  <c r="H69" i="5"/>
  <c r="I69" i="5"/>
  <c r="Z69" i="5"/>
  <c r="AN69" i="5"/>
  <c r="AG70" i="5"/>
  <c r="AF70" i="5"/>
  <c r="C110" i="4"/>
  <c r="C70" i="5"/>
  <c r="D110" i="4"/>
  <c r="E70" i="5"/>
  <c r="H110" i="4"/>
  <c r="K70" i="5"/>
  <c r="L110" i="4"/>
  <c r="Q70" i="5"/>
  <c r="M110" i="4"/>
  <c r="R70" i="5"/>
  <c r="N110" i="4"/>
  <c r="T70" i="5"/>
  <c r="O110" i="4"/>
  <c r="U70" i="5"/>
  <c r="P110" i="4"/>
  <c r="W70" i="5"/>
  <c r="Q110" i="4"/>
  <c r="X70" i="5"/>
  <c r="AA70" i="5"/>
  <c r="AI110" i="4"/>
  <c r="T110" i="4" a="1"/>
  <c r="T110" i="4"/>
  <c r="AC70" i="5"/>
  <c r="U110" i="4" a="1"/>
  <c r="U110" i="4"/>
  <c r="AD70" i="5"/>
  <c r="Y110" i="4"/>
  <c r="AJ70" i="5"/>
  <c r="Z110" i="4"/>
  <c r="AL70" i="5"/>
  <c r="F70" i="5"/>
  <c r="H70" i="5"/>
  <c r="I70" i="5"/>
  <c r="L70" i="5"/>
  <c r="N70" i="5"/>
  <c r="O70" i="5"/>
  <c r="Z70" i="5"/>
  <c r="AN70" i="5"/>
  <c r="AG71" i="5"/>
  <c r="AF71" i="5"/>
  <c r="B111" i="4"/>
  <c r="C111" i="4"/>
  <c r="C71" i="5"/>
  <c r="D111" i="4"/>
  <c r="E71" i="5"/>
  <c r="H111" i="4"/>
  <c r="K71" i="5"/>
  <c r="L111" i="4"/>
  <c r="Q71" i="5"/>
  <c r="M111" i="4"/>
  <c r="R71" i="5"/>
  <c r="T71" i="5"/>
  <c r="U71" i="5"/>
  <c r="P111" i="4"/>
  <c r="W71" i="5"/>
  <c r="Q111" i="4"/>
  <c r="X71" i="5"/>
  <c r="AA71" i="5"/>
  <c r="AI111" i="4"/>
  <c r="T111" i="4" a="1"/>
  <c r="T111" i="4"/>
  <c r="AC71" i="5"/>
  <c r="U111" i="4" a="1"/>
  <c r="U111" i="4"/>
  <c r="AD71" i="5"/>
  <c r="Y111" i="4"/>
  <c r="AJ71" i="5"/>
  <c r="Z111" i="4"/>
  <c r="AL71" i="5"/>
  <c r="F71" i="5"/>
  <c r="H71" i="5"/>
  <c r="I71" i="5"/>
  <c r="L71" i="5"/>
  <c r="N71" i="5"/>
  <c r="O71" i="5"/>
  <c r="Z71" i="5"/>
  <c r="AN71" i="5"/>
  <c r="AG72" i="5"/>
  <c r="AF72" i="5"/>
  <c r="C112" i="4"/>
  <c r="C72" i="5"/>
  <c r="D112" i="4"/>
  <c r="E72" i="5"/>
  <c r="H112" i="4"/>
  <c r="K72" i="5"/>
  <c r="L112" i="4"/>
  <c r="Q72" i="5"/>
  <c r="M112" i="4"/>
  <c r="R72" i="5"/>
  <c r="T72" i="5"/>
  <c r="O112" i="4"/>
  <c r="U72" i="5"/>
  <c r="P112" i="4"/>
  <c r="W72" i="5"/>
  <c r="Q112" i="4"/>
  <c r="X72" i="5"/>
  <c r="S112" i="4"/>
  <c r="AA72" i="5"/>
  <c r="AI112" i="4"/>
  <c r="T112" i="4" a="1"/>
  <c r="T112" i="4"/>
  <c r="AC72" i="5"/>
  <c r="U112" i="4" a="1"/>
  <c r="U112" i="4"/>
  <c r="AD72" i="5"/>
  <c r="X112" i="4"/>
  <c r="AI72" i="5"/>
  <c r="Y112" i="4"/>
  <c r="AJ72" i="5"/>
  <c r="Z112" i="4"/>
  <c r="AL72" i="5"/>
  <c r="F72" i="5"/>
  <c r="H72" i="5"/>
  <c r="I72" i="5"/>
  <c r="L72" i="5"/>
  <c r="N72" i="5"/>
  <c r="O72" i="5"/>
  <c r="Z72" i="5"/>
  <c r="AN72" i="5"/>
  <c r="AG73" i="5"/>
  <c r="AF73" i="5"/>
  <c r="C114" i="4"/>
  <c r="C73" i="5"/>
  <c r="D114" i="4"/>
  <c r="E73" i="5"/>
  <c r="E114" i="4"/>
  <c r="F73" i="5"/>
  <c r="F114" i="4"/>
  <c r="H73" i="5"/>
  <c r="I73" i="5"/>
  <c r="H114" i="4"/>
  <c r="K73" i="5"/>
  <c r="L114" i="4"/>
  <c r="Q73" i="5"/>
  <c r="M114" i="4"/>
  <c r="R73" i="5"/>
  <c r="T73" i="5"/>
  <c r="U73" i="5"/>
  <c r="P114" i="4"/>
  <c r="W73" i="5"/>
  <c r="Q114" i="4"/>
  <c r="X73" i="5"/>
  <c r="S114" i="4"/>
  <c r="AA73" i="5"/>
  <c r="AI114" i="4"/>
  <c r="T114" i="4" a="1"/>
  <c r="T114" i="4"/>
  <c r="AC73" i="5"/>
  <c r="U114" i="4" a="1"/>
  <c r="U114" i="4"/>
  <c r="AD73" i="5"/>
  <c r="X114" i="4"/>
  <c r="AI73" i="5"/>
  <c r="Y114" i="4"/>
  <c r="AJ73" i="5"/>
  <c r="Z114" i="4"/>
  <c r="AL73" i="5"/>
  <c r="L73" i="5"/>
  <c r="N73" i="5"/>
  <c r="O73" i="5"/>
  <c r="Z73" i="5"/>
  <c r="AN73" i="5"/>
  <c r="AG74" i="5"/>
  <c r="AF74" i="5"/>
  <c r="C115" i="4"/>
  <c r="C74" i="5"/>
  <c r="D115" i="4"/>
  <c r="E74" i="5"/>
  <c r="H115" i="4"/>
  <c r="K74" i="5"/>
  <c r="L115" i="4"/>
  <c r="Q74" i="5"/>
  <c r="M115" i="4"/>
  <c r="R74" i="5"/>
  <c r="T74" i="5"/>
  <c r="U74" i="5"/>
  <c r="P115" i="4"/>
  <c r="W74" i="5"/>
  <c r="Q115" i="4"/>
  <c r="X74" i="5"/>
  <c r="S115" i="4"/>
  <c r="AA74" i="5"/>
  <c r="AI115" i="4"/>
  <c r="T115" i="4" a="1"/>
  <c r="T115" i="4"/>
  <c r="AC74" i="5"/>
  <c r="U115" i="4" a="1"/>
  <c r="U115" i="4"/>
  <c r="AD74" i="5"/>
  <c r="X115" i="4"/>
  <c r="AI74" i="5"/>
  <c r="Y115" i="4"/>
  <c r="AJ74" i="5"/>
  <c r="Z115" i="4"/>
  <c r="AL74" i="5"/>
  <c r="F74" i="5"/>
  <c r="H74" i="5"/>
  <c r="I74" i="5"/>
  <c r="L74" i="5"/>
  <c r="N74" i="5"/>
  <c r="O74" i="5"/>
  <c r="Z74" i="5"/>
  <c r="AN74" i="5"/>
  <c r="AG75" i="5"/>
  <c r="AF75" i="5"/>
  <c r="C116" i="4"/>
  <c r="C75" i="5"/>
  <c r="D116" i="4"/>
  <c r="E75" i="5"/>
  <c r="H116" i="4"/>
  <c r="K75" i="5"/>
  <c r="L116" i="4"/>
  <c r="Q75" i="5"/>
  <c r="R75" i="5"/>
  <c r="T75" i="5"/>
  <c r="O116" i="4"/>
  <c r="U75" i="5"/>
  <c r="P116" i="4"/>
  <c r="W75" i="5"/>
  <c r="Q116" i="4"/>
  <c r="X75" i="5"/>
  <c r="S116" i="4"/>
  <c r="AA75" i="5"/>
  <c r="AI116" i="4"/>
  <c r="T116" i="4" a="1"/>
  <c r="T116" i="4"/>
  <c r="AC75" i="5"/>
  <c r="U116" i="4" a="1"/>
  <c r="U116" i="4"/>
  <c r="AD75" i="5"/>
  <c r="X116" i="4"/>
  <c r="AI75" i="5"/>
  <c r="Y116" i="4"/>
  <c r="AJ75" i="5"/>
  <c r="Z116" i="4"/>
  <c r="AL75" i="5"/>
  <c r="F75" i="5"/>
  <c r="H75" i="5"/>
  <c r="I75" i="5"/>
  <c r="L75" i="5"/>
  <c r="N75" i="5"/>
  <c r="O75" i="5"/>
  <c r="Z75" i="5"/>
  <c r="AN75" i="5"/>
  <c r="AG76" i="5"/>
  <c r="AF76" i="5"/>
  <c r="B117" i="4"/>
  <c r="C117" i="4"/>
  <c r="C76" i="5"/>
  <c r="D117" i="4"/>
  <c r="E76" i="5"/>
  <c r="H117" i="4"/>
  <c r="K76" i="5"/>
  <c r="L117" i="4"/>
  <c r="Q76" i="5"/>
  <c r="M117" i="4"/>
  <c r="R76" i="5"/>
  <c r="T76" i="5"/>
  <c r="U76" i="5"/>
  <c r="P117" i="4"/>
  <c r="W76" i="5"/>
  <c r="Q117" i="4"/>
  <c r="X76" i="5"/>
  <c r="S117" i="4"/>
  <c r="AA76" i="5"/>
  <c r="AI117" i="4"/>
  <c r="T117" i="4" a="1"/>
  <c r="T117" i="4"/>
  <c r="AC76" i="5"/>
  <c r="U117" i="4" a="1"/>
  <c r="U117" i="4"/>
  <c r="AD76" i="5"/>
  <c r="X117" i="4"/>
  <c r="AI76" i="5"/>
  <c r="Y117" i="4"/>
  <c r="AJ76" i="5"/>
  <c r="Z117" i="4"/>
  <c r="AL76" i="5"/>
  <c r="F76" i="5"/>
  <c r="H76" i="5"/>
  <c r="I76" i="5"/>
  <c r="L76" i="5"/>
  <c r="N76" i="5"/>
  <c r="O76" i="5"/>
  <c r="Z76" i="5"/>
  <c r="AN76" i="5"/>
  <c r="AG77" i="5"/>
  <c r="AF77" i="5"/>
  <c r="C118" i="4"/>
  <c r="C77" i="5"/>
  <c r="D118" i="4"/>
  <c r="E77" i="5"/>
  <c r="E118" i="4"/>
  <c r="F77" i="5"/>
  <c r="F118" i="4"/>
  <c r="H77" i="5"/>
  <c r="I77" i="5"/>
  <c r="H118" i="4"/>
  <c r="K77" i="5"/>
  <c r="L118" i="4"/>
  <c r="Q77" i="5"/>
  <c r="M118" i="4"/>
  <c r="R77" i="5"/>
  <c r="T77" i="5"/>
  <c r="U77" i="5"/>
  <c r="P118" i="4"/>
  <c r="W77" i="5"/>
  <c r="Q118" i="4"/>
  <c r="X77" i="5"/>
  <c r="AA77" i="5"/>
  <c r="AI118" i="4"/>
  <c r="T118" i="4" a="1"/>
  <c r="T118" i="4"/>
  <c r="AC77" i="5"/>
  <c r="AD77" i="5"/>
  <c r="X118" i="4"/>
  <c r="AI77" i="5"/>
  <c r="Y118" i="4"/>
  <c r="AJ77" i="5"/>
  <c r="Z118" i="4"/>
  <c r="AL77" i="5"/>
  <c r="L77" i="5"/>
  <c r="N77" i="5"/>
  <c r="O77" i="5"/>
  <c r="Z77" i="5"/>
  <c r="AN77" i="5"/>
  <c r="AG78" i="5"/>
  <c r="AF78" i="5"/>
  <c r="C119" i="4"/>
  <c r="C78" i="5"/>
  <c r="T78" i="5"/>
  <c r="U78" i="5"/>
  <c r="P119" i="4"/>
  <c r="W78" i="5"/>
  <c r="Q119" i="4"/>
  <c r="X78" i="5"/>
  <c r="S119" i="4"/>
  <c r="AA78" i="5"/>
  <c r="X119" i="4"/>
  <c r="AI78" i="5"/>
  <c r="Y119" i="4"/>
  <c r="AJ78" i="5"/>
  <c r="Z119" i="4"/>
  <c r="AL78" i="5"/>
  <c r="Z78" i="5"/>
  <c r="AN78" i="5"/>
  <c r="AG79" i="5"/>
  <c r="AF79" i="5"/>
  <c r="B120" i="4"/>
  <c r="C120" i="4"/>
  <c r="C79" i="5"/>
  <c r="D120" i="4"/>
  <c r="E79" i="5"/>
  <c r="E120" i="4"/>
  <c r="F79" i="5"/>
  <c r="F120" i="4"/>
  <c r="H79" i="5"/>
  <c r="I79" i="5"/>
  <c r="H120" i="4"/>
  <c r="K79" i="5"/>
  <c r="L120" i="4"/>
  <c r="Q79" i="5"/>
  <c r="M120" i="4"/>
  <c r="R79" i="5"/>
  <c r="T79" i="5"/>
  <c r="U79" i="5"/>
  <c r="P120" i="4"/>
  <c r="W79" i="5"/>
  <c r="Q120" i="4"/>
  <c r="X79" i="5"/>
  <c r="S120" i="4"/>
  <c r="AA79" i="5"/>
  <c r="AI120" i="4"/>
  <c r="T120" i="4" a="1"/>
  <c r="T120" i="4"/>
  <c r="AC79" i="5"/>
  <c r="AD79" i="5"/>
  <c r="X120" i="4"/>
  <c r="AI79" i="5"/>
  <c r="Y120" i="4"/>
  <c r="AJ79" i="5"/>
  <c r="Z120" i="4"/>
  <c r="AL79" i="5"/>
  <c r="L79" i="5"/>
  <c r="N79" i="5"/>
  <c r="O79" i="5"/>
  <c r="Z79" i="5"/>
  <c r="AN79" i="5"/>
  <c r="AG80" i="5"/>
  <c r="AF80" i="5"/>
  <c r="C121" i="4"/>
  <c r="C80" i="5"/>
  <c r="D121" i="4"/>
  <c r="E80" i="5"/>
  <c r="H121" i="4"/>
  <c r="K80" i="5"/>
  <c r="L121" i="4"/>
  <c r="Q80" i="5"/>
  <c r="M121" i="4"/>
  <c r="R80" i="5"/>
  <c r="T80" i="5"/>
  <c r="O121" i="4"/>
  <c r="U80" i="5"/>
  <c r="P121" i="4"/>
  <c r="W80" i="5"/>
  <c r="Q121" i="4"/>
  <c r="X80" i="5"/>
  <c r="S121" i="4"/>
  <c r="AA80" i="5"/>
  <c r="AI121" i="4"/>
  <c r="T121" i="4" a="1"/>
  <c r="T121" i="4"/>
  <c r="AC80" i="5"/>
  <c r="U121" i="4" a="1"/>
  <c r="U121" i="4"/>
  <c r="AD80" i="5"/>
  <c r="X121" i="4"/>
  <c r="AI80" i="5"/>
  <c r="Y121" i="4"/>
  <c r="AJ80" i="5"/>
  <c r="Z121" i="4"/>
  <c r="AL80" i="5"/>
  <c r="F80" i="5"/>
  <c r="H80" i="5"/>
  <c r="I80" i="5"/>
  <c r="L80" i="5"/>
  <c r="N80" i="5"/>
  <c r="O80" i="5"/>
  <c r="Z80" i="5"/>
  <c r="AN80" i="5"/>
  <c r="AG81" i="5"/>
  <c r="AF81" i="5"/>
  <c r="C41" i="4"/>
  <c r="C81" i="5"/>
  <c r="D41" i="4"/>
  <c r="E81" i="5"/>
  <c r="K81" i="5"/>
  <c r="L41" i="4"/>
  <c r="Q81" i="5"/>
  <c r="R81" i="5"/>
  <c r="T81" i="5"/>
  <c r="O41" i="4"/>
  <c r="U81" i="5"/>
  <c r="P41" i="4"/>
  <c r="W81" i="5"/>
  <c r="Q41" i="4"/>
  <c r="X81" i="5"/>
  <c r="S41" i="4"/>
  <c r="AA81" i="5"/>
  <c r="AI41" i="4"/>
  <c r="T41" i="4" a="1"/>
  <c r="T41" i="4"/>
  <c r="AC81" i="5"/>
  <c r="U41" i="4" a="1"/>
  <c r="U41" i="4"/>
  <c r="AD81" i="5"/>
  <c r="X41" i="4"/>
  <c r="AI81" i="5"/>
  <c r="Y41" i="4"/>
  <c r="AJ81" i="5"/>
  <c r="Z41" i="4"/>
  <c r="AL81" i="5"/>
  <c r="F81" i="5"/>
  <c r="H81" i="5"/>
  <c r="I81" i="5"/>
  <c r="L81" i="5"/>
  <c r="N81" i="5"/>
  <c r="O81" i="5"/>
  <c r="Z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I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F82" i="5"/>
  <c r="H82" i="5"/>
  <c r="I82" i="5"/>
  <c r="L82" i="5"/>
  <c r="N82" i="5"/>
  <c r="O82" i="5"/>
  <c r="Z82" i="5"/>
  <c r="AN82" i="5"/>
  <c r="AG83" i="5"/>
  <c r="AF83" i="5"/>
  <c r="C42" i="4"/>
  <c r="C83" i="5"/>
  <c r="D42" i="4"/>
  <c r="E83" i="5"/>
  <c r="K83" i="5"/>
  <c r="L42" i="4"/>
  <c r="Q83" i="5"/>
  <c r="M42" i="4"/>
  <c r="R83" i="5"/>
  <c r="T83" i="5"/>
  <c r="O42" i="4"/>
  <c r="U83" i="5"/>
  <c r="P42" i="4"/>
  <c r="W83" i="5"/>
  <c r="Q42" i="4"/>
  <c r="X83" i="5"/>
  <c r="S42" i="4"/>
  <c r="AA83" i="5"/>
  <c r="AI42" i="4"/>
  <c r="T42" i="4" a="1"/>
  <c r="T42" i="4"/>
  <c r="AC83" i="5"/>
  <c r="U42" i="4" a="1"/>
  <c r="U42" i="4"/>
  <c r="AD83" i="5"/>
  <c r="X42" i="4"/>
  <c r="AI83" i="5"/>
  <c r="Y42" i="4"/>
  <c r="AJ83" i="5"/>
  <c r="Z42" i="4"/>
  <c r="AL83" i="5"/>
  <c r="F83" i="5"/>
  <c r="H83" i="5"/>
  <c r="I83" i="5"/>
  <c r="L83" i="5"/>
  <c r="N83" i="5"/>
  <c r="O83" i="5"/>
  <c r="Z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I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F84" i="5"/>
  <c r="H84" i="5"/>
  <c r="I84" i="5"/>
  <c r="L84" i="5"/>
  <c r="N84" i="5"/>
  <c r="O84" i="5"/>
  <c r="Z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X25" i="4"/>
  <c r="AI85" i="5"/>
  <c r="Y25" i="4"/>
  <c r="AJ85" i="5"/>
  <c r="Z25" i="4"/>
  <c r="AL85" i="5"/>
  <c r="F85" i="5"/>
  <c r="H85" i="5"/>
  <c r="I85" i="5"/>
  <c r="L85" i="5"/>
  <c r="N85" i="5"/>
  <c r="O85" i="5"/>
  <c r="Z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I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F86" i="5"/>
  <c r="H86" i="5"/>
  <c r="I86" i="5"/>
  <c r="L86" i="5"/>
  <c r="N86" i="5"/>
  <c r="O86" i="5"/>
  <c r="Z86" i="5"/>
  <c r="AN86" i="5"/>
  <c r="AG87" i="5"/>
  <c r="AF87" i="5"/>
  <c r="C122" i="4"/>
  <c r="C87" i="5"/>
  <c r="T87" i="5"/>
  <c r="O122" i="4"/>
  <c r="U87" i="5"/>
  <c r="P122" i="4"/>
  <c r="W87" i="5"/>
  <c r="Q122" i="4"/>
  <c r="X87" i="5"/>
  <c r="S122" i="4"/>
  <c r="AA87" i="5"/>
  <c r="AI122" i="4"/>
  <c r="T122" i="4" a="1"/>
  <c r="T122" i="4"/>
  <c r="AC87" i="5"/>
  <c r="U122" i="4" a="1"/>
  <c r="U122" i="4"/>
  <c r="AD87" i="5"/>
  <c r="X122" i="4"/>
  <c r="AI87" i="5"/>
  <c r="Y122" i="4"/>
  <c r="AJ87" i="5"/>
  <c r="Z122" i="4"/>
  <c r="AL87" i="5"/>
  <c r="L87" i="5"/>
  <c r="N87" i="5"/>
  <c r="O87" i="5"/>
  <c r="Z87" i="5"/>
  <c r="AN87" i="5"/>
  <c r="AG88" i="5"/>
  <c r="AF88" i="5"/>
  <c r="C123" i="4"/>
  <c r="C88" i="5"/>
  <c r="T88" i="5"/>
  <c r="O123" i="4"/>
  <c r="U88" i="5"/>
  <c r="P123" i="4"/>
  <c r="W88" i="5"/>
  <c r="Q123" i="4"/>
  <c r="X88" i="5"/>
  <c r="S123" i="4"/>
  <c r="AA88" i="5"/>
  <c r="AI123" i="4"/>
  <c r="T123" i="4" a="1"/>
  <c r="T123" i="4"/>
  <c r="AC88" i="5"/>
  <c r="U123" i="4" a="1"/>
  <c r="U123" i="4"/>
  <c r="AD88" i="5"/>
  <c r="X123" i="4"/>
  <c r="AI88" i="5"/>
  <c r="Y123" i="4"/>
  <c r="AJ88" i="5"/>
  <c r="Z123" i="4"/>
  <c r="AL88" i="5"/>
  <c r="L88" i="5"/>
  <c r="N88" i="5"/>
  <c r="O88" i="5"/>
  <c r="Z88" i="5"/>
  <c r="AN88" i="5"/>
  <c r="AG89" i="5"/>
  <c r="AF89" i="5"/>
  <c r="B124" i="4"/>
  <c r="C124" i="4"/>
  <c r="C89" i="5"/>
  <c r="D124" i="4"/>
  <c r="E89" i="5"/>
  <c r="E124" i="4"/>
  <c r="F89" i="5"/>
  <c r="F124" i="4"/>
  <c r="H89" i="5"/>
  <c r="I89" i="5"/>
  <c r="H124" i="4"/>
  <c r="K89" i="5"/>
  <c r="L124" i="4"/>
  <c r="Q89" i="5"/>
  <c r="M124" i="4"/>
  <c r="R89" i="5"/>
  <c r="T89" i="5"/>
  <c r="U89" i="5"/>
  <c r="P124" i="4"/>
  <c r="W89" i="5"/>
  <c r="Q124" i="4"/>
  <c r="X89" i="5"/>
  <c r="S124" i="4"/>
  <c r="AA89" i="5"/>
  <c r="AI124" i="4"/>
  <c r="T124" i="4" a="1"/>
  <c r="T124" i="4"/>
  <c r="AC89" i="5"/>
  <c r="U124" i="4" a="1"/>
  <c r="U124" i="4"/>
  <c r="AD89" i="5"/>
  <c r="X124" i="4"/>
  <c r="AI89" i="5"/>
  <c r="Y124" i="4"/>
  <c r="AJ89" i="5"/>
  <c r="Z124" i="4"/>
  <c r="AL89" i="5"/>
  <c r="L89" i="5"/>
  <c r="N89" i="5"/>
  <c r="O89" i="5"/>
  <c r="Z89" i="5"/>
  <c r="AN89" i="5"/>
  <c r="B44" i="4"/>
  <c r="S44" i="4"/>
  <c r="AA90" i="5"/>
  <c r="P44" i="4"/>
  <c r="W90" i="5"/>
  <c r="K44" i="4"/>
  <c r="O90" i="5"/>
  <c r="H44" i="4"/>
  <c r="K90" i="5"/>
  <c r="W44" i="4"/>
  <c r="AG90" i="5"/>
  <c r="V44" i="4"/>
  <c r="AF90" i="5"/>
  <c r="C44" i="4"/>
  <c r="C90" i="5"/>
  <c r="D44" i="4"/>
  <c r="E90" i="5"/>
  <c r="G44" i="4"/>
  <c r="I90" i="5"/>
  <c r="I44" i="4"/>
  <c r="L90" i="5"/>
  <c r="J44" i="4"/>
  <c r="N90" i="5"/>
  <c r="L44" i="4"/>
  <c r="Q90" i="5"/>
  <c r="O44" i="4"/>
  <c r="U90" i="5"/>
  <c r="Q44" i="4"/>
  <c r="X90" i="5"/>
  <c r="R44" i="4"/>
  <c r="Z90" i="5"/>
  <c r="AI44" i="4"/>
  <c r="T44" i="4" a="1"/>
  <c r="T44" i="4"/>
  <c r="AC90" i="5"/>
  <c r="U44" i="4" a="1"/>
  <c r="U44" i="4"/>
  <c r="AD90" i="5"/>
  <c r="X44" i="4"/>
  <c r="AI90" i="5"/>
  <c r="Y44" i="4"/>
  <c r="AJ90" i="5"/>
  <c r="Z44" i="4"/>
  <c r="AL90" i="5"/>
  <c r="R90" i="5"/>
  <c r="T90" i="5"/>
  <c r="F90" i="5"/>
  <c r="H90" i="5"/>
  <c r="AN90" i="5"/>
  <c r="S45" i="4"/>
  <c r="AA91" i="5"/>
  <c r="P45" i="4"/>
  <c r="W91" i="5"/>
  <c r="AG91" i="5"/>
  <c r="AF91" i="5"/>
  <c r="C45" i="4"/>
  <c r="C91" i="5"/>
  <c r="O45" i="4"/>
  <c r="U91" i="5"/>
  <c r="Q45" i="4"/>
  <c r="X91" i="5"/>
  <c r="R45" i="4"/>
  <c r="Z91" i="5"/>
  <c r="X45" i="4"/>
  <c r="AI91" i="5"/>
  <c r="Y45" i="4"/>
  <c r="AJ91" i="5"/>
  <c r="Z45" i="4"/>
  <c r="AL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B32" i="4"/>
  <c r="C32" i="4"/>
  <c r="C93" i="5"/>
  <c r="D32" i="4"/>
  <c r="E93" i="5"/>
  <c r="K93" i="5"/>
  <c r="L32" i="4"/>
  <c r="Q93" i="5"/>
  <c r="M32" i="4"/>
  <c r="R93" i="5"/>
  <c r="T93" i="5"/>
  <c r="U93" i="5"/>
  <c r="P32" i="4"/>
  <c r="W93" i="5"/>
  <c r="Q32" i="4"/>
  <c r="X93" i="5"/>
  <c r="S32" i="4"/>
  <c r="AA93" i="5"/>
  <c r="AI32" i="4"/>
  <c r="T32" i="4" a="1"/>
  <c r="T32" i="4"/>
  <c r="AC93" i="5"/>
  <c r="U32" i="4" a="1"/>
  <c r="U32" i="4"/>
  <c r="AD93" i="5"/>
  <c r="X32" i="4"/>
  <c r="AI93" i="5"/>
  <c r="Y32" i="4"/>
  <c r="AJ93" i="5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I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F95" i="5"/>
  <c r="H95" i="5"/>
  <c r="I95" i="5"/>
  <c r="L95" i="5"/>
  <c r="N95" i="5"/>
  <c r="O95" i="5"/>
  <c r="Z95" i="5"/>
  <c r="AN95" i="5"/>
  <c r="AG96" i="5"/>
  <c r="AF96" i="5"/>
  <c r="B46" i="4"/>
  <c r="C46" i="4"/>
  <c r="C96" i="5"/>
  <c r="D46" i="4"/>
  <c r="E96" i="5"/>
  <c r="K96" i="5"/>
  <c r="L46" i="4"/>
  <c r="Q96" i="5"/>
  <c r="M46" i="4"/>
  <c r="R96" i="5"/>
  <c r="T96" i="5"/>
  <c r="U96" i="5"/>
  <c r="P46" i="4"/>
  <c r="W96" i="5"/>
  <c r="Q46" i="4"/>
  <c r="X96" i="5"/>
  <c r="AA96" i="5"/>
  <c r="AI46" i="4"/>
  <c r="T46" i="4" a="1"/>
  <c r="T46" i="4"/>
  <c r="AC96" i="5"/>
  <c r="U46" i="4" a="1"/>
  <c r="U46" i="4"/>
  <c r="AD96" i="5"/>
  <c r="Y46" i="4"/>
  <c r="AJ96" i="5"/>
  <c r="Z4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9" i="5"/>
  <c r="AF99" i="5"/>
  <c r="B47" i="4"/>
  <c r="C47" i="4"/>
  <c r="C99" i="5"/>
  <c r="D47" i="4"/>
  <c r="E99" i="5"/>
  <c r="K99" i="5"/>
  <c r="L47" i="4"/>
  <c r="Q99" i="5"/>
  <c r="M47" i="4"/>
  <c r="R99" i="5"/>
  <c r="T99" i="5"/>
  <c r="U99" i="5"/>
  <c r="P47" i="4"/>
  <c r="W99" i="5"/>
  <c r="Q47" i="4"/>
  <c r="X99" i="5"/>
  <c r="AA99" i="5"/>
  <c r="AI47" i="4"/>
  <c r="T47" i="4" a="1"/>
  <c r="T47" i="4"/>
  <c r="AC99" i="5"/>
  <c r="U47" i="4" a="1"/>
  <c r="U47" i="4"/>
  <c r="AD99" i="5"/>
  <c r="Y47" i="4"/>
  <c r="AJ99" i="5"/>
  <c r="Z47" i="4"/>
  <c r="AL99" i="5"/>
  <c r="F99" i="5"/>
  <c r="H99" i="5"/>
  <c r="I99" i="5"/>
  <c r="L99" i="5"/>
  <c r="N99" i="5"/>
  <c r="O99" i="5"/>
  <c r="Z99" i="5"/>
  <c r="AN99" i="5"/>
  <c r="AG100" i="5"/>
  <c r="AF100" i="5"/>
  <c r="B284" i="4"/>
  <c r="C284" i="4"/>
  <c r="C100" i="5"/>
  <c r="D284" i="4"/>
  <c r="E100" i="5"/>
  <c r="K100" i="5"/>
  <c r="L284" i="4"/>
  <c r="Q100" i="5"/>
  <c r="M284" i="4"/>
  <c r="R100" i="5"/>
  <c r="T100" i="5"/>
  <c r="O284" i="4"/>
  <c r="U100" i="5"/>
  <c r="P284" i="4"/>
  <c r="W100" i="5"/>
  <c r="Q284" i="4"/>
  <c r="X100" i="5"/>
  <c r="S284" i="4"/>
  <c r="AA100" i="5"/>
  <c r="AI284" i="4"/>
  <c r="T284" i="4" a="1"/>
  <c r="T284" i="4"/>
  <c r="AC100" i="5"/>
  <c r="U284" i="4" a="1"/>
  <c r="U284" i="4"/>
  <c r="AD100" i="5"/>
  <c r="X284" i="4"/>
  <c r="AI100" i="5"/>
  <c r="Y284" i="4"/>
  <c r="AJ100" i="5"/>
  <c r="Z284" i="4"/>
  <c r="AL100" i="5"/>
  <c r="F100" i="5"/>
  <c r="I100" i="5"/>
  <c r="L100" i="5"/>
  <c r="N100" i="5"/>
  <c r="O100" i="5"/>
  <c r="Z100" i="5"/>
  <c r="AN100" i="5"/>
  <c r="AG101" i="5"/>
  <c r="AF101" i="5"/>
  <c r="B126" i="4"/>
  <c r="C126" i="4"/>
  <c r="C101" i="5"/>
  <c r="D126" i="4"/>
  <c r="E101" i="5"/>
  <c r="H126" i="4"/>
  <c r="K101" i="5"/>
  <c r="L126" i="4"/>
  <c r="Q101" i="5"/>
  <c r="M126" i="4"/>
  <c r="R101" i="5"/>
  <c r="N126" i="4"/>
  <c r="T101" i="5"/>
  <c r="O126" i="4"/>
  <c r="U101" i="5"/>
  <c r="P126" i="4"/>
  <c r="W101" i="5"/>
  <c r="Q126" i="4"/>
  <c r="X101" i="5"/>
  <c r="S126" i="4"/>
  <c r="AA101" i="5"/>
  <c r="AI126" i="4"/>
  <c r="T126" i="4" a="1"/>
  <c r="T126" i="4"/>
  <c r="AC101" i="5"/>
  <c r="U126" i="4" a="1"/>
  <c r="U126" i="4"/>
  <c r="AD101" i="5"/>
  <c r="X126" i="4"/>
  <c r="AI101" i="5"/>
  <c r="Y126" i="4"/>
  <c r="AJ101" i="5"/>
  <c r="Z126" i="4"/>
  <c r="AL101" i="5"/>
  <c r="F101" i="5"/>
  <c r="I101" i="5"/>
  <c r="L101" i="5"/>
  <c r="N101" i="5"/>
  <c r="O101" i="5"/>
  <c r="Z101" i="5"/>
  <c r="AN101" i="5"/>
  <c r="O102" i="5"/>
  <c r="H127" i="4"/>
  <c r="K102" i="5"/>
  <c r="AG102" i="5"/>
  <c r="AF102" i="5"/>
  <c r="C127" i="4"/>
  <c r="C102" i="5"/>
  <c r="D127" i="4"/>
  <c r="E102" i="5"/>
  <c r="I127" i="4"/>
  <c r="L102" i="5"/>
  <c r="J127" i="4"/>
  <c r="N102" i="5"/>
  <c r="L127" i="4"/>
  <c r="Q102" i="5"/>
  <c r="M127" i="4"/>
  <c r="R102" i="5"/>
  <c r="T102" i="5"/>
  <c r="U102" i="5"/>
  <c r="P127" i="4"/>
  <c r="W102" i="5"/>
  <c r="Q127" i="4"/>
  <c r="X102" i="5"/>
  <c r="S127" i="4"/>
  <c r="AA102" i="5"/>
  <c r="AI127" i="4"/>
  <c r="T127" i="4" a="1"/>
  <c r="T127" i="4"/>
  <c r="AC102" i="5"/>
  <c r="U127" i="4" a="1"/>
  <c r="U127" i="4"/>
  <c r="AD102" i="5"/>
  <c r="X127" i="4"/>
  <c r="AI102" i="5"/>
  <c r="Y127" i="4"/>
  <c r="AJ102" i="5"/>
  <c r="Z127" i="4"/>
  <c r="AL102" i="5"/>
  <c r="H102" i="5"/>
  <c r="I102" i="5"/>
  <c r="F102" i="5"/>
  <c r="Z102" i="5"/>
  <c r="AN102" i="5"/>
  <c r="AG103" i="5"/>
  <c r="AF103" i="5"/>
  <c r="B128" i="4"/>
  <c r="C128" i="4"/>
  <c r="C103" i="5"/>
  <c r="D128" i="4"/>
  <c r="E103" i="5"/>
  <c r="E128" i="4"/>
  <c r="F103" i="5"/>
  <c r="F128" i="4"/>
  <c r="H103" i="5"/>
  <c r="I103" i="5"/>
  <c r="H128" i="4"/>
  <c r="K103" i="5"/>
  <c r="L128" i="4"/>
  <c r="Q103" i="5"/>
  <c r="M128" i="4"/>
  <c r="R103" i="5"/>
  <c r="N128" i="4"/>
  <c r="T103" i="5"/>
  <c r="O128" i="4"/>
  <c r="U103" i="5"/>
  <c r="P128" i="4"/>
  <c r="W103" i="5"/>
  <c r="Q128" i="4"/>
  <c r="X103" i="5"/>
  <c r="S128" i="4"/>
  <c r="AA103" i="5"/>
  <c r="AI128" i="4"/>
  <c r="T128" i="4" a="1"/>
  <c r="T128" i="4"/>
  <c r="AC103" i="5"/>
  <c r="U128" i="4" a="1"/>
  <c r="U128" i="4"/>
  <c r="AD103" i="5"/>
  <c r="X128" i="4"/>
  <c r="AI103" i="5"/>
  <c r="Y128" i="4"/>
  <c r="AJ103" i="5"/>
  <c r="Z128" i="4"/>
  <c r="AL103" i="5"/>
  <c r="L103" i="5"/>
  <c r="N103" i="5"/>
  <c r="O103" i="5"/>
  <c r="Z103" i="5"/>
  <c r="AN103" i="5"/>
  <c r="AG104" i="5"/>
  <c r="AF104" i="5"/>
  <c r="B129" i="4"/>
  <c r="C129" i="4"/>
  <c r="C104" i="5"/>
  <c r="D129" i="4"/>
  <c r="E104" i="5"/>
  <c r="E129" i="4"/>
  <c r="F104" i="5"/>
  <c r="F129" i="4"/>
  <c r="H104" i="5"/>
  <c r="I104" i="5"/>
  <c r="H129" i="4"/>
  <c r="K104" i="5"/>
  <c r="L129" i="4"/>
  <c r="Q104" i="5"/>
  <c r="M129" i="4"/>
  <c r="R104" i="5"/>
  <c r="T104" i="5"/>
  <c r="O129" i="4"/>
  <c r="U104" i="5"/>
  <c r="P129" i="4"/>
  <c r="W104" i="5"/>
  <c r="Q129" i="4"/>
  <c r="X104" i="5"/>
  <c r="S129" i="4"/>
  <c r="AA104" i="5"/>
  <c r="AI129" i="4"/>
  <c r="T129" i="4" a="1"/>
  <c r="T129" i="4"/>
  <c r="AC104" i="5"/>
  <c r="U129" i="4" a="1"/>
  <c r="U129" i="4"/>
  <c r="AD104" i="5"/>
  <c r="X129" i="4"/>
  <c r="AI104" i="5"/>
  <c r="Y129" i="4"/>
  <c r="AJ104" i="5"/>
  <c r="Z129" i="4"/>
  <c r="AL104" i="5"/>
  <c r="L104" i="5"/>
  <c r="N104" i="5"/>
  <c r="O104" i="5"/>
  <c r="Z104" i="5"/>
  <c r="AN104" i="5"/>
  <c r="AG105" i="5"/>
  <c r="AF105" i="5"/>
  <c r="B130" i="4"/>
  <c r="C130" i="4"/>
  <c r="C105" i="5"/>
  <c r="D130" i="4"/>
  <c r="E105" i="5"/>
  <c r="E130" i="4"/>
  <c r="F105" i="5"/>
  <c r="F130" i="4"/>
  <c r="H105" i="5"/>
  <c r="I105" i="5"/>
  <c r="H130" i="4"/>
  <c r="K105" i="5"/>
  <c r="L130" i="4"/>
  <c r="Q105" i="5"/>
  <c r="M130" i="4"/>
  <c r="R105" i="5"/>
  <c r="T105" i="5"/>
  <c r="O130" i="4"/>
  <c r="U105" i="5"/>
  <c r="P130" i="4"/>
  <c r="W105" i="5"/>
  <c r="Q130" i="4"/>
  <c r="X105" i="5"/>
  <c r="S130" i="4"/>
  <c r="AA105" i="5"/>
  <c r="AI130" i="4"/>
  <c r="T130" i="4" a="1"/>
  <c r="T130" i="4"/>
  <c r="AC105" i="5"/>
  <c r="U130" i="4" a="1"/>
  <c r="U130" i="4"/>
  <c r="AD105" i="5"/>
  <c r="X130" i="4"/>
  <c r="AI105" i="5"/>
  <c r="Y130" i="4"/>
  <c r="AJ105" i="5"/>
  <c r="Z130" i="4"/>
  <c r="AL105" i="5"/>
  <c r="L105" i="5"/>
  <c r="N105" i="5"/>
  <c r="O105" i="5"/>
  <c r="Z105" i="5"/>
  <c r="AN105" i="5"/>
  <c r="AG106" i="5"/>
  <c r="AF106" i="5"/>
  <c r="C48" i="4"/>
  <c r="C106" i="5"/>
  <c r="D48" i="4"/>
  <c r="E106" i="5"/>
  <c r="E48" i="4"/>
  <c r="F106" i="5"/>
  <c r="F48" i="4"/>
  <c r="H106" i="5"/>
  <c r="I106" i="5"/>
  <c r="K106" i="5"/>
  <c r="L48" i="4"/>
  <c r="Q106" i="5"/>
  <c r="M48" i="4"/>
  <c r="R106" i="5"/>
  <c r="T106" i="5"/>
  <c r="O48" i="4"/>
  <c r="U106" i="5"/>
  <c r="P48" i="4"/>
  <c r="W106" i="5"/>
  <c r="Q48" i="4"/>
  <c r="X106" i="5"/>
  <c r="S48" i="4"/>
  <c r="AA106" i="5"/>
  <c r="AI48" i="4"/>
  <c r="T48" i="4" a="1"/>
  <c r="T48" i="4"/>
  <c r="AC106" i="5"/>
  <c r="U48" i="4" a="1"/>
  <c r="U48" i="4"/>
  <c r="AD106" i="5"/>
  <c r="X48" i="4"/>
  <c r="AI106" i="5"/>
  <c r="Y48" i="4"/>
  <c r="AJ106" i="5"/>
  <c r="Z48" i="4"/>
  <c r="AL106" i="5"/>
  <c r="L106" i="5"/>
  <c r="N106" i="5"/>
  <c r="O106" i="5"/>
  <c r="Z106" i="5"/>
  <c r="AN106" i="5"/>
  <c r="AG107" i="5"/>
  <c r="AF107" i="5"/>
  <c r="B131" i="4"/>
  <c r="C131" i="4"/>
  <c r="C107" i="5"/>
  <c r="D131" i="4"/>
  <c r="E107" i="5"/>
  <c r="E131" i="4"/>
  <c r="F107" i="5"/>
  <c r="F131" i="4"/>
  <c r="H107" i="5"/>
  <c r="I107" i="5"/>
  <c r="H131" i="4"/>
  <c r="K107" i="5"/>
  <c r="L131" i="4"/>
  <c r="Q107" i="5"/>
  <c r="M131" i="4"/>
  <c r="R107" i="5"/>
  <c r="T107" i="5"/>
  <c r="U107" i="5"/>
  <c r="P131" i="4"/>
  <c r="W107" i="5"/>
  <c r="Q131" i="4"/>
  <c r="X107" i="5"/>
  <c r="S131" i="4"/>
  <c r="AA107" i="5"/>
  <c r="AI131" i="4"/>
  <c r="T131" i="4" a="1"/>
  <c r="T131" i="4"/>
  <c r="AC107" i="5"/>
  <c r="U131" i="4" a="1"/>
  <c r="U131" i="4"/>
  <c r="AD107" i="5"/>
  <c r="X131" i="4"/>
  <c r="AI107" i="5"/>
  <c r="Y131" i="4"/>
  <c r="AJ107" i="5"/>
  <c r="Z131" i="4"/>
  <c r="AL107" i="5"/>
  <c r="L107" i="5"/>
  <c r="N107" i="5"/>
  <c r="O107" i="5"/>
  <c r="Z107" i="5"/>
  <c r="AN107" i="5"/>
  <c r="AG108" i="5"/>
  <c r="AF108" i="5"/>
  <c r="C132" i="4"/>
  <c r="C108" i="5"/>
  <c r="T108" i="5"/>
  <c r="U108" i="5"/>
  <c r="P132" i="4"/>
  <c r="W108" i="5"/>
  <c r="Q132" i="4"/>
  <c r="X108" i="5"/>
  <c r="S132" i="4"/>
  <c r="AA108" i="5"/>
  <c r="AI108" i="5"/>
  <c r="Y132" i="4"/>
  <c r="AJ108" i="5"/>
  <c r="Z132" i="4"/>
  <c r="AL108" i="5"/>
  <c r="L108" i="5"/>
  <c r="N108" i="5"/>
  <c r="O108" i="5"/>
  <c r="Z108" i="5"/>
  <c r="AN108" i="5"/>
  <c r="AG109" i="5"/>
  <c r="AF109" i="5"/>
  <c r="C133" i="4"/>
  <c r="C109" i="5"/>
  <c r="D133" i="4"/>
  <c r="E109" i="5"/>
  <c r="E133" i="4"/>
  <c r="F109" i="5"/>
  <c r="F133" i="4"/>
  <c r="H109" i="5"/>
  <c r="I109" i="5"/>
  <c r="H133" i="4"/>
  <c r="K109" i="5"/>
  <c r="L133" i="4"/>
  <c r="Q109" i="5"/>
  <c r="M133" i="4"/>
  <c r="R109" i="5"/>
  <c r="T109" i="5"/>
  <c r="U109" i="5"/>
  <c r="P133" i="4"/>
  <c r="W109" i="5"/>
  <c r="Q133" i="4"/>
  <c r="X109" i="5"/>
  <c r="S133" i="4"/>
  <c r="AA109" i="5"/>
  <c r="AI133" i="4"/>
  <c r="T133" i="4" a="1"/>
  <c r="T133" i="4"/>
  <c r="AC109" i="5"/>
  <c r="U133" i="4" a="1"/>
  <c r="U133" i="4"/>
  <c r="AD109" i="5"/>
  <c r="AI109" i="5"/>
  <c r="Y133" i="4"/>
  <c r="AJ109" i="5"/>
  <c r="Z133" i="4"/>
  <c r="AL109" i="5"/>
  <c r="L109" i="5"/>
  <c r="N109" i="5"/>
  <c r="O109" i="5"/>
  <c r="Z109" i="5"/>
  <c r="AN109" i="5"/>
  <c r="AG110" i="5"/>
  <c r="AF110" i="5"/>
  <c r="B293" i="4"/>
  <c r="C293" i="4"/>
  <c r="C110" i="5"/>
  <c r="D293" i="4"/>
  <c r="E110" i="5"/>
  <c r="H293" i="4"/>
  <c r="K110" i="5"/>
  <c r="L293" i="4"/>
  <c r="Q110" i="5"/>
  <c r="M293" i="4"/>
  <c r="R110" i="5"/>
  <c r="T110" i="5"/>
  <c r="O293" i="4"/>
  <c r="U110" i="5"/>
  <c r="P293" i="4"/>
  <c r="W110" i="5"/>
  <c r="Q293" i="4"/>
  <c r="X110" i="5"/>
  <c r="S293" i="4"/>
  <c r="AA110" i="5"/>
  <c r="AI293" i="4"/>
  <c r="T293" i="4" a="1"/>
  <c r="T293" i="4"/>
  <c r="AC110" i="5"/>
  <c r="U293" i="4" a="1"/>
  <c r="U293" i="4"/>
  <c r="AD110" i="5"/>
  <c r="X293" i="4"/>
  <c r="AI110" i="5"/>
  <c r="Y293" i="4"/>
  <c r="AJ110" i="5"/>
  <c r="Z293" i="4"/>
  <c r="AL110" i="5"/>
  <c r="F110" i="5"/>
  <c r="H110" i="5"/>
  <c r="I110" i="5"/>
  <c r="L110" i="5"/>
  <c r="N110" i="5"/>
  <c r="O110" i="5"/>
  <c r="Z110" i="5"/>
  <c r="AN110" i="5"/>
  <c r="AG111" i="5"/>
  <c r="AF111" i="5"/>
  <c r="C134" i="4"/>
  <c r="C111" i="5"/>
  <c r="D134" i="4"/>
  <c r="E111" i="5"/>
  <c r="E134" i="4"/>
  <c r="F111" i="5"/>
  <c r="F134" i="4"/>
  <c r="H111" i="5"/>
  <c r="I111" i="5"/>
  <c r="H134" i="4"/>
  <c r="K111" i="5"/>
  <c r="L134" i="4"/>
  <c r="Q111" i="5"/>
  <c r="M134" i="4"/>
  <c r="R111" i="5"/>
  <c r="T111" i="5"/>
  <c r="O134" i="4"/>
  <c r="U111" i="5"/>
  <c r="P134" i="4"/>
  <c r="W111" i="5"/>
  <c r="Q134" i="4"/>
  <c r="X111" i="5"/>
  <c r="S134" i="4"/>
  <c r="AA111" i="5"/>
  <c r="AI134" i="4"/>
  <c r="T134" i="4" a="1"/>
  <c r="T134" i="4"/>
  <c r="AC111" i="5"/>
  <c r="U134" i="4" a="1"/>
  <c r="U134" i="4"/>
  <c r="AD111" i="5"/>
  <c r="X134" i="4"/>
  <c r="AI111" i="5"/>
  <c r="Y134" i="4"/>
  <c r="AJ111" i="5"/>
  <c r="Z134" i="4"/>
  <c r="AL111" i="5"/>
  <c r="L111" i="5"/>
  <c r="N111" i="5"/>
  <c r="O111" i="5"/>
  <c r="Z111" i="5"/>
  <c r="AN111" i="5"/>
  <c r="AG112" i="5"/>
  <c r="AF112" i="5"/>
  <c r="C135" i="4"/>
  <c r="C112" i="5"/>
  <c r="D135" i="4"/>
  <c r="E112" i="5"/>
  <c r="H135" i="4"/>
  <c r="K112" i="5"/>
  <c r="L135" i="4"/>
  <c r="Q112" i="5"/>
  <c r="M135" i="4"/>
  <c r="R112" i="5"/>
  <c r="T112" i="5"/>
  <c r="O135" i="4"/>
  <c r="U112" i="5"/>
  <c r="P135" i="4"/>
  <c r="W112" i="5"/>
  <c r="Q135" i="4"/>
  <c r="X112" i="5"/>
  <c r="S135" i="4"/>
  <c r="AA112" i="5"/>
  <c r="AI135" i="4"/>
  <c r="T135" i="4" a="1"/>
  <c r="T135" i="4"/>
  <c r="AC112" i="5"/>
  <c r="U135" i="4" a="1"/>
  <c r="U135" i="4"/>
  <c r="AD112" i="5"/>
  <c r="X135" i="4"/>
  <c r="AI112" i="5"/>
  <c r="Y135" i="4"/>
  <c r="AJ112" i="5"/>
  <c r="Z135" i="4"/>
  <c r="AL112" i="5"/>
  <c r="F112" i="5"/>
  <c r="H112" i="5"/>
  <c r="I112" i="5"/>
  <c r="L112" i="5"/>
  <c r="N112" i="5"/>
  <c r="O112" i="5"/>
  <c r="Z112" i="5"/>
  <c r="AN112" i="5"/>
  <c r="AG113" i="5"/>
  <c r="AF113" i="5"/>
  <c r="C136" i="4"/>
  <c r="C113" i="5"/>
  <c r="D136" i="4"/>
  <c r="E113" i="5"/>
  <c r="H136" i="4"/>
  <c r="K113" i="5"/>
  <c r="L136" i="4"/>
  <c r="Q113" i="5"/>
  <c r="M136" i="4"/>
  <c r="R113" i="5"/>
  <c r="T113" i="5"/>
  <c r="O136" i="4"/>
  <c r="U113" i="5"/>
  <c r="P136" i="4"/>
  <c r="W113" i="5"/>
  <c r="Q136" i="4"/>
  <c r="X113" i="5"/>
  <c r="S136" i="4"/>
  <c r="AA113" i="5"/>
  <c r="AI136" i="4"/>
  <c r="T136" i="4" a="1"/>
  <c r="T136" i="4"/>
  <c r="AC113" i="5"/>
  <c r="U136" i="4" a="1"/>
  <c r="U136" i="4"/>
  <c r="AD113" i="5"/>
  <c r="X136" i="4"/>
  <c r="AI113" i="5"/>
  <c r="Y136" i="4"/>
  <c r="AJ113" i="5"/>
  <c r="Z136" i="4"/>
  <c r="AL113" i="5"/>
  <c r="F113" i="5"/>
  <c r="H113" i="5"/>
  <c r="I113" i="5"/>
  <c r="L113" i="5"/>
  <c r="N113" i="5"/>
  <c r="O113" i="5"/>
  <c r="Z113" i="5"/>
  <c r="AN113" i="5"/>
  <c r="AG114" i="5"/>
  <c r="AF114" i="5"/>
  <c r="C137" i="4"/>
  <c r="C114" i="5"/>
  <c r="D137" i="4"/>
  <c r="E114" i="5"/>
  <c r="H137" i="4"/>
  <c r="K114" i="5"/>
  <c r="L137" i="4"/>
  <c r="Q114" i="5"/>
  <c r="M137" i="4"/>
  <c r="R114" i="5"/>
  <c r="T114" i="5"/>
  <c r="O137" i="4"/>
  <c r="U114" i="5"/>
  <c r="P137" i="4"/>
  <c r="W114" i="5"/>
  <c r="Q137" i="4"/>
  <c r="X114" i="5"/>
  <c r="S137" i="4"/>
  <c r="AA114" i="5"/>
  <c r="AI137" i="4"/>
  <c r="T137" i="4" a="1"/>
  <c r="T137" i="4"/>
  <c r="AC114" i="5"/>
  <c r="U137" i="4" a="1"/>
  <c r="U137" i="4"/>
  <c r="AD114" i="5"/>
  <c r="X137" i="4"/>
  <c r="AI114" i="5"/>
  <c r="Y137" i="4"/>
  <c r="AJ114" i="5"/>
  <c r="Z137" i="4"/>
  <c r="AL114" i="5"/>
  <c r="F114" i="5"/>
  <c r="H114" i="5"/>
  <c r="I114" i="5"/>
  <c r="L114" i="5"/>
  <c r="N114" i="5"/>
  <c r="O114" i="5"/>
  <c r="Z114" i="5"/>
  <c r="AN114" i="5"/>
  <c r="AG115" i="5"/>
  <c r="AF115" i="5"/>
  <c r="B138" i="4"/>
  <c r="C138" i="4"/>
  <c r="C115" i="5"/>
  <c r="D138" i="4"/>
  <c r="E115" i="5"/>
  <c r="K115" i="5"/>
  <c r="L138" i="4"/>
  <c r="Q115" i="5"/>
  <c r="M138" i="4"/>
  <c r="R115" i="5"/>
  <c r="T115" i="5"/>
  <c r="O138" i="4"/>
  <c r="U115" i="5"/>
  <c r="P138" i="4"/>
  <c r="W115" i="5"/>
  <c r="Q138" i="4"/>
  <c r="X115" i="5"/>
  <c r="S138" i="4"/>
  <c r="AA115" i="5"/>
  <c r="AI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H115" i="5"/>
  <c r="I115" i="5"/>
  <c r="L115" i="5"/>
  <c r="N115" i="5"/>
  <c r="O115" i="5"/>
  <c r="Z115" i="5"/>
  <c r="AN115" i="5"/>
  <c r="AG116" i="5"/>
  <c r="AF116" i="5"/>
  <c r="B140" i="4"/>
  <c r="C140" i="4"/>
  <c r="C116" i="5"/>
  <c r="D140" i="4"/>
  <c r="E116" i="5"/>
  <c r="H140" i="4"/>
  <c r="K116" i="5"/>
  <c r="L140" i="4"/>
  <c r="Q116" i="5"/>
  <c r="M140" i="4"/>
  <c r="R116" i="5"/>
  <c r="T116" i="5"/>
  <c r="U116" i="5"/>
  <c r="P140" i="4"/>
  <c r="W116" i="5"/>
  <c r="Q140" i="4"/>
  <c r="X116" i="5"/>
  <c r="AA116" i="5"/>
  <c r="AI140" i="4"/>
  <c r="T140" i="4" a="1"/>
  <c r="T140" i="4"/>
  <c r="AC116" i="5"/>
  <c r="U140" i="4" a="1"/>
  <c r="U140" i="4"/>
  <c r="AD116" i="5"/>
  <c r="X140" i="4"/>
  <c r="AI116" i="5"/>
  <c r="Y140" i="4"/>
  <c r="AJ116" i="5"/>
  <c r="Z140" i="4"/>
  <c r="AL116" i="5"/>
  <c r="F116" i="5"/>
  <c r="H116" i="5"/>
  <c r="I116" i="5"/>
  <c r="L116" i="5"/>
  <c r="N116" i="5"/>
  <c r="O116" i="5"/>
  <c r="Z116" i="5"/>
  <c r="AN116" i="5"/>
  <c r="O117" i="5"/>
  <c r="K117" i="5"/>
  <c r="AG117" i="5"/>
  <c r="AF117" i="5"/>
  <c r="B141" i="4"/>
  <c r="C141" i="4"/>
  <c r="C117" i="5"/>
  <c r="D141" i="4"/>
  <c r="E117" i="5"/>
  <c r="E141" i="4"/>
  <c r="F117" i="5"/>
  <c r="F141" i="4"/>
  <c r="H117" i="5"/>
  <c r="I117" i="5"/>
  <c r="I141" i="4"/>
  <c r="L117" i="5"/>
  <c r="J141" i="4"/>
  <c r="N117" i="5"/>
  <c r="L141" i="4"/>
  <c r="Q117" i="5"/>
  <c r="M141" i="4"/>
  <c r="R117" i="5"/>
  <c r="T117" i="5"/>
  <c r="U117" i="5"/>
  <c r="P141" i="4"/>
  <c r="W117" i="5"/>
  <c r="AA117" i="5"/>
  <c r="AI141" i="4"/>
  <c r="T141" i="4" a="1"/>
  <c r="T141" i="4"/>
  <c r="AC117" i="5"/>
  <c r="U141" i="4" a="1"/>
  <c r="U141" i="4"/>
  <c r="AD117" i="5"/>
  <c r="Y141" i="4"/>
  <c r="AJ117" i="5"/>
  <c r="Z141" i="4"/>
  <c r="AL117" i="5"/>
  <c r="X117" i="5"/>
  <c r="Z117" i="5"/>
  <c r="AN117" i="5"/>
  <c r="AG118" i="5"/>
  <c r="AF118" i="5"/>
  <c r="B49" i="4"/>
  <c r="C49" i="4"/>
  <c r="C118" i="5"/>
  <c r="D49" i="4"/>
  <c r="E118" i="5"/>
  <c r="K118" i="5"/>
  <c r="L49" i="4"/>
  <c r="Q118" i="5"/>
  <c r="M49" i="4"/>
  <c r="R118" i="5"/>
  <c r="T118" i="5"/>
  <c r="U118" i="5"/>
  <c r="P49" i="4"/>
  <c r="W118" i="5"/>
  <c r="Q49" i="4"/>
  <c r="X118" i="5"/>
  <c r="S49" i="4"/>
  <c r="AA118" i="5"/>
  <c r="AI49" i="4"/>
  <c r="T49" i="4" a="1"/>
  <c r="T49" i="4"/>
  <c r="AC118" i="5"/>
  <c r="U49" i="4" a="1"/>
  <c r="U49" i="4"/>
  <c r="AD118" i="5"/>
  <c r="X49" i="4"/>
  <c r="AI118" i="5"/>
  <c r="F118" i="5"/>
  <c r="H118" i="5"/>
  <c r="I118" i="5"/>
  <c r="L118" i="5"/>
  <c r="N118" i="5"/>
  <c r="O118" i="5"/>
  <c r="Z118" i="5"/>
  <c r="AN118" i="5"/>
  <c r="AA119" i="5"/>
  <c r="P36" i="4"/>
  <c r="W119" i="5"/>
  <c r="AG119" i="5"/>
  <c r="AF119" i="5"/>
  <c r="C36" i="4"/>
  <c r="C119" i="5"/>
  <c r="D36" i="4"/>
  <c r="E119" i="5"/>
  <c r="K119" i="5"/>
  <c r="Q119" i="5"/>
  <c r="M36" i="4"/>
  <c r="R119" i="5"/>
  <c r="T119" i="5"/>
  <c r="U119" i="5"/>
  <c r="Q36" i="4"/>
  <c r="X119" i="5"/>
  <c r="R36" i="4"/>
  <c r="Z119" i="5"/>
  <c r="AI36" i="4"/>
  <c r="T36" i="4" a="1"/>
  <c r="T36" i="4"/>
  <c r="AC119" i="5"/>
  <c r="U36" i="4" a="1"/>
  <c r="U36" i="4"/>
  <c r="AD119" i="5"/>
  <c r="Y36" i="4"/>
  <c r="AJ119" i="5"/>
  <c r="Z36" i="4"/>
  <c r="AL119" i="5"/>
  <c r="F119" i="5"/>
  <c r="H119" i="5"/>
  <c r="I119" i="5"/>
  <c r="L119" i="5"/>
  <c r="N119" i="5"/>
  <c r="O119" i="5"/>
  <c r="AN119" i="5"/>
  <c r="AG120" i="5"/>
  <c r="AF120" i="5"/>
  <c r="B144" i="4"/>
  <c r="C144" i="4"/>
  <c r="C120" i="5"/>
  <c r="D144" i="4"/>
  <c r="E120" i="5"/>
  <c r="E144" i="4"/>
  <c r="F120" i="5"/>
  <c r="F144" i="4"/>
  <c r="H120" i="5"/>
  <c r="I120" i="5"/>
  <c r="K120" i="5"/>
  <c r="L144" i="4"/>
  <c r="Q120" i="5"/>
  <c r="M144" i="4"/>
  <c r="R120" i="5"/>
  <c r="T120" i="5"/>
  <c r="O144" i="4"/>
  <c r="U120" i="5"/>
  <c r="P144" i="4"/>
  <c r="W120" i="5"/>
  <c r="Q144" i="4"/>
  <c r="X120" i="5"/>
  <c r="AA120" i="5"/>
  <c r="AI144" i="4"/>
  <c r="T144" i="4" a="1"/>
  <c r="T144" i="4"/>
  <c r="AC120" i="5"/>
  <c r="U144" i="4" a="1"/>
  <c r="U144" i="4"/>
  <c r="AD120" i="5"/>
  <c r="X144" i="4"/>
  <c r="AI120" i="5"/>
  <c r="Y144" i="4"/>
  <c r="AJ120" i="5"/>
  <c r="Z144" i="4"/>
  <c r="AL120" i="5"/>
  <c r="L120" i="5"/>
  <c r="N120" i="5"/>
  <c r="O120" i="5"/>
  <c r="Z120" i="5"/>
  <c r="AN120" i="5"/>
  <c r="AG121" i="5"/>
  <c r="AF121" i="5"/>
  <c r="B277" i="4"/>
  <c r="C277" i="4"/>
  <c r="C121" i="5"/>
  <c r="D277" i="4"/>
  <c r="E121" i="5"/>
  <c r="H277" i="4"/>
  <c r="K121" i="5"/>
  <c r="L277" i="4"/>
  <c r="Q121" i="5"/>
  <c r="M277" i="4"/>
  <c r="R121" i="5"/>
  <c r="T121" i="5"/>
  <c r="U121" i="5"/>
  <c r="W121" i="5"/>
  <c r="Q277" i="4"/>
  <c r="X121" i="5"/>
  <c r="AA121" i="5"/>
  <c r="AI277" i="4"/>
  <c r="T277" i="4" a="1"/>
  <c r="T277" i="4"/>
  <c r="AC121" i="5"/>
  <c r="U277" i="4" a="1"/>
  <c r="U277" i="4"/>
  <c r="AD121" i="5"/>
  <c r="Y277" i="4"/>
  <c r="AJ121" i="5"/>
  <c r="Z277" i="4"/>
  <c r="AL121" i="5"/>
  <c r="F121" i="5"/>
  <c r="H121" i="5"/>
  <c r="I121" i="5"/>
  <c r="L121" i="5"/>
  <c r="N121" i="5"/>
  <c r="O121" i="5"/>
  <c r="Z121" i="5"/>
  <c r="AN121" i="5"/>
  <c r="AG122" i="5"/>
  <c r="AF122" i="5"/>
  <c r="B145" i="4"/>
  <c r="C145" i="4"/>
  <c r="C122" i="5"/>
  <c r="D145" i="4"/>
  <c r="E122" i="5"/>
  <c r="H145" i="4"/>
  <c r="K122" i="5"/>
  <c r="L145" i="4"/>
  <c r="Q122" i="5"/>
  <c r="M145" i="4"/>
  <c r="R122" i="5"/>
  <c r="N145" i="4"/>
  <c r="T122" i="5"/>
  <c r="U122" i="5"/>
  <c r="W122" i="5"/>
  <c r="Q145" i="4"/>
  <c r="X122" i="5"/>
  <c r="AA122" i="5"/>
  <c r="AI145" i="4"/>
  <c r="T145" i="4" a="1"/>
  <c r="T145" i="4"/>
  <c r="AC122" i="5"/>
  <c r="U145" i="4" a="1"/>
  <c r="U145" i="4"/>
  <c r="AD122" i="5"/>
  <c r="X145" i="4"/>
  <c r="AI122" i="5"/>
  <c r="Y145" i="4"/>
  <c r="AJ122" i="5"/>
  <c r="Z145" i="4"/>
  <c r="AL122" i="5"/>
  <c r="F122" i="5"/>
  <c r="H122" i="5"/>
  <c r="I122" i="5"/>
  <c r="L122" i="5"/>
  <c r="N122" i="5"/>
  <c r="O122" i="5"/>
  <c r="Z122" i="5"/>
  <c r="AN122" i="5"/>
  <c r="AG123" i="5"/>
  <c r="AF123" i="5"/>
  <c r="B285" i="4"/>
  <c r="C285" i="4"/>
  <c r="C123" i="5"/>
  <c r="D285" i="4"/>
  <c r="E123" i="5"/>
  <c r="H285" i="4"/>
  <c r="K123" i="5"/>
  <c r="L285" i="4"/>
  <c r="Q123" i="5"/>
  <c r="R123" i="5"/>
  <c r="T123" i="5"/>
  <c r="O285" i="4"/>
  <c r="U123" i="5"/>
  <c r="P285" i="4"/>
  <c r="W123" i="5"/>
  <c r="Q285" i="4"/>
  <c r="X123" i="5"/>
  <c r="AA123" i="5"/>
  <c r="AI285" i="4"/>
  <c r="T285" i="4" a="1"/>
  <c r="T285" i="4"/>
  <c r="AC123" i="5"/>
  <c r="U285" i="4" a="1"/>
  <c r="U285" i="4"/>
  <c r="AD123" i="5"/>
  <c r="Y285" i="4"/>
  <c r="AJ123" i="5"/>
  <c r="Z285" i="4"/>
  <c r="AL123" i="5"/>
  <c r="F123" i="5"/>
  <c r="H123" i="5"/>
  <c r="I123" i="5"/>
  <c r="L123" i="5"/>
  <c r="N123" i="5"/>
  <c r="O123" i="5"/>
  <c r="Z123" i="5"/>
  <c r="AN123" i="5"/>
  <c r="O124" i="5"/>
  <c r="B146" i="4"/>
  <c r="H146" i="4"/>
  <c r="K124" i="5"/>
  <c r="AG124" i="5"/>
  <c r="AF124" i="5"/>
  <c r="C146" i="4"/>
  <c r="C124" i="5"/>
  <c r="D146" i="4"/>
  <c r="E124" i="5"/>
  <c r="E146" i="4"/>
  <c r="F124" i="5"/>
  <c r="F146" i="4"/>
  <c r="H124" i="5"/>
  <c r="I124" i="5"/>
  <c r="I146" i="4"/>
  <c r="L124" i="5"/>
  <c r="J146" i="4"/>
  <c r="N124" i="5"/>
  <c r="L146" i="4"/>
  <c r="Q124" i="5"/>
  <c r="M146" i="4"/>
  <c r="R124" i="5"/>
  <c r="T124" i="5"/>
  <c r="O146" i="4"/>
  <c r="U124" i="5"/>
  <c r="P146" i="4"/>
  <c r="W124" i="5"/>
  <c r="Q146" i="4"/>
  <c r="X124" i="5"/>
  <c r="S146" i="4"/>
  <c r="AA124" i="5"/>
  <c r="AI146" i="4"/>
  <c r="T146" i="4" a="1"/>
  <c r="T146" i="4"/>
  <c r="AC124" i="5"/>
  <c r="U146" i="4" a="1"/>
  <c r="U146" i="4"/>
  <c r="AD124" i="5"/>
  <c r="X146" i="4"/>
  <c r="AI124" i="5"/>
  <c r="Y146" i="4"/>
  <c r="AJ124" i="5"/>
  <c r="Z146" i="4"/>
  <c r="AL124" i="5"/>
  <c r="Z124" i="5"/>
  <c r="AN124" i="5"/>
  <c r="AG125" i="5"/>
  <c r="AF125" i="5"/>
  <c r="B258" i="4"/>
  <c r="C258" i="4"/>
  <c r="C125" i="5"/>
  <c r="D258" i="4"/>
  <c r="E125" i="5"/>
  <c r="H258" i="4"/>
  <c r="K125" i="5"/>
  <c r="L258" i="4"/>
  <c r="Q125" i="5"/>
  <c r="M258" i="4"/>
  <c r="R125" i="5"/>
  <c r="T125" i="5"/>
  <c r="O258" i="4"/>
  <c r="U125" i="5"/>
  <c r="P258" i="4"/>
  <c r="W125" i="5"/>
  <c r="Q258" i="4"/>
  <c r="X125" i="5"/>
  <c r="AA125" i="5"/>
  <c r="AI258" i="4"/>
  <c r="T258" i="4" a="1"/>
  <c r="T258" i="4"/>
  <c r="AC125" i="5"/>
  <c r="U258" i="4" a="1"/>
  <c r="U258" i="4"/>
  <c r="AD125" i="5"/>
  <c r="X258" i="4"/>
  <c r="AI125" i="5"/>
  <c r="Y258" i="4"/>
  <c r="AJ125" i="5"/>
  <c r="Z258" i="4"/>
  <c r="AL125" i="5"/>
  <c r="F125" i="5"/>
  <c r="H125" i="5"/>
  <c r="I125" i="5"/>
  <c r="L125" i="5"/>
  <c r="N125" i="5"/>
  <c r="O125" i="5"/>
  <c r="Z125" i="5"/>
  <c r="AN125" i="5"/>
  <c r="AG126" i="5"/>
  <c r="AF126" i="5"/>
  <c r="B147" i="4"/>
  <c r="C147" i="4"/>
  <c r="C126" i="5"/>
  <c r="D147" i="4"/>
  <c r="E126" i="5"/>
  <c r="H147" i="4"/>
  <c r="K126" i="5"/>
  <c r="L147" i="4"/>
  <c r="Q126" i="5"/>
  <c r="M147" i="4"/>
  <c r="R126" i="5"/>
  <c r="T126" i="5"/>
  <c r="U126" i="5"/>
  <c r="P147" i="4"/>
  <c r="W126" i="5"/>
  <c r="Q147" i="4"/>
  <c r="X126" i="5"/>
  <c r="S147" i="4"/>
  <c r="AA126" i="5"/>
  <c r="AI147" i="4"/>
  <c r="T147" i="4" a="1"/>
  <c r="T147" i="4"/>
  <c r="AC126" i="5"/>
  <c r="U147" i="4" a="1"/>
  <c r="U147" i="4"/>
  <c r="AD126" i="5"/>
  <c r="X147" i="4"/>
  <c r="AI126" i="5"/>
  <c r="Y147" i="4"/>
  <c r="AJ126" i="5"/>
  <c r="Z147" i="4"/>
  <c r="AL126" i="5"/>
  <c r="F126" i="5"/>
  <c r="H126" i="5"/>
  <c r="I126" i="5"/>
  <c r="L126" i="5"/>
  <c r="N126" i="5"/>
  <c r="O126" i="5"/>
  <c r="Z126" i="5"/>
  <c r="AN126" i="5"/>
  <c r="AG127" i="5"/>
  <c r="AF127" i="5"/>
  <c r="B148" i="4"/>
  <c r="C148" i="4"/>
  <c r="C127" i="5"/>
  <c r="D148" i="4"/>
  <c r="E127" i="5"/>
  <c r="H148" i="4"/>
  <c r="K127" i="5"/>
  <c r="L148" i="4"/>
  <c r="Q127" i="5"/>
  <c r="M148" i="4"/>
  <c r="R127" i="5"/>
  <c r="T127" i="5"/>
  <c r="O148" i="4"/>
  <c r="U127" i="5"/>
  <c r="P148" i="4"/>
  <c r="W127" i="5"/>
  <c r="Q148" i="4"/>
  <c r="X127" i="5"/>
  <c r="S148" i="4"/>
  <c r="AA127" i="5"/>
  <c r="AI148" i="4"/>
  <c r="T148" i="4" a="1"/>
  <c r="T148" i="4"/>
  <c r="AC127" i="5"/>
  <c r="U148" i="4" a="1"/>
  <c r="U148" i="4"/>
  <c r="AD127" i="5"/>
  <c r="X148" i="4"/>
  <c r="AI127" i="5"/>
  <c r="Y148" i="4"/>
  <c r="AJ127" i="5"/>
  <c r="Z148" i="4"/>
  <c r="AL127" i="5"/>
  <c r="F127" i="5"/>
  <c r="H127" i="5"/>
  <c r="I127" i="5"/>
  <c r="L127" i="5"/>
  <c r="N127" i="5"/>
  <c r="O127" i="5"/>
  <c r="Z127" i="5"/>
  <c r="AN127" i="5"/>
  <c r="AG128" i="5"/>
  <c r="AF128" i="5"/>
  <c r="B37" i="4"/>
  <c r="C37" i="4"/>
  <c r="C128" i="5"/>
  <c r="D37" i="4"/>
  <c r="E128" i="5"/>
  <c r="K128" i="5"/>
  <c r="L37" i="4"/>
  <c r="Q128" i="5"/>
  <c r="M37" i="4"/>
  <c r="R128" i="5"/>
  <c r="T128" i="5"/>
  <c r="O37" i="4"/>
  <c r="U128" i="5"/>
  <c r="P37" i="4"/>
  <c r="W128" i="5"/>
  <c r="Q37" i="4"/>
  <c r="X128" i="5"/>
  <c r="AA128" i="5"/>
  <c r="AI37" i="4"/>
  <c r="T37" i="4" a="1"/>
  <c r="T37" i="4"/>
  <c r="AC128" i="5"/>
  <c r="U37" i="4" a="1"/>
  <c r="U37" i="4"/>
  <c r="AD128" i="5"/>
  <c r="X37" i="4"/>
  <c r="AI128" i="5"/>
  <c r="Y37" i="4"/>
  <c r="AJ128" i="5"/>
  <c r="Z37" i="4"/>
  <c r="AL128" i="5"/>
  <c r="F128" i="5"/>
  <c r="H128" i="5"/>
  <c r="I128" i="5"/>
  <c r="L128" i="5"/>
  <c r="N128" i="5"/>
  <c r="O128" i="5"/>
  <c r="Z128" i="5"/>
  <c r="AN128" i="5"/>
  <c r="AG129" i="5"/>
  <c r="AF129" i="5"/>
  <c r="B149" i="4"/>
  <c r="C149" i="4"/>
  <c r="C129" i="5"/>
  <c r="D149" i="4"/>
  <c r="E129" i="5"/>
  <c r="E149" i="4"/>
  <c r="F129" i="5"/>
  <c r="F149" i="4"/>
  <c r="H129" i="5"/>
  <c r="I129" i="5"/>
  <c r="H149" i="4"/>
  <c r="K129" i="5"/>
  <c r="L149" i="4"/>
  <c r="Q129" i="5"/>
  <c r="M149" i="4"/>
  <c r="R129" i="5"/>
  <c r="T129" i="5"/>
  <c r="U129" i="5"/>
  <c r="P149" i="4"/>
  <c r="W129" i="5"/>
  <c r="Q149" i="4"/>
  <c r="X129" i="5"/>
  <c r="S149" i="4"/>
  <c r="AA129" i="5"/>
  <c r="AI149" i="4"/>
  <c r="T149" i="4" a="1"/>
  <c r="T149" i="4"/>
  <c r="AC129" i="5"/>
  <c r="U149" i="4" a="1"/>
  <c r="U149" i="4"/>
  <c r="AD129" i="5"/>
  <c r="X149" i="4"/>
  <c r="AI129" i="5"/>
  <c r="Y149" i="4"/>
  <c r="AJ129" i="5"/>
  <c r="Z149" i="4"/>
  <c r="AL129" i="5"/>
  <c r="L129" i="5"/>
  <c r="N129" i="5"/>
  <c r="O129" i="5"/>
  <c r="Z129" i="5"/>
  <c r="AN129" i="5"/>
  <c r="B5" i="4"/>
  <c r="S5" i="4"/>
  <c r="AA130" i="5"/>
  <c r="P5" i="4"/>
  <c r="W130" i="5"/>
  <c r="AG130" i="5"/>
  <c r="AF130" i="5"/>
  <c r="C5" i="4"/>
  <c r="C130" i="5"/>
  <c r="D5" i="4"/>
  <c r="E130" i="5"/>
  <c r="E5" i="4"/>
  <c r="F130" i="5"/>
  <c r="F5" i="4"/>
  <c r="H130" i="5"/>
  <c r="I130" i="5"/>
  <c r="K130" i="5"/>
  <c r="L5" i="4"/>
  <c r="Q130" i="5"/>
  <c r="U130" i="5"/>
  <c r="Q5" i="4"/>
  <c r="X130" i="5"/>
  <c r="R5" i="4"/>
  <c r="Z130" i="5"/>
  <c r="AI5" i="4"/>
  <c r="T5" i="4" a="1"/>
  <c r="T5" i="4"/>
  <c r="AC130" i="5"/>
  <c r="U5" i="4" a="1"/>
  <c r="U5" i="4"/>
  <c r="AD130" i="5"/>
  <c r="X5" i="4"/>
  <c r="AI130" i="5"/>
  <c r="Y5" i="4"/>
  <c r="AJ130" i="5"/>
  <c r="Z5" i="4"/>
  <c r="AL130" i="5"/>
  <c r="R130" i="5"/>
  <c r="T130" i="5"/>
  <c r="L130" i="5"/>
  <c r="N130" i="5"/>
  <c r="O130" i="5"/>
  <c r="AN130" i="5"/>
  <c r="AG131" i="5"/>
  <c r="AF131" i="5"/>
  <c r="C150" i="4"/>
  <c r="C131" i="5"/>
  <c r="D150" i="4"/>
  <c r="E131" i="5"/>
  <c r="E150" i="4"/>
  <c r="F131" i="5"/>
  <c r="F150" i="4"/>
  <c r="H131" i="5"/>
  <c r="I131" i="5"/>
  <c r="H150" i="4"/>
  <c r="K131" i="5"/>
  <c r="L150" i="4"/>
  <c r="Q131" i="5"/>
  <c r="M150" i="4"/>
  <c r="R131" i="5"/>
  <c r="T131" i="5"/>
  <c r="U131" i="5"/>
  <c r="P150" i="4"/>
  <c r="W131" i="5"/>
  <c r="Q150" i="4"/>
  <c r="X131" i="5"/>
  <c r="S150" i="4"/>
  <c r="AA131" i="5"/>
  <c r="AI150" i="4"/>
  <c r="T150" i="4" a="1"/>
  <c r="T150" i="4"/>
  <c r="AC131" i="5"/>
  <c r="U150" i="4" a="1"/>
  <c r="U150" i="4"/>
  <c r="AD131" i="5"/>
  <c r="X150" i="4"/>
  <c r="AI131" i="5"/>
  <c r="Y150" i="4"/>
  <c r="AJ131" i="5"/>
  <c r="Z150" i="4"/>
  <c r="AL131" i="5"/>
  <c r="Z131" i="5"/>
  <c r="L131" i="5"/>
  <c r="N131" i="5"/>
  <c r="O131" i="5"/>
  <c r="AN131" i="5"/>
  <c r="AG132" i="5"/>
  <c r="AF132" i="5"/>
  <c r="B151" i="4"/>
  <c r="C151" i="4"/>
  <c r="C132" i="5"/>
  <c r="D151" i="4"/>
  <c r="E132" i="5"/>
  <c r="E151" i="4"/>
  <c r="F132" i="5"/>
  <c r="F151" i="4"/>
  <c r="H132" i="5"/>
  <c r="I132" i="5"/>
  <c r="H151" i="4"/>
  <c r="K132" i="5"/>
  <c r="L151" i="4"/>
  <c r="Q132" i="5"/>
  <c r="M151" i="4"/>
  <c r="R132" i="5"/>
  <c r="T132" i="5"/>
  <c r="O151" i="4"/>
  <c r="U132" i="5"/>
  <c r="P151" i="4"/>
  <c r="W132" i="5"/>
  <c r="Q151" i="4"/>
  <c r="X132" i="5"/>
  <c r="AA132" i="5"/>
  <c r="AI151" i="4"/>
  <c r="T151" i="4" a="1"/>
  <c r="T151" i="4"/>
  <c r="AC132" i="5"/>
  <c r="U151" i="4" a="1"/>
  <c r="U151" i="4"/>
  <c r="AD132" i="5"/>
  <c r="X151" i="4"/>
  <c r="AI132" i="5"/>
  <c r="Y151" i="4"/>
  <c r="AJ132" i="5"/>
  <c r="Z151" i="4"/>
  <c r="AL132" i="5"/>
  <c r="Z132" i="5"/>
  <c r="L132" i="5"/>
  <c r="N132" i="5"/>
  <c r="O132" i="5"/>
  <c r="AN132" i="5"/>
  <c r="AG133" i="5"/>
  <c r="AF133" i="5"/>
  <c r="B51" i="4"/>
  <c r="C51" i="4"/>
  <c r="C133" i="5"/>
  <c r="D51" i="4"/>
  <c r="E133" i="5"/>
  <c r="E51" i="4"/>
  <c r="F133" i="5"/>
  <c r="F51" i="4"/>
  <c r="H133" i="5"/>
  <c r="I133" i="5"/>
  <c r="K133" i="5"/>
  <c r="L51" i="4"/>
  <c r="Q133" i="5"/>
  <c r="M51" i="4"/>
  <c r="R133" i="5"/>
  <c r="T133" i="5"/>
  <c r="U133" i="5"/>
  <c r="P51" i="4"/>
  <c r="W133" i="5"/>
  <c r="Q51" i="4"/>
  <c r="X133" i="5"/>
  <c r="S51" i="4"/>
  <c r="AA133" i="5"/>
  <c r="AI51" i="4"/>
  <c r="T51" i="4" a="1"/>
  <c r="T51" i="4"/>
  <c r="AC133" i="5"/>
  <c r="U51" i="4" a="1"/>
  <c r="U51" i="4"/>
  <c r="AD133" i="5"/>
  <c r="X51" i="4"/>
  <c r="AI133" i="5"/>
  <c r="Y51" i="4"/>
  <c r="AJ133" i="5"/>
  <c r="Z51" i="4"/>
  <c r="AL133" i="5"/>
  <c r="Z133" i="5"/>
  <c r="L133" i="5"/>
  <c r="N133" i="5"/>
  <c r="O133" i="5"/>
  <c r="AN133" i="5"/>
  <c r="AA134" i="5"/>
  <c r="P14" i="4"/>
  <c r="W134" i="5"/>
  <c r="O134" i="5"/>
  <c r="K134" i="5"/>
  <c r="AG134" i="5"/>
  <c r="AF134" i="5"/>
  <c r="C14" i="4"/>
  <c r="C134" i="5"/>
  <c r="D14" i="4"/>
  <c r="E134" i="5"/>
  <c r="I14" i="4"/>
  <c r="L134" i="5"/>
  <c r="J14" i="4"/>
  <c r="N134" i="5"/>
  <c r="L14" i="4"/>
  <c r="Q134" i="5"/>
  <c r="M14" i="4"/>
  <c r="R134" i="5"/>
  <c r="T134" i="5"/>
  <c r="U134" i="5"/>
  <c r="Q14" i="4"/>
  <c r="X134" i="5"/>
  <c r="R14" i="4"/>
  <c r="Z134" i="5"/>
  <c r="AI14" i="4"/>
  <c r="T14" i="4" a="1"/>
  <c r="T14" i="4"/>
  <c r="AC134" i="5"/>
  <c r="U14" i="4" a="1"/>
  <c r="U14" i="4"/>
  <c r="AD134" i="5"/>
  <c r="X14" i="4"/>
  <c r="AI134" i="5"/>
  <c r="Y14" i="4"/>
  <c r="AJ134" i="5"/>
  <c r="Z14" i="4"/>
  <c r="AL134" i="5"/>
  <c r="F134" i="5"/>
  <c r="H134" i="5"/>
  <c r="I134" i="5"/>
  <c r="AN134" i="5"/>
  <c r="O135" i="5"/>
  <c r="K135" i="5"/>
  <c r="AG135" i="5"/>
  <c r="AF135" i="5"/>
  <c r="B153" i="4"/>
  <c r="C153" i="4"/>
  <c r="C135" i="5"/>
  <c r="D153" i="4"/>
  <c r="E135" i="5"/>
  <c r="I153" i="4"/>
  <c r="L135" i="5"/>
  <c r="J153" i="4"/>
  <c r="N135" i="5"/>
  <c r="L153" i="4"/>
  <c r="Q135" i="5"/>
  <c r="M153" i="4"/>
  <c r="R135" i="5"/>
  <c r="T135" i="5"/>
  <c r="U135" i="5"/>
  <c r="P153" i="4"/>
  <c r="W135" i="5"/>
  <c r="Q153" i="4"/>
  <c r="X135" i="5"/>
  <c r="AA135" i="5"/>
  <c r="AI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Z135" i="5"/>
  <c r="F135" i="5"/>
  <c r="H135" i="5"/>
  <c r="I135" i="5"/>
  <c r="AN135" i="5"/>
  <c r="AG136" i="5"/>
  <c r="AF136" i="5"/>
  <c r="B155" i="4"/>
  <c r="C155" i="4"/>
  <c r="C136" i="5"/>
  <c r="D155" i="4"/>
  <c r="E136" i="5"/>
  <c r="H155" i="4"/>
  <c r="K136" i="5"/>
  <c r="L155" i="4"/>
  <c r="Q136" i="5"/>
  <c r="M155" i="4"/>
  <c r="R136" i="5"/>
  <c r="T136" i="5"/>
  <c r="O155" i="4"/>
  <c r="U136" i="5"/>
  <c r="P155" i="4"/>
  <c r="W136" i="5"/>
  <c r="Q155" i="4"/>
  <c r="X136" i="5"/>
  <c r="S155" i="4"/>
  <c r="AA136" i="5"/>
  <c r="AI155" i="4"/>
  <c r="T155" i="4" a="1"/>
  <c r="T155" i="4"/>
  <c r="AC136" i="5"/>
  <c r="U155" i="4" a="1"/>
  <c r="U155" i="4"/>
  <c r="AD136" i="5"/>
  <c r="X155" i="4"/>
  <c r="AI136" i="5"/>
  <c r="Y155" i="4"/>
  <c r="AJ136" i="5"/>
  <c r="Z155" i="4"/>
  <c r="AL136" i="5"/>
  <c r="L136" i="5"/>
  <c r="N136" i="5"/>
  <c r="O136" i="5"/>
  <c r="Z136" i="5"/>
  <c r="F136" i="5"/>
  <c r="H136" i="5"/>
  <c r="I136" i="5"/>
  <c r="AN136" i="5"/>
  <c r="O137" i="5"/>
  <c r="B156" i="4"/>
  <c r="H156" i="4"/>
  <c r="K137" i="5"/>
  <c r="AG137" i="5"/>
  <c r="AF137" i="5"/>
  <c r="C156" i="4"/>
  <c r="C137" i="5"/>
  <c r="D156" i="4"/>
  <c r="E137" i="5"/>
  <c r="I156" i="4"/>
  <c r="L137" i="5"/>
  <c r="J156" i="4"/>
  <c r="N137" i="5"/>
  <c r="L156" i="4"/>
  <c r="Q137" i="5"/>
  <c r="M156" i="4"/>
  <c r="R137" i="5"/>
  <c r="T137" i="5"/>
  <c r="U137" i="5"/>
  <c r="P156" i="4"/>
  <c r="W137" i="5"/>
  <c r="Q156" i="4"/>
  <c r="X137" i="5"/>
  <c r="AA137" i="5"/>
  <c r="AI156" i="4"/>
  <c r="T156" i="4" a="1"/>
  <c r="T156" i="4"/>
  <c r="AC137" i="5"/>
  <c r="U156" i="4" a="1"/>
  <c r="U156" i="4"/>
  <c r="AD137" i="5"/>
  <c r="X156" i="4"/>
  <c r="AI137" i="5"/>
  <c r="Y156" i="4"/>
  <c r="AJ137" i="5"/>
  <c r="Z156" i="4"/>
  <c r="AL137" i="5"/>
  <c r="Z137" i="5"/>
  <c r="F137" i="5"/>
  <c r="H137" i="5"/>
  <c r="I137" i="5"/>
  <c r="AN137" i="5"/>
  <c r="B6" i="4"/>
  <c r="S6" i="4"/>
  <c r="AA138" i="5"/>
  <c r="P6" i="4"/>
  <c r="W138" i="5"/>
  <c r="AG138" i="5"/>
  <c r="AF138" i="5"/>
  <c r="C6" i="4"/>
  <c r="C138" i="5"/>
  <c r="D6" i="4"/>
  <c r="E138" i="5"/>
  <c r="K138" i="5"/>
  <c r="L6" i="4"/>
  <c r="Q138" i="5"/>
  <c r="U138" i="5"/>
  <c r="Q6" i="4"/>
  <c r="X138" i="5"/>
  <c r="R6" i="4"/>
  <c r="Z138" i="5"/>
  <c r="AI6" i="4"/>
  <c r="T6" i="4" a="1"/>
  <c r="T6" i="4"/>
  <c r="AC138" i="5"/>
  <c r="U6" i="4" a="1"/>
  <c r="U6" i="4"/>
  <c r="AD138" i="5"/>
  <c r="X6" i="4"/>
  <c r="AI138" i="5"/>
  <c r="Y6" i="4"/>
  <c r="AJ138" i="5"/>
  <c r="Z6" i="4"/>
  <c r="AL138" i="5"/>
  <c r="L138" i="5"/>
  <c r="N138" i="5"/>
  <c r="O138" i="5"/>
  <c r="R138" i="5"/>
  <c r="T138" i="5"/>
  <c r="F138" i="5"/>
  <c r="H138" i="5"/>
  <c r="I138" i="5"/>
  <c r="AN138" i="5"/>
  <c r="AG139" i="5"/>
  <c r="AF139" i="5"/>
  <c r="B157" i="4"/>
  <c r="C157" i="4"/>
  <c r="C139" i="5"/>
  <c r="D157" i="4"/>
  <c r="E139" i="5"/>
  <c r="H157" i="4"/>
  <c r="K139" i="5"/>
  <c r="L157" i="4"/>
  <c r="Q139" i="5"/>
  <c r="M157" i="4"/>
  <c r="R139" i="5"/>
  <c r="T139" i="5"/>
  <c r="O157" i="4"/>
  <c r="U139" i="5"/>
  <c r="P157" i="4"/>
  <c r="W139" i="5"/>
  <c r="Q157" i="4"/>
  <c r="X139" i="5"/>
  <c r="S157" i="4"/>
  <c r="AA139" i="5"/>
  <c r="AI157" i="4"/>
  <c r="T157" i="4" a="1"/>
  <c r="T157" i="4"/>
  <c r="AC139" i="5"/>
  <c r="U157" i="4" a="1"/>
  <c r="U157" i="4"/>
  <c r="AD139" i="5"/>
  <c r="X157" i="4"/>
  <c r="AI139" i="5"/>
  <c r="Y157" i="4"/>
  <c r="AJ139" i="5"/>
  <c r="Z157" i="4"/>
  <c r="AL139" i="5"/>
  <c r="L139" i="5"/>
  <c r="N139" i="5"/>
  <c r="O139" i="5"/>
  <c r="F139" i="5"/>
  <c r="H139" i="5"/>
  <c r="I139" i="5"/>
  <c r="Z139" i="5"/>
  <c r="AN139" i="5"/>
  <c r="AG140" i="5"/>
  <c r="AF140" i="5"/>
  <c r="B52" i="4"/>
  <c r="C52" i="4"/>
  <c r="C140" i="5"/>
  <c r="D52" i="4"/>
  <c r="E140" i="5"/>
  <c r="E52" i="4"/>
  <c r="F140" i="5"/>
  <c r="F52" i="4"/>
  <c r="H140" i="5"/>
  <c r="I140" i="5"/>
  <c r="K140" i="5"/>
  <c r="L52" i="4"/>
  <c r="Q140" i="5"/>
  <c r="M52" i="4"/>
  <c r="R140" i="5"/>
  <c r="T140" i="5"/>
  <c r="U140" i="5"/>
  <c r="P52" i="4"/>
  <c r="W140" i="5"/>
  <c r="Q52" i="4"/>
  <c r="X140" i="5"/>
  <c r="S52" i="4"/>
  <c r="AA140" i="5"/>
  <c r="AI52" i="4"/>
  <c r="T52" i="4" a="1"/>
  <c r="T52" i="4"/>
  <c r="AC140" i="5"/>
  <c r="U52" i="4" a="1"/>
  <c r="U52" i="4"/>
  <c r="AD140" i="5"/>
  <c r="X52" i="4"/>
  <c r="AI140" i="5"/>
  <c r="Y52" i="4"/>
  <c r="AJ140" i="5"/>
  <c r="Z52" i="4"/>
  <c r="AL140" i="5"/>
  <c r="L140" i="5"/>
  <c r="N140" i="5"/>
  <c r="O140" i="5"/>
  <c r="Z140" i="5"/>
  <c r="AN140" i="5"/>
  <c r="AG141" i="5"/>
  <c r="AF141" i="5"/>
  <c r="B158" i="4"/>
  <c r="C158" i="4"/>
  <c r="C141" i="5"/>
  <c r="D158" i="4"/>
  <c r="E141" i="5"/>
  <c r="E158" i="4"/>
  <c r="F141" i="5"/>
  <c r="F158" i="4"/>
  <c r="H141" i="5"/>
  <c r="I141" i="5"/>
  <c r="H158" i="4"/>
  <c r="K141" i="5"/>
  <c r="L158" i="4"/>
  <c r="Q141" i="5"/>
  <c r="M158" i="4"/>
  <c r="R141" i="5"/>
  <c r="T141" i="5"/>
  <c r="U141" i="5"/>
  <c r="P158" i="4"/>
  <c r="W141" i="5"/>
  <c r="Q158" i="4"/>
  <c r="X141" i="5"/>
  <c r="S158" i="4"/>
  <c r="AA141" i="5"/>
  <c r="AI158" i="4"/>
  <c r="T158" i="4" a="1"/>
  <c r="T158" i="4"/>
  <c r="AC141" i="5"/>
  <c r="U158" i="4" a="1"/>
  <c r="U158" i="4"/>
  <c r="AD141" i="5"/>
  <c r="X158" i="4"/>
  <c r="AI141" i="5"/>
  <c r="Y158" i="4"/>
  <c r="AJ141" i="5"/>
  <c r="Z158" i="4"/>
  <c r="AL141" i="5"/>
  <c r="L141" i="5"/>
  <c r="N141" i="5"/>
  <c r="O141" i="5"/>
  <c r="Z141" i="5"/>
  <c r="AN141" i="5"/>
  <c r="AG142" i="5"/>
  <c r="AF142" i="5"/>
  <c r="C159" i="4"/>
  <c r="C142" i="5"/>
  <c r="E142" i="5"/>
  <c r="E159" i="4"/>
  <c r="F142" i="5"/>
  <c r="F159" i="4"/>
  <c r="H142" i="5"/>
  <c r="I142" i="5"/>
  <c r="H159" i="4"/>
  <c r="K142" i="5"/>
  <c r="L159" i="4"/>
  <c r="Q142" i="5"/>
  <c r="M159" i="4"/>
  <c r="R142" i="5"/>
  <c r="T142" i="5"/>
  <c r="O159" i="4"/>
  <c r="U142" i="5"/>
  <c r="P159" i="4"/>
  <c r="W142" i="5"/>
  <c r="Q159" i="4"/>
  <c r="X142" i="5"/>
  <c r="S159" i="4"/>
  <c r="AA142" i="5"/>
  <c r="AI159" i="4"/>
  <c r="T159" i="4" a="1"/>
  <c r="T159" i="4"/>
  <c r="AC142" i="5"/>
  <c r="U159" i="4" a="1"/>
  <c r="U159" i="4"/>
  <c r="AD142" i="5"/>
  <c r="X159" i="4"/>
  <c r="AI142" i="5"/>
  <c r="Y159" i="4"/>
  <c r="AJ142" i="5"/>
  <c r="Z159" i="4"/>
  <c r="AL142" i="5"/>
  <c r="L142" i="5"/>
  <c r="N142" i="5"/>
  <c r="O142" i="5"/>
  <c r="Z142" i="5"/>
  <c r="AN142" i="5"/>
  <c r="O143" i="5"/>
  <c r="K143" i="5"/>
  <c r="AG143" i="5"/>
  <c r="AF143" i="5"/>
  <c r="C7" i="4"/>
  <c r="C143" i="5"/>
  <c r="E143" i="5"/>
  <c r="I7" i="4"/>
  <c r="L143" i="5"/>
  <c r="J7" i="4"/>
  <c r="N143" i="5"/>
  <c r="L7" i="4"/>
  <c r="Q143" i="5"/>
  <c r="M7" i="4"/>
  <c r="R143" i="5"/>
  <c r="T143" i="5"/>
  <c r="U143" i="5"/>
  <c r="P7" i="4"/>
  <c r="W143" i="5"/>
  <c r="Q7" i="4"/>
  <c r="X143" i="5"/>
  <c r="AA143" i="5"/>
  <c r="AI7" i="4"/>
  <c r="T7" i="4" a="1"/>
  <c r="T7" i="4"/>
  <c r="AC143" i="5"/>
  <c r="U7" i="4" a="1"/>
  <c r="U7" i="4"/>
  <c r="AD143" i="5"/>
  <c r="X7" i="4"/>
  <c r="AI143" i="5"/>
  <c r="Y7" i="4"/>
  <c r="AJ143" i="5"/>
  <c r="Z7" i="4"/>
  <c r="AL143" i="5"/>
  <c r="F143" i="5"/>
  <c r="H143" i="5"/>
  <c r="I143" i="5"/>
  <c r="Z143" i="5"/>
  <c r="AN143" i="5"/>
  <c r="AG144" i="5"/>
  <c r="AF144" i="5"/>
  <c r="C160" i="4"/>
  <c r="C144" i="5"/>
  <c r="D160" i="4"/>
  <c r="E144" i="5"/>
  <c r="H160" i="4"/>
  <c r="K144" i="5"/>
  <c r="L160" i="4"/>
  <c r="Q144" i="5"/>
  <c r="M160" i="4"/>
  <c r="R144" i="5"/>
  <c r="T144" i="5"/>
  <c r="U144" i="5"/>
  <c r="P160" i="4"/>
  <c r="W144" i="5"/>
  <c r="Q160" i="4"/>
  <c r="X144" i="5"/>
  <c r="S160" i="4"/>
  <c r="AA144" i="5"/>
  <c r="AI160" i="4"/>
  <c r="T160" i="4" a="1"/>
  <c r="T160" i="4"/>
  <c r="AC144" i="5"/>
  <c r="U160" i="4" a="1"/>
  <c r="U160" i="4"/>
  <c r="AD144" i="5"/>
  <c r="X160" i="4"/>
  <c r="AI144" i="5"/>
  <c r="Y160" i="4"/>
  <c r="AJ144" i="5"/>
  <c r="Z160" i="4"/>
  <c r="AL144" i="5"/>
  <c r="F144" i="5"/>
  <c r="H144" i="5"/>
  <c r="I144" i="5"/>
  <c r="L144" i="5"/>
  <c r="N144" i="5"/>
  <c r="O144" i="5"/>
  <c r="Z144" i="5"/>
  <c r="AN144" i="5"/>
  <c r="O145" i="5"/>
  <c r="H268" i="4"/>
  <c r="K145" i="5"/>
  <c r="AG145" i="5"/>
  <c r="AF145" i="5"/>
  <c r="C268" i="4"/>
  <c r="C145" i="5"/>
  <c r="D268" i="4"/>
  <c r="E145" i="5"/>
  <c r="E268" i="4"/>
  <c r="F145" i="5"/>
  <c r="F268" i="4"/>
  <c r="H145" i="5"/>
  <c r="I145" i="5"/>
  <c r="I268" i="4"/>
  <c r="L145" i="5"/>
  <c r="J268" i="4"/>
  <c r="N145" i="5"/>
  <c r="L268" i="4"/>
  <c r="Q145" i="5"/>
  <c r="M268" i="4"/>
  <c r="R145" i="5"/>
  <c r="T145" i="5"/>
  <c r="O268" i="4"/>
  <c r="U145" i="5"/>
  <c r="P268" i="4"/>
  <c r="W145" i="5"/>
  <c r="Q268" i="4"/>
  <c r="X145" i="5"/>
  <c r="AA145" i="5"/>
  <c r="AI268" i="4"/>
  <c r="T268" i="4" a="1"/>
  <c r="T268" i="4"/>
  <c r="AC145" i="5"/>
  <c r="U268" i="4" a="1"/>
  <c r="U268" i="4"/>
  <c r="AD145" i="5"/>
  <c r="X268" i="4"/>
  <c r="AI145" i="5"/>
  <c r="Y268" i="4"/>
  <c r="AJ145" i="5"/>
  <c r="Z268" i="4"/>
  <c r="AL145" i="5"/>
  <c r="Z145" i="5"/>
  <c r="AN145" i="5"/>
  <c r="AG146" i="5"/>
  <c r="AF146" i="5"/>
  <c r="B161" i="4"/>
  <c r="C161" i="4"/>
  <c r="C146" i="5"/>
  <c r="D161" i="4"/>
  <c r="E146" i="5"/>
  <c r="E161" i="4"/>
  <c r="F146" i="5"/>
  <c r="F161" i="4"/>
  <c r="H146" i="5"/>
  <c r="I146" i="5"/>
  <c r="H161" i="4"/>
  <c r="K146" i="5"/>
  <c r="L161" i="4"/>
  <c r="Q146" i="5"/>
  <c r="M161" i="4"/>
  <c r="R146" i="5"/>
  <c r="T146" i="5"/>
  <c r="O161" i="4"/>
  <c r="U146" i="5"/>
  <c r="P161" i="4"/>
  <c r="W146" i="5"/>
  <c r="Q161" i="4"/>
  <c r="X146" i="5"/>
  <c r="S161" i="4"/>
  <c r="AA146" i="5"/>
  <c r="AI161" i="4"/>
  <c r="T161" i="4" a="1"/>
  <c r="T161" i="4"/>
  <c r="AC146" i="5"/>
  <c r="U161" i="4" a="1"/>
  <c r="U161" i="4"/>
  <c r="AD146" i="5"/>
  <c r="X161" i="4"/>
  <c r="AI146" i="5"/>
  <c r="Y161" i="4"/>
  <c r="AJ146" i="5"/>
  <c r="Z161" i="4"/>
  <c r="AL146" i="5"/>
  <c r="L146" i="5"/>
  <c r="N146" i="5"/>
  <c r="O146" i="5"/>
  <c r="Z146" i="5"/>
  <c r="AN146" i="5"/>
  <c r="AG147" i="5"/>
  <c r="AF147" i="5"/>
  <c r="B162" i="4"/>
  <c r="C162" i="4"/>
  <c r="C147" i="5"/>
  <c r="D162" i="4"/>
  <c r="E147" i="5"/>
  <c r="E162" i="4"/>
  <c r="F147" i="5"/>
  <c r="F162" i="4"/>
  <c r="H147" i="5"/>
  <c r="I147" i="5"/>
  <c r="H162" i="4"/>
  <c r="K147" i="5"/>
  <c r="L162" i="4"/>
  <c r="Q147" i="5"/>
  <c r="M162" i="4"/>
  <c r="R147" i="5"/>
  <c r="T147" i="5"/>
  <c r="O162" i="4"/>
  <c r="U147" i="5"/>
  <c r="P162" i="4"/>
  <c r="W147" i="5"/>
  <c r="Q162" i="4"/>
  <c r="X147" i="5"/>
  <c r="S162" i="4"/>
  <c r="AA147" i="5"/>
  <c r="AI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L147" i="5"/>
  <c r="N147" i="5"/>
  <c r="O147" i="5"/>
  <c r="Z147" i="5"/>
  <c r="AN147" i="5"/>
  <c r="AG148" i="5"/>
  <c r="AF148" i="5"/>
  <c r="C164" i="4"/>
  <c r="C148" i="5"/>
  <c r="T148" i="5"/>
  <c r="U148" i="5"/>
  <c r="P164" i="4"/>
  <c r="W148" i="5"/>
  <c r="Q164" i="4"/>
  <c r="X148" i="5"/>
  <c r="AA148" i="5"/>
  <c r="AI164" i="4"/>
  <c r="T164" i="4" a="1"/>
  <c r="T164" i="4"/>
  <c r="AC148" i="5"/>
  <c r="U164" i="4" a="1"/>
  <c r="U164" i="4"/>
  <c r="AD148" i="5"/>
  <c r="X164" i="4"/>
  <c r="AI148" i="5"/>
  <c r="Y164" i="4"/>
  <c r="AJ148" i="5"/>
  <c r="Z164" i="4"/>
  <c r="AL148" i="5"/>
  <c r="Z148" i="5"/>
  <c r="AN148" i="5"/>
  <c r="O149" i="5"/>
  <c r="K149" i="5"/>
  <c r="AG149" i="5"/>
  <c r="AF149" i="5"/>
  <c r="B15" i="4"/>
  <c r="C15" i="4"/>
  <c r="C149" i="5"/>
  <c r="D15" i="4"/>
  <c r="E149" i="5"/>
  <c r="E15" i="4"/>
  <c r="F149" i="5"/>
  <c r="F15" i="4"/>
  <c r="H149" i="5"/>
  <c r="I149" i="5"/>
  <c r="I15" i="4"/>
  <c r="L149" i="5"/>
  <c r="J15" i="4"/>
  <c r="N149" i="5"/>
  <c r="L15" i="4"/>
  <c r="Q149" i="5"/>
  <c r="M15" i="4"/>
  <c r="R149" i="5"/>
  <c r="T149" i="5"/>
  <c r="U149" i="5"/>
  <c r="P15" i="4"/>
  <c r="W149" i="5"/>
  <c r="Q15" i="4"/>
  <c r="X149" i="5"/>
  <c r="S15" i="4"/>
  <c r="AA149" i="5"/>
  <c r="AI15" i="4"/>
  <c r="T15" i="4" a="1"/>
  <c r="T15" i="4"/>
  <c r="AC149" i="5"/>
  <c r="U15" i="4" a="1"/>
  <c r="U15" i="4"/>
  <c r="AD149" i="5"/>
  <c r="X15" i="4"/>
  <c r="AI149" i="5"/>
  <c r="Y15" i="4"/>
  <c r="AJ149" i="5"/>
  <c r="Z15" i="4"/>
  <c r="AL149" i="5"/>
  <c r="Z149" i="5"/>
  <c r="AN149" i="5"/>
  <c r="B8" i="4"/>
  <c r="S8" i="4"/>
  <c r="AA150" i="5"/>
  <c r="P8" i="4"/>
  <c r="W150" i="5"/>
  <c r="AG150" i="5"/>
  <c r="AF150" i="5"/>
  <c r="C8" i="4"/>
  <c r="C150" i="5"/>
  <c r="D8" i="4"/>
  <c r="E150" i="5"/>
  <c r="K150" i="5"/>
  <c r="L8" i="4"/>
  <c r="Q150" i="5"/>
  <c r="U150" i="5"/>
  <c r="Q8" i="4"/>
  <c r="X150" i="5"/>
  <c r="R8" i="4"/>
  <c r="Z150" i="5"/>
  <c r="AI8" i="4"/>
  <c r="T8" i="4" a="1"/>
  <c r="T8" i="4"/>
  <c r="AC150" i="5"/>
  <c r="U8" i="4" a="1"/>
  <c r="U8" i="4"/>
  <c r="AD150" i="5"/>
  <c r="X8" i="4"/>
  <c r="AI150" i="5"/>
  <c r="Y8" i="4"/>
  <c r="AJ150" i="5"/>
  <c r="Z8" i="4"/>
  <c r="AL150" i="5"/>
  <c r="F150" i="5"/>
  <c r="H150" i="5"/>
  <c r="I150" i="5"/>
  <c r="L150" i="5"/>
  <c r="N150" i="5"/>
  <c r="O150" i="5"/>
  <c r="R150" i="5"/>
  <c r="T150" i="5"/>
  <c r="AN150" i="5"/>
  <c r="AG151" i="5"/>
  <c r="AF151" i="5"/>
  <c r="B269" i="4"/>
  <c r="C269" i="4"/>
  <c r="C151" i="5"/>
  <c r="D269" i="4"/>
  <c r="E151" i="5"/>
  <c r="E269" i="4"/>
  <c r="F151" i="5"/>
  <c r="F269" i="4"/>
  <c r="H151" i="5"/>
  <c r="I151" i="5"/>
  <c r="H269" i="4"/>
  <c r="K151" i="5"/>
  <c r="L269" i="4"/>
  <c r="Q151" i="5"/>
  <c r="M269" i="4"/>
  <c r="R151" i="5"/>
  <c r="T151" i="5"/>
  <c r="O269" i="4"/>
  <c r="U151" i="5"/>
  <c r="P269" i="4"/>
  <c r="W151" i="5"/>
  <c r="Q269" i="4"/>
  <c r="X151" i="5"/>
  <c r="AA151" i="5"/>
  <c r="AI269" i="4"/>
  <c r="T269" i="4" a="1"/>
  <c r="T269" i="4"/>
  <c r="AC151" i="5"/>
  <c r="U269" i="4" a="1"/>
  <c r="U269" i="4"/>
  <c r="AD151" i="5"/>
  <c r="X269" i="4"/>
  <c r="AI151" i="5"/>
  <c r="Y269" i="4"/>
  <c r="AJ151" i="5"/>
  <c r="Z269" i="4"/>
  <c r="AL151" i="5"/>
  <c r="L151" i="5"/>
  <c r="N151" i="5"/>
  <c r="O151" i="5"/>
  <c r="Z151" i="5"/>
  <c r="AN151" i="5"/>
  <c r="O152" i="5"/>
  <c r="B166" i="4"/>
  <c r="H166" i="4"/>
  <c r="K152" i="5"/>
  <c r="AG152" i="5"/>
  <c r="AF152" i="5"/>
  <c r="C166" i="4"/>
  <c r="C152" i="5"/>
  <c r="D166" i="4"/>
  <c r="E152" i="5"/>
  <c r="I166" i="4"/>
  <c r="L152" i="5"/>
  <c r="J166" i="4"/>
  <c r="N152" i="5"/>
  <c r="L166" i="4"/>
  <c r="Q152" i="5"/>
  <c r="M166" i="4"/>
  <c r="R152" i="5"/>
  <c r="T152" i="5"/>
  <c r="U152" i="5"/>
  <c r="P166" i="4"/>
  <c r="W152" i="5"/>
  <c r="Q166" i="4"/>
  <c r="X152" i="5"/>
  <c r="S166" i="4"/>
  <c r="AA152" i="5"/>
  <c r="AI166" i="4"/>
  <c r="T166" i="4" a="1"/>
  <c r="T166" i="4"/>
  <c r="AC152" i="5"/>
  <c r="U166" i="4" a="1"/>
  <c r="U166" i="4"/>
  <c r="AD152" i="5"/>
  <c r="X166" i="4"/>
  <c r="AI152" i="5"/>
  <c r="Y166" i="4"/>
  <c r="AJ152" i="5"/>
  <c r="Z166" i="4"/>
  <c r="AL152" i="5"/>
  <c r="F152" i="5"/>
  <c r="H152" i="5"/>
  <c r="I152" i="5"/>
  <c r="Z152" i="5"/>
  <c r="AN152" i="5"/>
  <c r="B279" i="4"/>
  <c r="S279" i="4"/>
  <c r="AA153" i="5"/>
  <c r="P279" i="4"/>
  <c r="W153" i="5"/>
  <c r="AG153" i="5"/>
  <c r="AF153" i="5"/>
  <c r="C279" i="4"/>
  <c r="C153" i="5"/>
  <c r="D279" i="4"/>
  <c r="E153" i="5"/>
  <c r="E279" i="4"/>
  <c r="F153" i="5"/>
  <c r="F279" i="4"/>
  <c r="H153" i="5"/>
  <c r="I153" i="5"/>
  <c r="K153" i="5"/>
  <c r="L279" i="4"/>
  <c r="Q153" i="5"/>
  <c r="M279" i="4"/>
  <c r="R153" i="5"/>
  <c r="T153" i="5"/>
  <c r="O279" i="4"/>
  <c r="U153" i="5"/>
  <c r="Q279" i="4"/>
  <c r="X153" i="5"/>
  <c r="R279" i="4"/>
  <c r="Z153" i="5"/>
  <c r="AI279" i="4"/>
  <c r="T279" i="4" a="1"/>
  <c r="T279" i="4"/>
  <c r="AC153" i="5"/>
  <c r="U279" i="4" a="1"/>
  <c r="U279" i="4"/>
  <c r="AD153" i="5"/>
  <c r="X279" i="4"/>
  <c r="AI153" i="5"/>
  <c r="Y279" i="4"/>
  <c r="AJ153" i="5"/>
  <c r="Z279" i="4"/>
  <c r="AL153" i="5"/>
  <c r="L153" i="5"/>
  <c r="N153" i="5"/>
  <c r="O153" i="5"/>
  <c r="AN153" i="5"/>
  <c r="O154" i="5"/>
  <c r="B168" i="4"/>
  <c r="H168" i="4"/>
  <c r="K154" i="5"/>
  <c r="AG154" i="5"/>
  <c r="AF154" i="5"/>
  <c r="C168" i="4"/>
  <c r="C154" i="5"/>
  <c r="D168" i="4"/>
  <c r="E154" i="5"/>
  <c r="I168" i="4"/>
  <c r="L154" i="5"/>
  <c r="J168" i="4"/>
  <c r="N154" i="5"/>
  <c r="L168" i="4"/>
  <c r="Q154" i="5"/>
  <c r="M168" i="4"/>
  <c r="R154" i="5"/>
  <c r="T154" i="5"/>
  <c r="U154" i="5"/>
  <c r="P168" i="4"/>
  <c r="W154" i="5"/>
  <c r="Q168" i="4"/>
  <c r="X154" i="5"/>
  <c r="S168" i="4"/>
  <c r="AA154" i="5"/>
  <c r="AI168" i="4"/>
  <c r="T168" i="4" a="1"/>
  <c r="T168" i="4"/>
  <c r="AC154" i="5"/>
  <c r="U168" i="4" a="1"/>
  <c r="U168" i="4"/>
  <c r="AD154" i="5"/>
  <c r="X168" i="4"/>
  <c r="AI154" i="5"/>
  <c r="Y168" i="4"/>
  <c r="AJ154" i="5"/>
  <c r="Z168" i="4"/>
  <c r="AL154" i="5"/>
  <c r="F154" i="5"/>
  <c r="H154" i="5"/>
  <c r="I154" i="5"/>
  <c r="Z154" i="5"/>
  <c r="AN154" i="5"/>
  <c r="AG155" i="5"/>
  <c r="AF155" i="5"/>
  <c r="B260" i="4"/>
  <c r="C260" i="4"/>
  <c r="C155" i="5"/>
  <c r="D260" i="4"/>
  <c r="E155" i="5"/>
  <c r="H260" i="4"/>
  <c r="K155" i="5"/>
  <c r="L260" i="4"/>
  <c r="Q155" i="5"/>
  <c r="M260" i="4"/>
  <c r="R155" i="5"/>
  <c r="T155" i="5"/>
  <c r="O260" i="4"/>
  <c r="U155" i="5"/>
  <c r="P260" i="4"/>
  <c r="W155" i="5"/>
  <c r="Q260" i="4"/>
  <c r="X155" i="5"/>
  <c r="AA155" i="5"/>
  <c r="AI260" i="4"/>
  <c r="T260" i="4" a="1"/>
  <c r="T260" i="4"/>
  <c r="AC155" i="5"/>
  <c r="U260" i="4" a="1"/>
  <c r="U260" i="4"/>
  <c r="AD155" i="5"/>
  <c r="X260" i="4"/>
  <c r="AI155" i="5"/>
  <c r="Y260" i="4"/>
  <c r="AJ155" i="5"/>
  <c r="Z260" i="4"/>
  <c r="AL155" i="5"/>
  <c r="F155" i="5"/>
  <c r="H155" i="5"/>
  <c r="I155" i="5"/>
  <c r="L155" i="5"/>
  <c r="N155" i="5"/>
  <c r="O155" i="5"/>
  <c r="Z155" i="5"/>
  <c r="AN155" i="5"/>
  <c r="AG156" i="5"/>
  <c r="AF156" i="5"/>
  <c r="B169" i="4"/>
  <c r="C169" i="4"/>
  <c r="C156" i="5"/>
  <c r="D169" i="4"/>
  <c r="E156" i="5"/>
  <c r="E169" i="4"/>
  <c r="F156" i="5"/>
  <c r="F169" i="4"/>
  <c r="H156" i="5"/>
  <c r="I156" i="5"/>
  <c r="H169" i="4"/>
  <c r="K156" i="5"/>
  <c r="L169" i="4"/>
  <c r="Q156" i="5"/>
  <c r="M169" i="4"/>
  <c r="R156" i="5"/>
  <c r="T156" i="5"/>
  <c r="O169" i="4"/>
  <c r="U156" i="5"/>
  <c r="P169" i="4"/>
  <c r="W156" i="5"/>
  <c r="Q169" i="4"/>
  <c r="X156" i="5"/>
  <c r="S169" i="4"/>
  <c r="AA156" i="5"/>
  <c r="AI169" i="4"/>
  <c r="T169" i="4" a="1"/>
  <c r="T169" i="4"/>
  <c r="AC156" i="5"/>
  <c r="U169" i="4" a="1"/>
  <c r="U169" i="4"/>
  <c r="AD156" i="5"/>
  <c r="X169" i="4"/>
  <c r="AI156" i="5"/>
  <c r="Y169" i="4"/>
  <c r="AJ156" i="5"/>
  <c r="Z169" i="4"/>
  <c r="AL156" i="5"/>
  <c r="L156" i="5"/>
  <c r="N156" i="5"/>
  <c r="O156" i="5"/>
  <c r="Z156" i="5"/>
  <c r="AN156" i="5"/>
  <c r="AA157" i="5"/>
  <c r="B302" i="4"/>
  <c r="P302" i="4"/>
  <c r="W157" i="5"/>
  <c r="O157" i="5"/>
  <c r="H302" i="4"/>
  <c r="K157" i="5"/>
  <c r="AG157" i="5"/>
  <c r="AF157" i="5"/>
  <c r="C302" i="4"/>
  <c r="C157" i="5"/>
  <c r="D302" i="4"/>
  <c r="E157" i="5"/>
  <c r="I302" i="4"/>
  <c r="L157" i="5"/>
  <c r="J302" i="4"/>
  <c r="N157" i="5"/>
  <c r="L302" i="4"/>
  <c r="Q157" i="5"/>
  <c r="M302" i="4"/>
  <c r="R157" i="5"/>
  <c r="T157" i="5"/>
  <c r="O302" i="4"/>
  <c r="U157" i="5"/>
  <c r="Q302" i="4"/>
  <c r="X157" i="5"/>
  <c r="R302" i="4"/>
  <c r="Z157" i="5"/>
  <c r="AI302" i="4"/>
  <c r="T302" i="4" a="1"/>
  <c r="T302" i="4"/>
  <c r="AC157" i="5"/>
  <c r="U302" i="4" a="1"/>
  <c r="U302" i="4"/>
  <c r="AD157" i="5"/>
  <c r="X302" i="4"/>
  <c r="AI157" i="5"/>
  <c r="Y302" i="4"/>
  <c r="AJ157" i="5"/>
  <c r="Z302" i="4"/>
  <c r="AL157" i="5"/>
  <c r="F157" i="5"/>
  <c r="H157" i="5"/>
  <c r="I157" i="5"/>
  <c r="AN157" i="5"/>
  <c r="AG158" i="5"/>
  <c r="AF158" i="5"/>
  <c r="B170" i="4"/>
  <c r="C170" i="4"/>
  <c r="C158" i="5"/>
  <c r="D170" i="4"/>
  <c r="E158" i="5"/>
  <c r="H170" i="4"/>
  <c r="K158" i="5"/>
  <c r="L170" i="4"/>
  <c r="Q158" i="5"/>
  <c r="M170" i="4"/>
  <c r="R158" i="5"/>
  <c r="T158" i="5"/>
  <c r="U158" i="5"/>
  <c r="P170" i="4"/>
  <c r="W158" i="5"/>
  <c r="Q170" i="4"/>
  <c r="X158" i="5"/>
  <c r="S170" i="4"/>
  <c r="AA158" i="5"/>
  <c r="AI170" i="4"/>
  <c r="T170" i="4" a="1"/>
  <c r="T170" i="4"/>
  <c r="AC158" i="5"/>
  <c r="U170" i="4" a="1"/>
  <c r="U170" i="4"/>
  <c r="AD158" i="5"/>
  <c r="X170" i="4"/>
  <c r="AI158" i="5"/>
  <c r="Y170" i="4"/>
  <c r="AJ158" i="5"/>
  <c r="Z170" i="4"/>
  <c r="AL158" i="5"/>
  <c r="F158" i="5"/>
  <c r="H158" i="5"/>
  <c r="I158" i="5"/>
  <c r="L158" i="5"/>
  <c r="N158" i="5"/>
  <c r="O158" i="5"/>
  <c r="Z158" i="5"/>
  <c r="AN158" i="5"/>
  <c r="AG159" i="5"/>
  <c r="AF159" i="5"/>
  <c r="B171" i="4"/>
  <c r="C171" i="4"/>
  <c r="C159" i="5"/>
  <c r="D171" i="4"/>
  <c r="E159" i="5"/>
  <c r="E171" i="4"/>
  <c r="F159" i="5"/>
  <c r="F171" i="4"/>
  <c r="H159" i="5"/>
  <c r="I159" i="5"/>
  <c r="H171" i="4"/>
  <c r="K159" i="5"/>
  <c r="L171" i="4"/>
  <c r="Q159" i="5"/>
  <c r="M171" i="4"/>
  <c r="R159" i="5"/>
  <c r="T159" i="5"/>
  <c r="O171" i="4"/>
  <c r="U159" i="5"/>
  <c r="P171" i="4"/>
  <c r="W159" i="5"/>
  <c r="Q171" i="4"/>
  <c r="X159" i="5"/>
  <c r="S171" i="4"/>
  <c r="AA159" i="5"/>
  <c r="AI171" i="4"/>
  <c r="T171" i="4" a="1"/>
  <c r="T171" i="4"/>
  <c r="AC159" i="5"/>
  <c r="U171" i="4" a="1"/>
  <c r="U171" i="4"/>
  <c r="AD159" i="5"/>
  <c r="X171" i="4"/>
  <c r="AI159" i="5"/>
  <c r="Y171" i="4"/>
  <c r="AJ159" i="5"/>
  <c r="Z171" i="4"/>
  <c r="AL159" i="5"/>
  <c r="L159" i="5"/>
  <c r="N159" i="5"/>
  <c r="O159" i="5"/>
  <c r="Z159" i="5"/>
  <c r="AN159" i="5"/>
  <c r="AG160" i="5"/>
  <c r="AF160" i="5"/>
  <c r="B172" i="4"/>
  <c r="C172" i="4"/>
  <c r="C160" i="5"/>
  <c r="D172" i="4"/>
  <c r="E160" i="5"/>
  <c r="E172" i="4"/>
  <c r="F160" i="5"/>
  <c r="F172" i="4"/>
  <c r="H160" i="5"/>
  <c r="I160" i="5"/>
  <c r="H172" i="4"/>
  <c r="K160" i="5"/>
  <c r="L172" i="4"/>
  <c r="Q160" i="5"/>
  <c r="M172" i="4"/>
  <c r="R160" i="5"/>
  <c r="T160" i="5"/>
  <c r="O172" i="4"/>
  <c r="U160" i="5"/>
  <c r="P172" i="4"/>
  <c r="W160" i="5"/>
  <c r="Q172" i="4"/>
  <c r="X160" i="5"/>
  <c r="S172" i="4"/>
  <c r="AA160" i="5"/>
  <c r="AI172" i="4"/>
  <c r="T172" i="4" a="1"/>
  <c r="T172" i="4"/>
  <c r="AC160" i="5"/>
  <c r="U172" i="4" a="1"/>
  <c r="U172" i="4"/>
  <c r="AD160" i="5"/>
  <c r="X172" i="4"/>
  <c r="AI160" i="5"/>
  <c r="Y172" i="4"/>
  <c r="AJ160" i="5"/>
  <c r="Z172" i="4"/>
  <c r="AL160" i="5"/>
  <c r="L160" i="5"/>
  <c r="N160" i="5"/>
  <c r="O160" i="5"/>
  <c r="Z160" i="5"/>
  <c r="AN160" i="5"/>
  <c r="AG161" i="5"/>
  <c r="AF161" i="5"/>
  <c r="B173" i="4"/>
  <c r="C173" i="4"/>
  <c r="C161" i="5"/>
  <c r="D173" i="4"/>
  <c r="E161" i="5"/>
  <c r="E173" i="4"/>
  <c r="F161" i="5"/>
  <c r="F173" i="4"/>
  <c r="H161" i="5"/>
  <c r="I161" i="5"/>
  <c r="H173" i="4"/>
  <c r="K161" i="5"/>
  <c r="L173" i="4"/>
  <c r="Q161" i="5"/>
  <c r="M173" i="4"/>
  <c r="R161" i="5"/>
  <c r="T161" i="5"/>
  <c r="O173" i="4"/>
  <c r="U161" i="5"/>
  <c r="P173" i="4"/>
  <c r="W161" i="5"/>
  <c r="Q173" i="4"/>
  <c r="X161" i="5"/>
  <c r="S173" i="4"/>
  <c r="AA161" i="5"/>
  <c r="AI173" i="4"/>
  <c r="T173" i="4" a="1"/>
  <c r="T173" i="4"/>
  <c r="AC161" i="5"/>
  <c r="U173" i="4" a="1"/>
  <c r="U173" i="4"/>
  <c r="AD161" i="5"/>
  <c r="X173" i="4"/>
  <c r="AI161" i="5"/>
  <c r="Y173" i="4"/>
  <c r="AJ161" i="5"/>
  <c r="Z173" i="4"/>
  <c r="AL161" i="5"/>
  <c r="L161" i="5"/>
  <c r="N161" i="5"/>
  <c r="O161" i="5"/>
  <c r="Z161" i="5"/>
  <c r="AN161" i="5"/>
  <c r="AG162" i="5"/>
  <c r="AF162" i="5"/>
  <c r="B174" i="4"/>
  <c r="C174" i="4"/>
  <c r="C162" i="5"/>
  <c r="D174" i="4"/>
  <c r="E162" i="5"/>
  <c r="H174" i="4"/>
  <c r="K162" i="5"/>
  <c r="L174" i="4"/>
  <c r="Q162" i="5"/>
  <c r="M174" i="4"/>
  <c r="R162" i="5"/>
  <c r="N174" i="4"/>
  <c r="T162" i="5"/>
  <c r="O174" i="4"/>
  <c r="U162" i="5"/>
  <c r="P174" i="4"/>
  <c r="W162" i="5"/>
  <c r="Q174" i="4"/>
  <c r="X162" i="5"/>
  <c r="AA162" i="5"/>
  <c r="AI174" i="4"/>
  <c r="T174" i="4" a="1"/>
  <c r="T174" i="4"/>
  <c r="AC162" i="5"/>
  <c r="U174" i="4" a="1"/>
  <c r="U174" i="4"/>
  <c r="AD162" i="5"/>
  <c r="X174" i="4"/>
  <c r="AI162" i="5"/>
  <c r="Y174" i="4"/>
  <c r="AJ162" i="5"/>
  <c r="Z174" i="4"/>
  <c r="AL162" i="5"/>
  <c r="F162" i="5"/>
  <c r="H162" i="5"/>
  <c r="I162" i="5"/>
  <c r="L162" i="5"/>
  <c r="N162" i="5"/>
  <c r="O162" i="5"/>
  <c r="Z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U163" i="5"/>
  <c r="P175" i="4"/>
  <c r="W163" i="5"/>
  <c r="Q175" i="4"/>
  <c r="X163" i="5"/>
  <c r="AA163" i="5"/>
  <c r="AI175" i="4"/>
  <c r="T175" i="4" a="1"/>
  <c r="T175" i="4"/>
  <c r="AC163" i="5"/>
  <c r="U175" i="4" a="1"/>
  <c r="U175" i="4"/>
  <c r="AD163" i="5"/>
  <c r="Y175" i="4"/>
  <c r="AJ163" i="5"/>
  <c r="Z175" i="4"/>
  <c r="AL163" i="5"/>
  <c r="F163" i="5"/>
  <c r="H163" i="5"/>
  <c r="I163" i="5"/>
  <c r="L163" i="5"/>
  <c r="N163" i="5"/>
  <c r="O163" i="5"/>
  <c r="Z163" i="5"/>
  <c r="AN163" i="5"/>
  <c r="AG164" i="5"/>
  <c r="AF164" i="5"/>
  <c r="B177" i="4"/>
  <c r="C177" i="4"/>
  <c r="C164" i="5"/>
  <c r="D177" i="4"/>
  <c r="E164" i="5"/>
  <c r="H177" i="4"/>
  <c r="K164" i="5"/>
  <c r="L177" i="4"/>
  <c r="Q164" i="5"/>
  <c r="M177" i="4"/>
  <c r="R164" i="5"/>
  <c r="T164" i="5"/>
  <c r="O177" i="4"/>
  <c r="U164" i="5"/>
  <c r="P177" i="4"/>
  <c r="W164" i="5"/>
  <c r="Q177" i="4"/>
  <c r="X164" i="5"/>
  <c r="S177" i="4"/>
  <c r="AA164" i="5"/>
  <c r="AI177" i="4"/>
  <c r="T177" i="4" a="1"/>
  <c r="T177" i="4"/>
  <c r="AC164" i="5"/>
  <c r="U177" i="4" a="1"/>
  <c r="U177" i="4"/>
  <c r="AD164" i="5"/>
  <c r="X177" i="4"/>
  <c r="AI164" i="5"/>
  <c r="Y177" i="4"/>
  <c r="AJ164" i="5"/>
  <c r="Z177" i="4"/>
  <c r="AL164" i="5"/>
  <c r="F164" i="5"/>
  <c r="H164" i="5"/>
  <c r="I164" i="5"/>
  <c r="L164" i="5"/>
  <c r="N164" i="5"/>
  <c r="O164" i="5"/>
  <c r="Z164" i="5"/>
  <c r="AN164" i="5"/>
  <c r="O165" i="5"/>
  <c r="K165" i="5"/>
  <c r="AG165" i="5"/>
  <c r="AF165" i="5"/>
  <c r="B294" i="4"/>
  <c r="C294" i="4"/>
  <c r="C165" i="5"/>
  <c r="D294" i="4"/>
  <c r="E165" i="5"/>
  <c r="E294" i="4"/>
  <c r="F165" i="5"/>
  <c r="F294" i="4"/>
  <c r="H165" i="5"/>
  <c r="I165" i="5"/>
  <c r="I294" i="4"/>
  <c r="L165" i="5"/>
  <c r="J294" i="4"/>
  <c r="N165" i="5"/>
  <c r="L294" i="4"/>
  <c r="Q165" i="5"/>
  <c r="M294" i="4"/>
  <c r="R165" i="5"/>
  <c r="T165" i="5"/>
  <c r="O294" i="4"/>
  <c r="U165" i="5"/>
  <c r="P294" i="4"/>
  <c r="W165" i="5"/>
  <c r="Q294" i="4"/>
  <c r="X165" i="5"/>
  <c r="S294" i="4"/>
  <c r="AA165" i="5"/>
  <c r="AI294" i="4"/>
  <c r="T294" i="4" a="1"/>
  <c r="T294" i="4"/>
  <c r="AC165" i="5"/>
  <c r="U294" i="4" a="1"/>
  <c r="U294" i="4"/>
  <c r="AD165" i="5"/>
  <c r="X294" i="4"/>
  <c r="AI165" i="5"/>
  <c r="Y294" i="4"/>
  <c r="AJ165" i="5"/>
  <c r="Z294" i="4"/>
  <c r="AL165" i="5"/>
  <c r="Z165" i="5"/>
  <c r="AN165" i="5"/>
  <c r="O166" i="5"/>
  <c r="B295" i="4"/>
  <c r="H295" i="4"/>
  <c r="K166" i="5"/>
  <c r="AG166" i="5"/>
  <c r="AF166" i="5"/>
  <c r="C295" i="4"/>
  <c r="C166" i="5"/>
  <c r="D295" i="4"/>
  <c r="E166" i="5"/>
  <c r="E295" i="4"/>
  <c r="F166" i="5"/>
  <c r="F295" i="4"/>
  <c r="H166" i="5"/>
  <c r="I166" i="5"/>
  <c r="L166" i="5"/>
  <c r="J295" i="4"/>
  <c r="N166" i="5"/>
  <c r="L295" i="4"/>
  <c r="Q166" i="5"/>
  <c r="M295" i="4"/>
  <c r="R166" i="5"/>
  <c r="T166" i="5"/>
  <c r="O295" i="4"/>
  <c r="U166" i="5"/>
  <c r="P295" i="4"/>
  <c r="W166" i="5"/>
  <c r="Q295" i="4"/>
  <c r="X166" i="5"/>
  <c r="S295" i="4"/>
  <c r="AA166" i="5"/>
  <c r="AI295" i="4"/>
  <c r="T295" i="4" a="1"/>
  <c r="T295" i="4"/>
  <c r="AC166" i="5"/>
  <c r="U295" i="4" a="1"/>
  <c r="U295" i="4"/>
  <c r="AD166" i="5"/>
  <c r="X295" i="4"/>
  <c r="AI166" i="5"/>
  <c r="Y295" i="4"/>
  <c r="AJ166" i="5"/>
  <c r="Z295" i="4"/>
  <c r="AL166" i="5"/>
  <c r="Z166" i="5"/>
  <c r="AN166" i="5"/>
  <c r="O167" i="5"/>
  <c r="B296" i="4"/>
  <c r="H296" i="4"/>
  <c r="K167" i="5"/>
  <c r="AG167" i="5"/>
  <c r="AF167" i="5"/>
  <c r="C296" i="4"/>
  <c r="C167" i="5"/>
  <c r="D296" i="4"/>
  <c r="E167" i="5"/>
  <c r="E296" i="4"/>
  <c r="F167" i="5"/>
  <c r="F296" i="4"/>
  <c r="H167" i="5"/>
  <c r="I167" i="5"/>
  <c r="I296" i="4"/>
  <c r="L167" i="5"/>
  <c r="J296" i="4"/>
  <c r="N167" i="5"/>
  <c r="L296" i="4"/>
  <c r="Q167" i="5"/>
  <c r="M296" i="4"/>
  <c r="R167" i="5"/>
  <c r="T167" i="5"/>
  <c r="O296" i="4"/>
  <c r="U167" i="5"/>
  <c r="P296" i="4"/>
  <c r="W167" i="5"/>
  <c r="Q296" i="4"/>
  <c r="X167" i="5"/>
  <c r="AA167" i="5"/>
  <c r="AI296" i="4"/>
  <c r="T296" i="4" a="1"/>
  <c r="T296" i="4"/>
  <c r="AC167" i="5"/>
  <c r="U296" i="4" a="1"/>
  <c r="U296" i="4"/>
  <c r="AD167" i="5"/>
  <c r="AI167" i="5"/>
  <c r="Y296" i="4"/>
  <c r="AJ167" i="5"/>
  <c r="Z296" i="4"/>
  <c r="AL167" i="5"/>
  <c r="Z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I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F168" i="5"/>
  <c r="H168" i="5"/>
  <c r="I168" i="5"/>
  <c r="L168" i="5"/>
  <c r="N168" i="5"/>
  <c r="O168" i="5"/>
  <c r="Z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U169" i="5"/>
  <c r="P58" i="4"/>
  <c r="W169" i="5"/>
  <c r="Q58" i="4"/>
  <c r="X169" i="5"/>
  <c r="S58" i="4"/>
  <c r="AA169" i="5"/>
  <c r="AI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F169" i="5"/>
  <c r="H169" i="5"/>
  <c r="I169" i="5"/>
  <c r="L169" i="5"/>
  <c r="N169" i="5"/>
  <c r="O169" i="5"/>
  <c r="Z169" i="5"/>
  <c r="AN169" i="5"/>
  <c r="AG170" i="5"/>
  <c r="AF170" i="5"/>
  <c r="B59" i="4"/>
  <c r="C59" i="4"/>
  <c r="C170" i="5"/>
  <c r="E170" i="5"/>
  <c r="K170" i="5"/>
  <c r="L59" i="4"/>
  <c r="Q170" i="5"/>
  <c r="M59" i="4"/>
  <c r="R170" i="5"/>
  <c r="T170" i="5"/>
  <c r="O59" i="4"/>
  <c r="U170" i="5"/>
  <c r="P59" i="4"/>
  <c r="W170" i="5"/>
  <c r="Q59" i="4"/>
  <c r="X170" i="5"/>
  <c r="S59" i="4"/>
  <c r="AA170" i="5"/>
  <c r="AI59" i="4"/>
  <c r="T59" i="4" a="1"/>
  <c r="T59" i="4"/>
  <c r="AC170" i="5"/>
  <c r="U59" i="4" a="1"/>
  <c r="U59" i="4"/>
  <c r="AD170" i="5"/>
  <c r="X59" i="4"/>
  <c r="AI170" i="5"/>
  <c r="Y59" i="4"/>
  <c r="AJ170" i="5"/>
  <c r="Z59" i="4"/>
  <c r="AL170" i="5"/>
  <c r="F170" i="5"/>
  <c r="H170" i="5"/>
  <c r="I170" i="5"/>
  <c r="L170" i="5"/>
  <c r="N170" i="5"/>
  <c r="O170" i="5"/>
  <c r="Z170" i="5"/>
  <c r="AN170" i="5"/>
  <c r="AG171" i="5"/>
  <c r="AF171" i="5"/>
  <c r="B297" i="4"/>
  <c r="C297" i="4"/>
  <c r="C171" i="5"/>
  <c r="D297" i="4"/>
  <c r="E171" i="5"/>
  <c r="H297" i="4"/>
  <c r="K171" i="5"/>
  <c r="L297" i="4"/>
  <c r="Q171" i="5"/>
  <c r="M297" i="4"/>
  <c r="R171" i="5"/>
  <c r="T171" i="5"/>
  <c r="O297" i="4"/>
  <c r="U171" i="5"/>
  <c r="P297" i="4"/>
  <c r="W171" i="5"/>
  <c r="Q297" i="4"/>
  <c r="X171" i="5"/>
  <c r="S297" i="4"/>
  <c r="AA171" i="5"/>
  <c r="AI297" i="4"/>
  <c r="T297" i="4" a="1"/>
  <c r="T297" i="4"/>
  <c r="AC171" i="5"/>
  <c r="U297" i="4" a="1"/>
  <c r="U297" i="4"/>
  <c r="AD171" i="5"/>
  <c r="X297" i="4"/>
  <c r="AI171" i="5"/>
  <c r="Y297" i="4"/>
  <c r="AJ171" i="5"/>
  <c r="Z297" i="4"/>
  <c r="AL171" i="5"/>
  <c r="F171" i="5"/>
  <c r="H171" i="5"/>
  <c r="I171" i="5"/>
  <c r="L171" i="5"/>
  <c r="N171" i="5"/>
  <c r="O171" i="5"/>
  <c r="Z171" i="5"/>
  <c r="AN171" i="5"/>
  <c r="F172" i="5"/>
  <c r="H172" i="5"/>
  <c r="I172" i="5"/>
  <c r="L172" i="5"/>
  <c r="N172" i="5"/>
  <c r="O172" i="5"/>
  <c r="Z172" i="5"/>
  <c r="AG173" i="5"/>
  <c r="AF173" i="5"/>
  <c r="B61" i="4"/>
  <c r="C61" i="4"/>
  <c r="C173" i="5"/>
  <c r="D61" i="4"/>
  <c r="E173" i="5"/>
  <c r="K173" i="5"/>
  <c r="L61" i="4"/>
  <c r="Q173" i="5"/>
  <c r="M61" i="4"/>
  <c r="R173" i="5"/>
  <c r="T173" i="5"/>
  <c r="U173" i="5"/>
  <c r="P61" i="4"/>
  <c r="W173" i="5"/>
  <c r="Q61" i="4"/>
  <c r="X173" i="5"/>
  <c r="AA173" i="5"/>
  <c r="AI61" i="4"/>
  <c r="T61" i="4" a="1"/>
  <c r="T61" i="4"/>
  <c r="AC173" i="5"/>
  <c r="U61" i="4" a="1"/>
  <c r="U61" i="4"/>
  <c r="AD173" i="5"/>
  <c r="AI173" i="5"/>
  <c r="Y61" i="4"/>
  <c r="AJ173" i="5"/>
  <c r="Z61" i="4"/>
  <c r="AL173" i="5"/>
  <c r="F173" i="5"/>
  <c r="H173" i="5"/>
  <c r="I173" i="5"/>
  <c r="L173" i="5"/>
  <c r="N173" i="5"/>
  <c r="O173" i="5"/>
  <c r="Z173" i="5"/>
  <c r="AN173" i="5"/>
  <c r="B261" i="4"/>
  <c r="S261" i="4"/>
  <c r="AA174" i="5"/>
  <c r="P261" i="4"/>
  <c r="W174" i="5"/>
  <c r="O174" i="5"/>
  <c r="K174" i="5"/>
  <c r="AG174" i="5"/>
  <c r="AF174" i="5"/>
  <c r="C261" i="4"/>
  <c r="C174" i="5"/>
  <c r="D261" i="4"/>
  <c r="E174" i="5"/>
  <c r="E261" i="4"/>
  <c r="F174" i="5"/>
  <c r="F261" i="4"/>
  <c r="H174" i="5"/>
  <c r="I174" i="5"/>
  <c r="L261" i="4"/>
  <c r="Q174" i="5"/>
  <c r="M261" i="4"/>
  <c r="R174" i="5"/>
  <c r="T174" i="5"/>
  <c r="O261" i="4"/>
  <c r="U174" i="5"/>
  <c r="Q261" i="4"/>
  <c r="X174" i="5"/>
  <c r="R261" i="4"/>
  <c r="Z174" i="5"/>
  <c r="AI261" i="4"/>
  <c r="T261" i="4" a="1"/>
  <c r="T261" i="4"/>
  <c r="AC174" i="5"/>
  <c r="U261" i="4" a="1"/>
  <c r="U261" i="4"/>
  <c r="AD174" i="5"/>
  <c r="X261" i="4"/>
  <c r="AI174" i="5"/>
  <c r="Y261" i="4"/>
  <c r="AJ174" i="5"/>
  <c r="Z261" i="4"/>
  <c r="AL174" i="5"/>
  <c r="AN174" i="5"/>
  <c r="B178" i="4"/>
  <c r="S178" i="4"/>
  <c r="AA175" i="5"/>
  <c r="P178" i="4"/>
  <c r="W175" i="5"/>
  <c r="O175" i="5"/>
  <c r="K175" i="5"/>
  <c r="AG175" i="5"/>
  <c r="AF175" i="5"/>
  <c r="C178" i="4"/>
  <c r="C175" i="5"/>
  <c r="D178" i="4"/>
  <c r="E175" i="5"/>
  <c r="E178" i="4"/>
  <c r="F175" i="5"/>
  <c r="F178" i="4"/>
  <c r="H175" i="5"/>
  <c r="I175" i="5"/>
  <c r="I178" i="4"/>
  <c r="L175" i="5"/>
  <c r="J178" i="4"/>
  <c r="N175" i="5"/>
  <c r="L178" i="4"/>
  <c r="Q175" i="5"/>
  <c r="M178" i="4"/>
  <c r="R175" i="5"/>
  <c r="T175" i="5"/>
  <c r="U175" i="5"/>
  <c r="Q178" i="4"/>
  <c r="X175" i="5"/>
  <c r="R178" i="4"/>
  <c r="Z175" i="5"/>
  <c r="AI178" i="4"/>
  <c r="T178" i="4" a="1"/>
  <c r="T178" i="4"/>
  <c r="AC175" i="5"/>
  <c r="U178" i="4" a="1"/>
  <c r="U178" i="4"/>
  <c r="AD175" i="5"/>
  <c r="X178" i="4"/>
  <c r="AI175" i="5"/>
  <c r="Y178" i="4"/>
  <c r="AJ175" i="5"/>
  <c r="Z178" i="4"/>
  <c r="AL175" i="5"/>
  <c r="AN175" i="5"/>
  <c r="H176" i="5"/>
  <c r="I176" i="5"/>
  <c r="H177" i="5"/>
  <c r="I177" i="5"/>
  <c r="H178" i="5"/>
  <c r="I178" i="5"/>
  <c r="AG179" i="5"/>
  <c r="AF179" i="5"/>
  <c r="B179" i="4"/>
  <c r="C179" i="4"/>
  <c r="C179" i="5"/>
  <c r="D179" i="4"/>
  <c r="E179" i="5"/>
  <c r="H179" i="4"/>
  <c r="K179" i="5"/>
  <c r="L179" i="4"/>
  <c r="Q179" i="5"/>
  <c r="M179" i="4"/>
  <c r="R179" i="5"/>
  <c r="T179" i="5"/>
  <c r="U179" i="5"/>
  <c r="P179" i="4"/>
  <c r="W179" i="5"/>
  <c r="Q179" i="4"/>
  <c r="X179" i="5"/>
  <c r="S179" i="4"/>
  <c r="AA179" i="5"/>
  <c r="AI179" i="4"/>
  <c r="T179" i="4" a="1"/>
  <c r="T179" i="4"/>
  <c r="AC179" i="5"/>
  <c r="U179" i="4" a="1"/>
  <c r="U179" i="4"/>
  <c r="AD179" i="5"/>
  <c r="X179" i="4"/>
  <c r="AI179" i="5"/>
  <c r="Y179" i="4"/>
  <c r="AJ179" i="5"/>
  <c r="Z179" i="4"/>
  <c r="AL179" i="5"/>
  <c r="F179" i="5"/>
  <c r="L179" i="5"/>
  <c r="N179" i="5"/>
  <c r="O179" i="5"/>
  <c r="Z179" i="5"/>
  <c r="H179" i="5"/>
  <c r="I179" i="5"/>
  <c r="AN179" i="5"/>
  <c r="AG180" i="5"/>
  <c r="AF180" i="5"/>
  <c r="B180" i="4"/>
  <c r="C180" i="4"/>
  <c r="C180" i="5"/>
  <c r="D180" i="4"/>
  <c r="E180" i="5"/>
  <c r="E180" i="4"/>
  <c r="F180" i="5"/>
  <c r="F180" i="4"/>
  <c r="H180" i="5"/>
  <c r="I180" i="5"/>
  <c r="H180" i="4"/>
  <c r="K180" i="5"/>
  <c r="L180" i="4"/>
  <c r="Q180" i="5"/>
  <c r="M180" i="4"/>
  <c r="R180" i="5"/>
  <c r="T180" i="5"/>
  <c r="O180" i="4"/>
  <c r="U180" i="5"/>
  <c r="P180" i="4"/>
  <c r="W180" i="5"/>
  <c r="Q180" i="4"/>
  <c r="X180" i="5"/>
  <c r="S180" i="4"/>
  <c r="AA180" i="5"/>
  <c r="AI180" i="4"/>
  <c r="T180" i="4" a="1"/>
  <c r="T180" i="4"/>
  <c r="AC180" i="5"/>
  <c r="U180" i="4" a="1"/>
  <c r="U180" i="4"/>
  <c r="AD180" i="5"/>
  <c r="X180" i="4"/>
  <c r="AI180" i="5"/>
  <c r="Y180" i="4"/>
  <c r="AJ180" i="5"/>
  <c r="Z180" i="4"/>
  <c r="AL180" i="5"/>
  <c r="L180" i="5"/>
  <c r="N180" i="5"/>
  <c r="O180" i="5"/>
  <c r="Z180" i="5"/>
  <c r="AN180" i="5"/>
  <c r="B62" i="4"/>
  <c r="S62" i="4"/>
  <c r="AA181" i="5"/>
  <c r="P62" i="4"/>
  <c r="W181" i="5"/>
  <c r="O181" i="5"/>
  <c r="K181" i="5"/>
  <c r="AG181" i="5"/>
  <c r="AF181" i="5"/>
  <c r="C62" i="4"/>
  <c r="C181" i="5"/>
  <c r="D62" i="4"/>
  <c r="E181" i="5"/>
  <c r="E62" i="4"/>
  <c r="F181" i="5"/>
  <c r="F62" i="4"/>
  <c r="H181" i="5"/>
  <c r="I181" i="5"/>
  <c r="I62" i="4"/>
  <c r="L181" i="5"/>
  <c r="J62" i="4"/>
  <c r="N181" i="5"/>
  <c r="L62" i="4"/>
  <c r="Q181" i="5"/>
  <c r="M62" i="4"/>
  <c r="R181" i="5"/>
  <c r="T181" i="5"/>
  <c r="U181" i="5"/>
  <c r="Q62" i="4"/>
  <c r="X181" i="5"/>
  <c r="R62" i="4"/>
  <c r="Z181" i="5"/>
  <c r="AI62" i="4"/>
  <c r="T62" i="4" a="1"/>
  <c r="T62" i="4"/>
  <c r="AC181" i="5"/>
  <c r="U62" i="4" a="1"/>
  <c r="U62" i="4"/>
  <c r="AD181" i="5"/>
  <c r="AI181" i="5"/>
  <c r="Y62" i="4"/>
  <c r="AJ181" i="5"/>
  <c r="Z62" i="4"/>
  <c r="AL181" i="5"/>
  <c r="AN181" i="5"/>
  <c r="B181" i="4"/>
  <c r="S181" i="4"/>
  <c r="AA182" i="5"/>
  <c r="P181" i="4"/>
  <c r="W182" i="5"/>
  <c r="O182" i="5"/>
  <c r="H181" i="4"/>
  <c r="K182" i="5"/>
  <c r="AG182" i="5"/>
  <c r="AF182" i="5"/>
  <c r="C181" i="4"/>
  <c r="C182" i="5"/>
  <c r="D181" i="4"/>
  <c r="E182" i="5"/>
  <c r="E181" i="4"/>
  <c r="F182" i="5"/>
  <c r="F181" i="4"/>
  <c r="H182" i="5"/>
  <c r="I182" i="5"/>
  <c r="I181" i="4"/>
  <c r="L182" i="5"/>
  <c r="J181" i="4"/>
  <c r="N182" i="5"/>
  <c r="L181" i="4"/>
  <c r="Q182" i="5"/>
  <c r="M181" i="4"/>
  <c r="R182" i="5"/>
  <c r="T182" i="5"/>
  <c r="U182" i="5"/>
  <c r="Q181" i="4"/>
  <c r="X182" i="5"/>
  <c r="R181" i="4"/>
  <c r="Z182" i="5"/>
  <c r="AI181" i="4"/>
  <c r="T181" i="4" a="1"/>
  <c r="T181" i="4"/>
  <c r="AC182" i="5"/>
  <c r="U181" i="4" a="1"/>
  <c r="U181" i="4"/>
  <c r="AD182" i="5"/>
  <c r="X181" i="4"/>
  <c r="AI182" i="5"/>
  <c r="Y181" i="4"/>
  <c r="AJ182" i="5"/>
  <c r="Z181" i="4"/>
  <c r="AL182" i="5"/>
  <c r="AN182" i="5"/>
  <c r="B182" i="4"/>
  <c r="S182" i="4"/>
  <c r="AA183" i="5"/>
  <c r="P182" i="4"/>
  <c r="W183" i="5"/>
  <c r="O183" i="5"/>
  <c r="H182" i="4"/>
  <c r="K183" i="5"/>
  <c r="AG183" i="5"/>
  <c r="AF183" i="5"/>
  <c r="C182" i="4"/>
  <c r="C183" i="5"/>
  <c r="D182" i="4"/>
  <c r="E183" i="5"/>
  <c r="E182" i="4"/>
  <c r="F183" i="5"/>
  <c r="F182" i="4"/>
  <c r="H183" i="5"/>
  <c r="I183" i="5"/>
  <c r="I182" i="4"/>
  <c r="L183" i="5"/>
  <c r="J182" i="4"/>
  <c r="N183" i="5"/>
  <c r="L182" i="4"/>
  <c r="Q183" i="5"/>
  <c r="M182" i="4"/>
  <c r="R183" i="5"/>
  <c r="T183" i="5"/>
  <c r="U183" i="5"/>
  <c r="Q182" i="4"/>
  <c r="X183" i="5"/>
  <c r="R182" i="4"/>
  <c r="Z183" i="5"/>
  <c r="AI182" i="4"/>
  <c r="T182" i="4" a="1"/>
  <c r="T182" i="4"/>
  <c r="AC183" i="5"/>
  <c r="U182" i="4" a="1"/>
  <c r="U182" i="4"/>
  <c r="AD183" i="5"/>
  <c r="AI183" i="5"/>
  <c r="Y182" i="4"/>
  <c r="AJ183" i="5"/>
  <c r="Z182" i="4"/>
  <c r="AL183" i="5"/>
  <c r="AN183" i="5"/>
  <c r="B3" i="4"/>
  <c r="S3" i="4"/>
  <c r="AA184" i="5"/>
  <c r="P3" i="4"/>
  <c r="W184" i="5"/>
  <c r="O184" i="5"/>
  <c r="K184" i="5"/>
  <c r="AG184" i="5"/>
  <c r="AF184" i="5"/>
  <c r="C3" i="4"/>
  <c r="C184" i="5"/>
  <c r="D3" i="4"/>
  <c r="E184" i="5"/>
  <c r="E3" i="4"/>
  <c r="F184" i="5"/>
  <c r="F3" i="4"/>
  <c r="H184" i="5"/>
  <c r="I184" i="5"/>
  <c r="I3" i="4"/>
  <c r="L184" i="5"/>
  <c r="J3" i="4"/>
  <c r="N184" i="5"/>
  <c r="L3" i="4"/>
  <c r="Q184" i="5"/>
  <c r="M3" i="4"/>
  <c r="R184" i="5"/>
  <c r="T184" i="5"/>
  <c r="U184" i="5"/>
  <c r="Q3" i="4"/>
  <c r="X184" i="5"/>
  <c r="R3" i="4"/>
  <c r="Z184" i="5"/>
  <c r="AI3" i="4"/>
  <c r="T3" i="4" a="1"/>
  <c r="T3" i="4"/>
  <c r="AC184" i="5"/>
  <c r="U3" i="4" a="1"/>
  <c r="U3" i="4"/>
  <c r="AD184" i="5"/>
  <c r="X3" i="4"/>
  <c r="AI184" i="5"/>
  <c r="Y3" i="4"/>
  <c r="AJ184" i="5"/>
  <c r="Z3" i="4"/>
  <c r="AL184" i="5"/>
  <c r="AN184" i="5"/>
  <c r="B9" i="4"/>
  <c r="S9" i="4"/>
  <c r="AA185" i="5"/>
  <c r="P9" i="4"/>
  <c r="W185" i="5"/>
  <c r="O185" i="5"/>
  <c r="K185" i="5"/>
  <c r="AG185" i="5"/>
  <c r="AF185" i="5"/>
  <c r="C9" i="4"/>
  <c r="C185" i="5"/>
  <c r="D9" i="4"/>
  <c r="E185" i="5"/>
  <c r="E9" i="4"/>
  <c r="F185" i="5"/>
  <c r="F9" i="4"/>
  <c r="H185" i="5"/>
  <c r="I185" i="5"/>
  <c r="I9" i="4"/>
  <c r="L185" i="5"/>
  <c r="J9" i="4"/>
  <c r="N185" i="5"/>
  <c r="L9" i="4"/>
  <c r="Q185" i="5"/>
  <c r="M9" i="4"/>
  <c r="R185" i="5"/>
  <c r="T185" i="5"/>
  <c r="U185" i="5"/>
  <c r="Q9" i="4"/>
  <c r="X185" i="5"/>
  <c r="R9" i="4"/>
  <c r="Z185" i="5"/>
  <c r="AI9" i="4"/>
  <c r="T9" i="4" a="1"/>
  <c r="T9" i="4"/>
  <c r="AC185" i="5"/>
  <c r="U9" i="4" a="1"/>
  <c r="U9" i="4"/>
  <c r="AD185" i="5"/>
  <c r="X9" i="4"/>
  <c r="AI185" i="5"/>
  <c r="Y9" i="4"/>
  <c r="AJ185" i="5"/>
  <c r="Z9" i="4"/>
  <c r="AL185" i="5"/>
  <c r="AN185" i="5"/>
  <c r="S183" i="4"/>
  <c r="AA186" i="5"/>
  <c r="P183" i="4"/>
  <c r="W186" i="5"/>
  <c r="O186" i="5"/>
  <c r="H183" i="4"/>
  <c r="K186" i="5"/>
  <c r="AG186" i="5"/>
  <c r="AF186" i="5"/>
  <c r="C183" i="4"/>
  <c r="C186" i="5"/>
  <c r="D183" i="4"/>
  <c r="E186" i="5"/>
  <c r="E183" i="4"/>
  <c r="F186" i="5"/>
  <c r="F183" i="4"/>
  <c r="H186" i="5"/>
  <c r="I186" i="5"/>
  <c r="I183" i="4"/>
  <c r="L186" i="5"/>
  <c r="J183" i="4"/>
  <c r="N186" i="5"/>
  <c r="L183" i="4"/>
  <c r="Q186" i="5"/>
  <c r="M183" i="4"/>
  <c r="R186" i="5"/>
  <c r="T186" i="5"/>
  <c r="O183" i="4"/>
  <c r="U186" i="5"/>
  <c r="Q183" i="4"/>
  <c r="X186" i="5"/>
  <c r="R183" i="4"/>
  <c r="Z186" i="5"/>
  <c r="AI183" i="4"/>
  <c r="T183" i="4" a="1"/>
  <c r="T183" i="4"/>
  <c r="AC186" i="5"/>
  <c r="U183" i="4" a="1"/>
  <c r="U183" i="4"/>
  <c r="AD186" i="5"/>
  <c r="AI186" i="5"/>
  <c r="Y183" i="4"/>
  <c r="AJ186" i="5"/>
  <c r="Z183" i="4"/>
  <c r="AL186" i="5"/>
  <c r="AN186" i="5"/>
  <c r="S10" i="4"/>
  <c r="AA187" i="5"/>
  <c r="P10" i="4"/>
  <c r="W187" i="5"/>
  <c r="O187" i="5"/>
  <c r="K187" i="5"/>
  <c r="AG187" i="5"/>
  <c r="AF187" i="5"/>
  <c r="C10" i="4"/>
  <c r="C187" i="5"/>
  <c r="D10" i="4"/>
  <c r="E187" i="5"/>
  <c r="E10" i="4"/>
  <c r="F187" i="5"/>
  <c r="F10" i="4"/>
  <c r="H187" i="5"/>
  <c r="I187" i="5"/>
  <c r="I10" i="4"/>
  <c r="L187" i="5"/>
  <c r="J10" i="4"/>
  <c r="N187" i="5"/>
  <c r="L10" i="4"/>
  <c r="Q187" i="5"/>
  <c r="M10" i="4"/>
  <c r="R187" i="5"/>
  <c r="T187" i="5"/>
  <c r="U187" i="5"/>
  <c r="Q10" i="4"/>
  <c r="X187" i="5"/>
  <c r="R10" i="4"/>
  <c r="Z187" i="5"/>
  <c r="AI10" i="4"/>
  <c r="T10" i="4" a="1"/>
  <c r="T10" i="4"/>
  <c r="AC187" i="5"/>
  <c r="U10" i="4" a="1"/>
  <c r="U10" i="4"/>
  <c r="AD187" i="5"/>
  <c r="X10" i="4"/>
  <c r="AI187" i="5"/>
  <c r="Y10" i="4"/>
  <c r="AJ187" i="5"/>
  <c r="Z10" i="4"/>
  <c r="AL187" i="5"/>
  <c r="AN187" i="5"/>
  <c r="S11" i="4"/>
  <c r="AA188" i="5"/>
  <c r="P11" i="4"/>
  <c r="W188" i="5"/>
  <c r="O188" i="5"/>
  <c r="K188" i="5"/>
  <c r="AG188" i="5"/>
  <c r="AF188" i="5"/>
  <c r="C11" i="4"/>
  <c r="C188" i="5"/>
  <c r="D11" i="4"/>
  <c r="E188" i="5"/>
  <c r="E11" i="4"/>
  <c r="F188" i="5"/>
  <c r="F11" i="4"/>
  <c r="H188" i="5"/>
  <c r="I188" i="5"/>
  <c r="I11" i="4"/>
  <c r="L188" i="5"/>
  <c r="J11" i="4"/>
  <c r="N188" i="5"/>
  <c r="L11" i="4"/>
  <c r="Q188" i="5"/>
  <c r="M11" i="4"/>
  <c r="R188" i="5"/>
  <c r="T188" i="5"/>
  <c r="U188" i="5"/>
  <c r="Q11" i="4"/>
  <c r="X188" i="5"/>
  <c r="R11" i="4"/>
  <c r="Z188" i="5"/>
  <c r="AI11" i="4"/>
  <c r="T11" i="4" a="1"/>
  <c r="T11" i="4"/>
  <c r="AC188" i="5"/>
  <c r="U11" i="4" a="1"/>
  <c r="U11" i="4"/>
  <c r="AD188" i="5"/>
  <c r="AI188" i="5"/>
  <c r="Y11" i="4"/>
  <c r="AJ188" i="5"/>
  <c r="Z11" i="4"/>
  <c r="AL188" i="5"/>
  <c r="AN188" i="5"/>
  <c r="F189" i="5"/>
  <c r="H189" i="5"/>
  <c r="I189" i="5"/>
  <c r="AG190" i="5"/>
  <c r="AF190" i="5"/>
  <c r="C184" i="4"/>
  <c r="C190" i="5"/>
  <c r="D184" i="4"/>
  <c r="E190" i="5"/>
  <c r="K190" i="5"/>
  <c r="L184" i="4"/>
  <c r="Q190" i="5"/>
  <c r="M184" i="4"/>
  <c r="R190" i="5"/>
  <c r="T190" i="5"/>
  <c r="O184" i="4"/>
  <c r="U190" i="5"/>
  <c r="P184" i="4"/>
  <c r="W190" i="5"/>
  <c r="Q184" i="4"/>
  <c r="X190" i="5"/>
  <c r="S184" i="4"/>
  <c r="AA190" i="5"/>
  <c r="AI184" i="4"/>
  <c r="T184" i="4" a="1"/>
  <c r="T184" i="4"/>
  <c r="AC190" i="5"/>
  <c r="U184" i="4" a="1"/>
  <c r="U184" i="4"/>
  <c r="AD190" i="5"/>
  <c r="X184" i="4"/>
  <c r="AI190" i="5"/>
  <c r="Y184" i="4"/>
  <c r="AJ190" i="5"/>
  <c r="Z184" i="4"/>
  <c r="AL190" i="5"/>
  <c r="F190" i="5"/>
  <c r="H190" i="5"/>
  <c r="I190" i="5"/>
  <c r="L190" i="5"/>
  <c r="N190" i="5"/>
  <c r="O190" i="5"/>
  <c r="Z190" i="5"/>
  <c r="AN190" i="5"/>
  <c r="AG191" i="5"/>
  <c r="AF191" i="5"/>
  <c r="C185" i="4"/>
  <c r="C191" i="5"/>
  <c r="T191" i="5"/>
  <c r="O185" i="4"/>
  <c r="U191" i="5"/>
  <c r="P185" i="4"/>
  <c r="W191" i="5"/>
  <c r="Q185" i="4"/>
  <c r="X191" i="5"/>
  <c r="AA191" i="5"/>
  <c r="AI185" i="4"/>
  <c r="T185" i="4" a="1"/>
  <c r="T185" i="4"/>
  <c r="AC191" i="5"/>
  <c r="U185" i="4" a="1"/>
  <c r="U185" i="4"/>
  <c r="AD191" i="5"/>
  <c r="X185" i="4"/>
  <c r="AI191" i="5"/>
  <c r="Y185" i="4"/>
  <c r="AJ191" i="5"/>
  <c r="Z185" i="4"/>
  <c r="AL191" i="5"/>
  <c r="F191" i="5"/>
  <c r="H191" i="5"/>
  <c r="I191" i="5"/>
  <c r="L191" i="5"/>
  <c r="N191" i="5"/>
  <c r="O191" i="5"/>
  <c r="Z191" i="5"/>
  <c r="AN191" i="5"/>
  <c r="AG192" i="5"/>
  <c r="AF192" i="5"/>
  <c r="C186" i="4"/>
  <c r="C192" i="5"/>
  <c r="T192" i="5"/>
  <c r="O186" i="4"/>
  <c r="U192" i="5"/>
  <c r="P186" i="4"/>
  <c r="W192" i="5"/>
  <c r="Q186" i="4"/>
  <c r="X192" i="5"/>
  <c r="AA192" i="5"/>
  <c r="AI186" i="4"/>
  <c r="T186" i="4" a="1"/>
  <c r="T186" i="4"/>
  <c r="AC192" i="5"/>
  <c r="U186" i="4" a="1"/>
  <c r="U186" i="4"/>
  <c r="AD192" i="5"/>
  <c r="X186" i="4"/>
  <c r="AI192" i="5"/>
  <c r="Y186" i="4"/>
  <c r="AJ192" i="5"/>
  <c r="Z186" i="4"/>
  <c r="AL192" i="5"/>
  <c r="F192" i="5"/>
  <c r="H192" i="5"/>
  <c r="I192" i="5"/>
  <c r="L192" i="5"/>
  <c r="N192" i="5"/>
  <c r="O192" i="5"/>
  <c r="Z192" i="5"/>
  <c r="AN192" i="5"/>
  <c r="AG193" i="5"/>
  <c r="AF193" i="5"/>
  <c r="C187" i="4"/>
  <c r="C193" i="5"/>
  <c r="D187" i="4"/>
  <c r="E193" i="5"/>
  <c r="H187" i="4"/>
  <c r="K193" i="5"/>
  <c r="L187" i="4"/>
  <c r="Q193" i="5"/>
  <c r="M187" i="4"/>
  <c r="R193" i="5"/>
  <c r="T193" i="5"/>
  <c r="O187" i="4"/>
  <c r="U193" i="5"/>
  <c r="P187" i="4"/>
  <c r="W193" i="5"/>
  <c r="Q187" i="4"/>
  <c r="X193" i="5"/>
  <c r="AA193" i="5"/>
  <c r="AI187" i="4"/>
  <c r="T187" i="4" a="1"/>
  <c r="T187" i="4"/>
  <c r="AC193" i="5"/>
  <c r="U187" i="4" a="1"/>
  <c r="U187" i="4"/>
  <c r="AD193" i="5"/>
  <c r="X187" i="4"/>
  <c r="AI193" i="5"/>
  <c r="Y187" i="4"/>
  <c r="AJ193" i="5"/>
  <c r="Z187" i="4"/>
  <c r="AL193" i="5"/>
  <c r="F193" i="5"/>
  <c r="H193" i="5"/>
  <c r="I193" i="5"/>
  <c r="L193" i="5"/>
  <c r="N193" i="5"/>
  <c r="O193" i="5"/>
  <c r="Z193" i="5"/>
  <c r="AN193" i="5"/>
  <c r="AG194" i="5"/>
  <c r="AF194" i="5"/>
  <c r="B191" i="4"/>
  <c r="C191" i="4"/>
  <c r="C194" i="5"/>
  <c r="D191" i="4"/>
  <c r="E194" i="5"/>
  <c r="H191" i="4"/>
  <c r="K194" i="5"/>
  <c r="L191" i="4"/>
  <c r="Q194" i="5"/>
  <c r="M191" i="4"/>
  <c r="R194" i="5"/>
  <c r="T194" i="5"/>
  <c r="U194" i="5"/>
  <c r="P191" i="4"/>
  <c r="W194" i="5"/>
  <c r="Q191" i="4"/>
  <c r="X194" i="5"/>
  <c r="S191" i="4"/>
  <c r="AA194" i="5"/>
  <c r="AI191" i="4"/>
  <c r="T191" i="4" a="1"/>
  <c r="T191" i="4"/>
  <c r="AC194" i="5"/>
  <c r="U191" i="4" a="1"/>
  <c r="U191" i="4"/>
  <c r="AD194" i="5"/>
  <c r="X191" i="4"/>
  <c r="AI194" i="5"/>
  <c r="Y191" i="4"/>
  <c r="AJ194" i="5"/>
  <c r="Z191" i="4"/>
  <c r="AL194" i="5"/>
  <c r="F194" i="5"/>
  <c r="H194" i="5"/>
  <c r="I194" i="5"/>
  <c r="L194" i="5"/>
  <c r="N194" i="5"/>
  <c r="O194" i="5"/>
  <c r="Z194" i="5"/>
  <c r="AN194" i="5"/>
  <c r="AG195" i="5"/>
  <c r="AF195" i="5"/>
  <c r="B262" i="4"/>
  <c r="C262" i="4"/>
  <c r="C195" i="5"/>
  <c r="D262" i="4"/>
  <c r="E195" i="5"/>
  <c r="K195" i="5"/>
  <c r="L262" i="4"/>
  <c r="Q195" i="5"/>
  <c r="M262" i="4"/>
  <c r="R195" i="5"/>
  <c r="T195" i="5"/>
  <c r="O262" i="4"/>
  <c r="U195" i="5"/>
  <c r="P262" i="4"/>
  <c r="W195" i="5"/>
  <c r="Q262" i="4"/>
  <c r="X195" i="5"/>
  <c r="S262" i="4"/>
  <c r="AA195" i="5"/>
  <c r="AI262" i="4"/>
  <c r="T262" i="4" a="1"/>
  <c r="T262" i="4"/>
  <c r="AC195" i="5"/>
  <c r="U262" i="4" a="1"/>
  <c r="U262" i="4"/>
  <c r="AD195" i="5"/>
  <c r="X262" i="4"/>
  <c r="AI195" i="5"/>
  <c r="Y262" i="4"/>
  <c r="AJ195" i="5"/>
  <c r="Z262" i="4"/>
  <c r="AL195" i="5"/>
  <c r="F195" i="5"/>
  <c r="H195" i="5"/>
  <c r="I195" i="5"/>
  <c r="L195" i="5"/>
  <c r="N195" i="5"/>
  <c r="O195" i="5"/>
  <c r="Z195" i="5"/>
  <c r="AN195" i="5"/>
  <c r="AG196" i="5"/>
  <c r="AF196" i="5"/>
  <c r="B263" i="4"/>
  <c r="C263" i="4"/>
  <c r="C196" i="5"/>
  <c r="D263" i="4"/>
  <c r="E196" i="5"/>
  <c r="K196" i="5"/>
  <c r="L263" i="4"/>
  <c r="Q196" i="5"/>
  <c r="M263" i="4"/>
  <c r="R196" i="5"/>
  <c r="T196" i="5"/>
  <c r="O263" i="4"/>
  <c r="U196" i="5"/>
  <c r="P263" i="4"/>
  <c r="W196" i="5"/>
  <c r="Q263" i="4"/>
  <c r="X196" i="5"/>
  <c r="S263" i="4"/>
  <c r="AA196" i="5"/>
  <c r="AI263" i="4"/>
  <c r="T263" i="4" a="1"/>
  <c r="T263" i="4"/>
  <c r="AC196" i="5"/>
  <c r="U263" i="4" a="1"/>
  <c r="U263" i="4"/>
  <c r="AD196" i="5"/>
  <c r="X263" i="4"/>
  <c r="AI196" i="5"/>
  <c r="Y263" i="4"/>
  <c r="AJ196" i="5"/>
  <c r="Z263" i="4"/>
  <c r="AL196" i="5"/>
  <c r="F196" i="5"/>
  <c r="H196" i="5"/>
  <c r="I196" i="5"/>
  <c r="L196" i="5"/>
  <c r="N196" i="5"/>
  <c r="O196" i="5"/>
  <c r="Z196" i="5"/>
  <c r="AN196" i="5"/>
  <c r="AG197" i="5"/>
  <c r="AF197" i="5"/>
  <c r="C270" i="4"/>
  <c r="C197" i="5"/>
  <c r="T197" i="5"/>
  <c r="O270" i="4"/>
  <c r="U197" i="5"/>
  <c r="P270" i="4"/>
  <c r="W197" i="5"/>
  <c r="Q270" i="4"/>
  <c r="X197" i="5"/>
  <c r="S270" i="4"/>
  <c r="AA197" i="5"/>
  <c r="AI270" i="4"/>
  <c r="T270" i="4" a="1"/>
  <c r="T270" i="4"/>
  <c r="AC197" i="5"/>
  <c r="U270" i="4" a="1"/>
  <c r="U270" i="4"/>
  <c r="AD197" i="5"/>
  <c r="X270" i="4"/>
  <c r="AI197" i="5"/>
  <c r="Y270" i="4"/>
  <c r="AJ197" i="5"/>
  <c r="Z270" i="4"/>
  <c r="AL197" i="5"/>
  <c r="L197" i="5"/>
  <c r="N197" i="5"/>
  <c r="O197" i="5"/>
  <c r="Z197" i="5"/>
  <c r="AN197" i="5"/>
  <c r="AG198" i="5"/>
  <c r="AF198" i="5"/>
  <c r="C271" i="4"/>
  <c r="C198" i="5"/>
  <c r="D271" i="4"/>
  <c r="E198" i="5"/>
  <c r="H271" i="4"/>
  <c r="K198" i="5"/>
  <c r="I271" i="4"/>
  <c r="L198" i="5"/>
  <c r="J271" i="4"/>
  <c r="N198" i="5"/>
  <c r="O198" i="5"/>
  <c r="L271" i="4"/>
  <c r="Q198" i="5"/>
  <c r="M271" i="4"/>
  <c r="R198" i="5"/>
  <c r="T198" i="5"/>
  <c r="O271" i="4"/>
  <c r="U198" i="5"/>
  <c r="P271" i="4"/>
  <c r="W198" i="5"/>
  <c r="Q271" i="4"/>
  <c r="X198" i="5"/>
  <c r="S271" i="4"/>
  <c r="AA198" i="5"/>
  <c r="AI271" i="4"/>
  <c r="T271" i="4" a="1"/>
  <c r="T271" i="4"/>
  <c r="AC198" i="5"/>
  <c r="U271" i="4" a="1"/>
  <c r="U271" i="4"/>
  <c r="AD198" i="5"/>
  <c r="X271" i="4"/>
  <c r="AI198" i="5"/>
  <c r="Y271" i="4"/>
  <c r="AJ198" i="5"/>
  <c r="Z271" i="4"/>
  <c r="AL198" i="5"/>
  <c r="Z198" i="5"/>
  <c r="AN198" i="5"/>
  <c r="AG199" i="5"/>
  <c r="AF199" i="5"/>
  <c r="C272" i="4"/>
  <c r="C199" i="5"/>
  <c r="D272" i="4"/>
  <c r="E199" i="5"/>
  <c r="E272" i="4"/>
  <c r="F199" i="5"/>
  <c r="F272" i="4"/>
  <c r="H199" i="5"/>
  <c r="H272" i="4"/>
  <c r="K199" i="5"/>
  <c r="L272" i="4"/>
  <c r="Q199" i="5"/>
  <c r="M272" i="4"/>
  <c r="R199" i="5"/>
  <c r="T199" i="5"/>
  <c r="O272" i="4"/>
  <c r="U199" i="5"/>
  <c r="P272" i="4"/>
  <c r="W199" i="5"/>
  <c r="Q272" i="4"/>
  <c r="X199" i="5"/>
  <c r="S272" i="4"/>
  <c r="AA199" i="5"/>
  <c r="AI272" i="4"/>
  <c r="T272" i="4" a="1"/>
  <c r="T272" i="4"/>
  <c r="AC199" i="5"/>
  <c r="U272" i="4" a="1"/>
  <c r="U272" i="4"/>
  <c r="AD199" i="5"/>
  <c r="X272" i="4"/>
  <c r="AI199" i="5"/>
  <c r="Y272" i="4"/>
  <c r="AJ199" i="5"/>
  <c r="Z272" i="4"/>
  <c r="AL199" i="5"/>
  <c r="L199" i="5"/>
  <c r="N199" i="5"/>
  <c r="O199" i="5"/>
  <c r="Z199" i="5"/>
  <c r="AN199" i="5"/>
  <c r="AG200" i="5"/>
  <c r="AF200" i="5"/>
  <c r="B201" i="4"/>
  <c r="C201" i="4"/>
  <c r="C200" i="5"/>
  <c r="E200" i="5"/>
  <c r="F200" i="5"/>
  <c r="H200" i="5"/>
  <c r="I200" i="5"/>
  <c r="H201" i="4"/>
  <c r="K200" i="5"/>
  <c r="L201" i="4"/>
  <c r="Q200" i="5"/>
  <c r="M201" i="4"/>
  <c r="R200" i="5"/>
  <c r="T200" i="5"/>
  <c r="O201" i="4"/>
  <c r="U200" i="5"/>
  <c r="P201" i="4"/>
  <c r="W200" i="5"/>
  <c r="Q201" i="4"/>
  <c r="X200" i="5"/>
  <c r="S201" i="4"/>
  <c r="AA200" i="5"/>
  <c r="AI201" i="4"/>
  <c r="T201" i="4" a="1"/>
  <c r="T201" i="4"/>
  <c r="AC200" i="5"/>
  <c r="U201" i="4" a="1"/>
  <c r="U201" i="4"/>
  <c r="AD200" i="5"/>
  <c r="X201" i="4"/>
  <c r="AI200" i="5"/>
  <c r="Y201" i="4"/>
  <c r="AJ200" i="5"/>
  <c r="Z201" i="4"/>
  <c r="AL200" i="5"/>
  <c r="L200" i="5"/>
  <c r="N200" i="5"/>
  <c r="O200" i="5"/>
  <c r="Z200" i="5"/>
  <c r="AN200" i="5"/>
  <c r="AG201" i="5"/>
  <c r="AF201" i="5"/>
  <c r="B203" i="4"/>
  <c r="C203" i="4"/>
  <c r="C201" i="5"/>
  <c r="D203" i="4"/>
  <c r="E201" i="5"/>
  <c r="L203" i="4"/>
  <c r="Q201" i="5"/>
  <c r="M203" i="4"/>
  <c r="R201" i="5"/>
  <c r="T201" i="5"/>
  <c r="O203" i="4"/>
  <c r="U201" i="5"/>
  <c r="P203" i="4"/>
  <c r="W201" i="5"/>
  <c r="Q203" i="4"/>
  <c r="X201" i="5"/>
  <c r="S203" i="4"/>
  <c r="AA201" i="5"/>
  <c r="AI203" i="4"/>
  <c r="T203" i="4" a="1"/>
  <c r="T203" i="4"/>
  <c r="AC201" i="5"/>
  <c r="U203" i="4" a="1"/>
  <c r="U203" i="4"/>
  <c r="AD201" i="5"/>
  <c r="X203" i="4"/>
  <c r="AI201" i="5"/>
  <c r="Y203" i="4"/>
  <c r="AJ201" i="5"/>
  <c r="Z203" i="4"/>
  <c r="AL201" i="5"/>
  <c r="L201" i="5"/>
  <c r="N201" i="5"/>
  <c r="O201" i="5"/>
  <c r="F201" i="5"/>
  <c r="H201" i="5"/>
  <c r="I201" i="5"/>
  <c r="Z201" i="5"/>
  <c r="AN201" i="5"/>
  <c r="AG202" i="5"/>
  <c r="AF202" i="5"/>
  <c r="C65" i="4"/>
  <c r="C202" i="5"/>
  <c r="D65" i="4"/>
  <c r="E202" i="5"/>
  <c r="K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I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L202" i="5"/>
  <c r="N202" i="5"/>
  <c r="O202" i="5"/>
  <c r="F202" i="5"/>
  <c r="H202" i="5"/>
  <c r="I202" i="5"/>
  <c r="Z202" i="5"/>
  <c r="AN202" i="5"/>
  <c r="AG203" i="5"/>
  <c r="AF203" i="5"/>
  <c r="C66" i="4"/>
  <c r="C203" i="5"/>
  <c r="D66" i="4"/>
  <c r="E203" i="5"/>
  <c r="K203" i="5"/>
  <c r="I66" i="4"/>
  <c r="L203" i="5"/>
  <c r="J66" i="4"/>
  <c r="N203" i="5"/>
  <c r="O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I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F203" i="5"/>
  <c r="H203" i="5"/>
  <c r="I203" i="5"/>
  <c r="Z203" i="5"/>
  <c r="AN203" i="5"/>
  <c r="AG204" i="5"/>
  <c r="AF204" i="5"/>
  <c r="C67" i="4"/>
  <c r="C204" i="5"/>
  <c r="D67" i="4"/>
  <c r="E204" i="5"/>
  <c r="K204" i="5"/>
  <c r="L67" i="4"/>
  <c r="Q204" i="5"/>
  <c r="M67" i="4"/>
  <c r="R204" i="5"/>
  <c r="N67" i="4"/>
  <c r="T204" i="5"/>
  <c r="O67" i="4"/>
  <c r="U204" i="5"/>
  <c r="P67" i="4"/>
  <c r="W204" i="5"/>
  <c r="Q67" i="4"/>
  <c r="X204" i="5"/>
  <c r="S67" i="4"/>
  <c r="AA204" i="5"/>
  <c r="AI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F204" i="5"/>
  <c r="H204" i="5"/>
  <c r="I204" i="5"/>
  <c r="Z204" i="5"/>
  <c r="AN204" i="5"/>
  <c r="AG205" i="5"/>
  <c r="AF205" i="5"/>
  <c r="C68" i="4"/>
  <c r="C205" i="5"/>
  <c r="D68" i="4"/>
  <c r="E205" i="5"/>
  <c r="K205" i="5"/>
  <c r="L68" i="4"/>
  <c r="Q205" i="5"/>
  <c r="M68" i="4"/>
  <c r="R205" i="5"/>
  <c r="T205" i="5"/>
  <c r="U205" i="5"/>
  <c r="P68" i="4"/>
  <c r="W205" i="5"/>
  <c r="Q68" i="4"/>
  <c r="X205" i="5"/>
  <c r="S68" i="4"/>
  <c r="AA205" i="5"/>
  <c r="AI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L205" i="5"/>
  <c r="N205" i="5"/>
  <c r="O205" i="5"/>
  <c r="F205" i="5"/>
  <c r="H205" i="5"/>
  <c r="I205" i="5"/>
  <c r="Z205" i="5"/>
  <c r="AN205" i="5"/>
  <c r="AG206" i="5"/>
  <c r="AF206" i="5"/>
  <c r="C69" i="4"/>
  <c r="C206" i="5"/>
  <c r="D69" i="4"/>
  <c r="E206" i="5"/>
  <c r="K206" i="5"/>
  <c r="I69" i="4"/>
  <c r="L206" i="5"/>
  <c r="J69" i="4"/>
  <c r="N206" i="5"/>
  <c r="O206" i="5"/>
  <c r="L69" i="4"/>
  <c r="Q206" i="5"/>
  <c r="M69" i="4"/>
  <c r="R206" i="5"/>
  <c r="N69" i="4"/>
  <c r="T206" i="5"/>
  <c r="O69" i="4"/>
  <c r="U206" i="5"/>
  <c r="P69" i="4"/>
  <c r="W206" i="5"/>
  <c r="Q69" i="4"/>
  <c r="X206" i="5"/>
  <c r="S69" i="4"/>
  <c r="AA206" i="5"/>
  <c r="AI69" i="4"/>
  <c r="T69" i="4" a="1"/>
  <c r="T69" i="4"/>
  <c r="AC206" i="5"/>
  <c r="U69" i="4" a="1"/>
  <c r="U69" i="4"/>
  <c r="AD206" i="5"/>
  <c r="X69" i="4"/>
  <c r="AI206" i="5"/>
  <c r="Y69" i="4"/>
  <c r="AJ206" i="5"/>
  <c r="Z69" i="4"/>
  <c r="AL206" i="5"/>
  <c r="F206" i="5"/>
  <c r="H206" i="5"/>
  <c r="I206" i="5"/>
  <c r="Z206" i="5"/>
  <c r="AN206" i="5"/>
  <c r="AG207" i="5"/>
  <c r="AF207" i="5"/>
  <c r="C70" i="4"/>
  <c r="C207" i="5"/>
  <c r="D70" i="4"/>
  <c r="E207" i="5"/>
  <c r="K207" i="5"/>
  <c r="L70" i="4"/>
  <c r="Q207" i="5"/>
  <c r="M70" i="4"/>
  <c r="R207" i="5"/>
  <c r="N70" i="4"/>
  <c r="T207" i="5"/>
  <c r="O70" i="4"/>
  <c r="U207" i="5"/>
  <c r="P70" i="4"/>
  <c r="W207" i="5"/>
  <c r="Q70" i="4"/>
  <c r="X207" i="5"/>
  <c r="S70" i="4"/>
  <c r="AA207" i="5"/>
  <c r="AI70" i="4"/>
  <c r="T70" i="4" a="1"/>
  <c r="T70" i="4"/>
  <c r="AC207" i="5"/>
  <c r="U70" i="4" a="1"/>
  <c r="U70" i="4"/>
  <c r="AD207" i="5"/>
  <c r="X70" i="4"/>
  <c r="AI207" i="5"/>
  <c r="Y70" i="4"/>
  <c r="AJ207" i="5"/>
  <c r="Z70" i="4"/>
  <c r="AL207" i="5"/>
  <c r="L207" i="5"/>
  <c r="N207" i="5"/>
  <c r="O207" i="5"/>
  <c r="F207" i="5"/>
  <c r="H207" i="5"/>
  <c r="I207" i="5"/>
  <c r="Z207" i="5"/>
  <c r="AN207" i="5"/>
  <c r="AG208" i="5"/>
  <c r="AF208" i="5"/>
  <c r="B264" i="4"/>
  <c r="C264" i="4"/>
  <c r="C208" i="5"/>
  <c r="D264" i="4"/>
  <c r="E208" i="5"/>
  <c r="H264" i="4"/>
  <c r="K208" i="5"/>
  <c r="I264" i="4"/>
  <c r="L208" i="5"/>
  <c r="J264" i="4"/>
  <c r="N208" i="5"/>
  <c r="O208" i="5"/>
  <c r="L264" i="4"/>
  <c r="Q208" i="5"/>
  <c r="M264" i="4"/>
  <c r="R208" i="5"/>
  <c r="N264" i="4"/>
  <c r="T208" i="5"/>
  <c r="O264" i="4"/>
  <c r="U208" i="5"/>
  <c r="P264" i="4"/>
  <c r="W208" i="5"/>
  <c r="Q264" i="4"/>
  <c r="X208" i="5"/>
  <c r="S264" i="4"/>
  <c r="AA208" i="5"/>
  <c r="X264" i="4"/>
  <c r="AI208" i="5"/>
  <c r="Y264" i="4"/>
  <c r="AJ208" i="5"/>
  <c r="Z264" i="4"/>
  <c r="AL208" i="5"/>
  <c r="F208" i="5"/>
  <c r="H208" i="5"/>
  <c r="I208" i="5"/>
  <c r="Z208" i="5"/>
  <c r="AN208" i="5"/>
  <c r="AG209" i="5"/>
  <c r="AF209" i="5"/>
  <c r="C214" i="4"/>
  <c r="C209" i="5"/>
  <c r="D214" i="4"/>
  <c r="E209" i="5"/>
  <c r="H214" i="4"/>
  <c r="K209" i="5"/>
  <c r="L214" i="4"/>
  <c r="Q209" i="5"/>
  <c r="M214" i="4"/>
  <c r="R209" i="5"/>
  <c r="T209" i="5"/>
  <c r="O214" i="4"/>
  <c r="U209" i="5"/>
  <c r="P214" i="4"/>
  <c r="W209" i="5"/>
  <c r="Q214" i="4"/>
  <c r="X209" i="5"/>
  <c r="S214" i="4"/>
  <c r="AA209" i="5"/>
  <c r="AI214" i="4"/>
  <c r="T214" i="4" a="1"/>
  <c r="T214" i="4"/>
  <c r="AC209" i="5"/>
  <c r="U214" i="4" a="1"/>
  <c r="U214" i="4"/>
  <c r="AD209" i="5"/>
  <c r="X214" i="4"/>
  <c r="AI209" i="5"/>
  <c r="Y214" i="4"/>
  <c r="AJ209" i="5"/>
  <c r="Z214" i="4"/>
  <c r="AL209" i="5"/>
  <c r="F209" i="5"/>
  <c r="H209" i="5"/>
  <c r="I209" i="5"/>
  <c r="L209" i="5"/>
  <c r="N209" i="5"/>
  <c r="O209" i="5"/>
  <c r="Z209" i="5"/>
  <c r="AN209" i="5"/>
  <c r="AG210" i="5"/>
  <c r="AF210" i="5"/>
  <c r="C215" i="4"/>
  <c r="C210" i="5"/>
  <c r="D215" i="4"/>
  <c r="E210" i="5"/>
  <c r="E215" i="4"/>
  <c r="F210" i="5"/>
  <c r="F215" i="4"/>
  <c r="H210" i="5"/>
  <c r="I210" i="5"/>
  <c r="H215" i="4"/>
  <c r="K210" i="5"/>
  <c r="L215" i="4"/>
  <c r="Q210" i="5"/>
  <c r="M215" i="4"/>
  <c r="R210" i="5"/>
  <c r="T210" i="5"/>
  <c r="O215" i="4"/>
  <c r="U210" i="5"/>
  <c r="P215" i="4"/>
  <c r="W210" i="5"/>
  <c r="Q215" i="4"/>
  <c r="X210" i="5"/>
  <c r="S215" i="4"/>
  <c r="AA210" i="5"/>
  <c r="AI215" i="4"/>
  <c r="T215" i="4" a="1"/>
  <c r="T215" i="4"/>
  <c r="AC210" i="5"/>
  <c r="U215" i="4" a="1"/>
  <c r="U215" i="4"/>
  <c r="AD210" i="5"/>
  <c r="X215" i="4"/>
  <c r="AI210" i="5"/>
  <c r="Y215" i="4"/>
  <c r="AJ210" i="5"/>
  <c r="Z215" i="4"/>
  <c r="AL210" i="5"/>
  <c r="L210" i="5"/>
  <c r="N210" i="5"/>
  <c r="O210" i="5"/>
  <c r="Z210" i="5"/>
  <c r="AN210" i="5"/>
  <c r="AG211" i="5"/>
  <c r="AF211" i="5"/>
  <c r="B217" i="4"/>
  <c r="C217" i="4"/>
  <c r="C211" i="5"/>
  <c r="D217" i="4"/>
  <c r="E211" i="5"/>
  <c r="E217" i="4"/>
  <c r="F211" i="5"/>
  <c r="F217" i="4"/>
  <c r="H211" i="5"/>
  <c r="I211" i="5"/>
  <c r="H217" i="4"/>
  <c r="K211" i="5"/>
  <c r="L217" i="4"/>
  <c r="Q211" i="5"/>
  <c r="M217" i="4"/>
  <c r="R211" i="5"/>
  <c r="N217" i="4"/>
  <c r="T211" i="5"/>
  <c r="O217" i="4"/>
  <c r="U211" i="5"/>
  <c r="P217" i="4"/>
  <c r="W211" i="5"/>
  <c r="Q217" i="4"/>
  <c r="X211" i="5"/>
  <c r="S217" i="4"/>
  <c r="AA211" i="5"/>
  <c r="AC211" i="5"/>
  <c r="AD211" i="5"/>
  <c r="X217" i="4"/>
  <c r="AI211" i="5"/>
  <c r="Y217" i="4"/>
  <c r="AJ211" i="5"/>
  <c r="Z217" i="4"/>
  <c r="AL211" i="5"/>
  <c r="L211" i="5"/>
  <c r="N211" i="5"/>
  <c r="O211" i="5"/>
  <c r="Z211" i="5"/>
  <c r="AN211" i="5"/>
  <c r="AG212" i="5"/>
  <c r="AF212" i="5"/>
  <c r="C218" i="4"/>
  <c r="C212" i="5"/>
  <c r="D218" i="4"/>
  <c r="E212" i="5"/>
  <c r="E218" i="4"/>
  <c r="F212" i="5"/>
  <c r="F218" i="4"/>
  <c r="H212" i="5"/>
  <c r="I212" i="5"/>
  <c r="H218" i="4"/>
  <c r="K212" i="5"/>
  <c r="L218" i="4"/>
  <c r="Q212" i="5"/>
  <c r="M218" i="4"/>
  <c r="R212" i="5"/>
  <c r="T212" i="5"/>
  <c r="O218" i="4"/>
  <c r="U212" i="5"/>
  <c r="P218" i="4"/>
  <c r="W212" i="5"/>
  <c r="Q218" i="4"/>
  <c r="X212" i="5"/>
  <c r="S218" i="4"/>
  <c r="AA212" i="5"/>
  <c r="AI218" i="4"/>
  <c r="T218" i="4" a="1"/>
  <c r="T218" i="4"/>
  <c r="AC212" i="5"/>
  <c r="U218" i="4" a="1"/>
  <c r="U218" i="4"/>
  <c r="AD212" i="5"/>
  <c r="X218" i="4"/>
  <c r="AI212" i="5"/>
  <c r="Y218" i="4"/>
  <c r="AJ212" i="5"/>
  <c r="Z218" i="4"/>
  <c r="AL212" i="5"/>
  <c r="L212" i="5"/>
  <c r="N212" i="5"/>
  <c r="O212" i="5"/>
  <c r="Z212" i="5"/>
  <c r="AN212" i="5"/>
  <c r="AG213" i="5"/>
  <c r="AF213" i="5"/>
  <c r="C219" i="4"/>
  <c r="C213" i="5"/>
  <c r="D219" i="4"/>
  <c r="E213" i="5"/>
  <c r="E219" i="4"/>
  <c r="F213" i="5"/>
  <c r="F219" i="4"/>
  <c r="H213" i="5"/>
  <c r="I213" i="5"/>
  <c r="H219" i="4"/>
  <c r="K213" i="5"/>
  <c r="L219" i="4"/>
  <c r="Q213" i="5"/>
  <c r="M219" i="4"/>
  <c r="R213" i="5"/>
  <c r="T213" i="5"/>
  <c r="U213" i="5"/>
  <c r="P219" i="4"/>
  <c r="W213" i="5"/>
  <c r="Q219" i="4"/>
  <c r="X213" i="5"/>
  <c r="S219" i="4"/>
  <c r="AA213" i="5"/>
  <c r="AI219" i="4"/>
  <c r="T219" i="4" a="1"/>
  <c r="T219" i="4"/>
  <c r="AC213" i="5"/>
  <c r="U219" i="4" a="1"/>
  <c r="U219" i="4"/>
  <c r="AD213" i="5"/>
  <c r="X219" i="4"/>
  <c r="AI213" i="5"/>
  <c r="Y219" i="4"/>
  <c r="AJ213" i="5"/>
  <c r="Z219" i="4"/>
  <c r="AL213" i="5"/>
  <c r="L213" i="5"/>
  <c r="N213" i="5"/>
  <c r="O213" i="5"/>
  <c r="Z213" i="5"/>
  <c r="AN213" i="5"/>
  <c r="AG214" i="5"/>
  <c r="AF214" i="5"/>
  <c r="C221" i="4"/>
  <c r="C214" i="5"/>
  <c r="D221" i="4"/>
  <c r="E214" i="5"/>
  <c r="E221" i="4"/>
  <c r="F214" i="5"/>
  <c r="F221" i="4"/>
  <c r="H214" i="5"/>
  <c r="I214" i="5"/>
  <c r="H221" i="4"/>
  <c r="K214" i="5"/>
  <c r="L221" i="4"/>
  <c r="Q214" i="5"/>
  <c r="M221" i="4"/>
  <c r="R214" i="5"/>
  <c r="T214" i="5"/>
  <c r="O221" i="4"/>
  <c r="U214" i="5"/>
  <c r="P221" i="4"/>
  <c r="W214" i="5"/>
  <c r="Q221" i="4"/>
  <c r="X214" i="5"/>
  <c r="S221" i="4"/>
  <c r="AA214" i="5"/>
  <c r="AI221" i="4"/>
  <c r="T221" i="4" a="1"/>
  <c r="T221" i="4"/>
  <c r="AC214" i="5"/>
  <c r="U221" i="4" a="1"/>
  <c r="U221" i="4"/>
  <c r="AD214" i="5"/>
  <c r="X221" i="4"/>
  <c r="AI214" i="5"/>
  <c r="Y221" i="4"/>
  <c r="AJ214" i="5"/>
  <c r="Z221" i="4"/>
  <c r="AL214" i="5"/>
  <c r="L214" i="5"/>
  <c r="N214" i="5"/>
  <c r="O214" i="5"/>
  <c r="Z214" i="5"/>
  <c r="AN214" i="5"/>
  <c r="AG215" i="5"/>
  <c r="AF215" i="5"/>
  <c r="B222" i="4"/>
  <c r="C222" i="4"/>
  <c r="C215" i="5"/>
  <c r="D222" i="4"/>
  <c r="E215" i="5"/>
  <c r="E222" i="4"/>
  <c r="F215" i="5"/>
  <c r="F222" i="4"/>
  <c r="H215" i="5"/>
  <c r="I215" i="5"/>
  <c r="H222" i="4"/>
  <c r="K215" i="5"/>
  <c r="L222" i="4"/>
  <c r="Q215" i="5"/>
  <c r="M222" i="4"/>
  <c r="R215" i="5"/>
  <c r="T215" i="5"/>
  <c r="O222" i="4"/>
  <c r="U215" i="5"/>
  <c r="P222" i="4"/>
  <c r="W215" i="5"/>
  <c r="Q222" i="4"/>
  <c r="X215" i="5"/>
  <c r="S222" i="4"/>
  <c r="AA215" i="5"/>
  <c r="AI222" i="4"/>
  <c r="T222" i="4" a="1"/>
  <c r="T222" i="4"/>
  <c r="AC215" i="5"/>
  <c r="U222" i="4" a="1"/>
  <c r="U222" i="4"/>
  <c r="AD215" i="5"/>
  <c r="X222" i="4"/>
  <c r="AI215" i="5"/>
  <c r="Y222" i="4"/>
  <c r="AJ215" i="5"/>
  <c r="Z222" i="4"/>
  <c r="AL215" i="5"/>
  <c r="L215" i="5"/>
  <c r="N215" i="5"/>
  <c r="O215" i="5"/>
  <c r="Z215" i="5"/>
  <c r="AN215" i="5"/>
  <c r="O216" i="5"/>
  <c r="B223" i="4"/>
  <c r="H223" i="4"/>
  <c r="K216" i="5"/>
  <c r="AG216" i="5"/>
  <c r="AF216" i="5"/>
  <c r="C223" i="4"/>
  <c r="C216" i="5"/>
  <c r="D223" i="4"/>
  <c r="E216" i="5"/>
  <c r="E223" i="4"/>
  <c r="F216" i="5"/>
  <c r="F223" i="4"/>
  <c r="H216" i="5"/>
  <c r="I216" i="5"/>
  <c r="I223" i="4"/>
  <c r="L216" i="5"/>
  <c r="J223" i="4"/>
  <c r="N216" i="5"/>
  <c r="L223" i="4"/>
  <c r="Q216" i="5"/>
  <c r="M223" i="4"/>
  <c r="R216" i="5"/>
  <c r="N223" i="4"/>
  <c r="T216" i="5"/>
  <c r="O223" i="4"/>
  <c r="U216" i="5"/>
  <c r="P223" i="4"/>
  <c r="W216" i="5"/>
  <c r="Q223" i="4"/>
  <c r="X216" i="5"/>
  <c r="S223" i="4"/>
  <c r="AA216" i="5"/>
  <c r="AI223" i="4"/>
  <c r="T223" i="4" a="1"/>
  <c r="T223" i="4"/>
  <c r="AC216" i="5"/>
  <c r="U223" i="4" a="1"/>
  <c r="U223" i="4"/>
  <c r="AD216" i="5"/>
  <c r="X223" i="4"/>
  <c r="AI216" i="5"/>
  <c r="Y223" i="4"/>
  <c r="AJ216" i="5"/>
  <c r="Z223" i="4"/>
  <c r="AL216" i="5"/>
  <c r="Z216" i="5"/>
  <c r="AN216" i="5"/>
  <c r="O217" i="5"/>
  <c r="B224" i="4"/>
  <c r="H224" i="4"/>
  <c r="K217" i="5"/>
  <c r="AG217" i="5"/>
  <c r="AF217" i="5"/>
  <c r="C224" i="4"/>
  <c r="C217" i="5"/>
  <c r="D224" i="4"/>
  <c r="E217" i="5"/>
  <c r="E224" i="4"/>
  <c r="F217" i="5"/>
  <c r="F224" i="4"/>
  <c r="H217" i="5"/>
  <c r="I217" i="5"/>
  <c r="L224" i="4"/>
  <c r="Q217" i="5"/>
  <c r="M224" i="4"/>
  <c r="R217" i="5"/>
  <c r="T217" i="5"/>
  <c r="O224" i="4"/>
  <c r="U217" i="5"/>
  <c r="P224" i="4"/>
  <c r="W217" i="5"/>
  <c r="Q224" i="4"/>
  <c r="X217" i="5"/>
  <c r="S224" i="4"/>
  <c r="AA217" i="5"/>
  <c r="AI224" i="4"/>
  <c r="T224" i="4" a="1"/>
  <c r="T224" i="4"/>
  <c r="AC217" i="5"/>
  <c r="U224" i="4" a="1"/>
  <c r="U224" i="4"/>
  <c r="AD217" i="5"/>
  <c r="X224" i="4"/>
  <c r="AI217" i="5"/>
  <c r="Y224" i="4"/>
  <c r="AJ217" i="5"/>
  <c r="Z224" i="4"/>
  <c r="AL217" i="5"/>
  <c r="Z217" i="5"/>
  <c r="AN217" i="5"/>
  <c r="O218" i="5"/>
  <c r="B225" i="4"/>
  <c r="H225" i="4"/>
  <c r="K218" i="5"/>
  <c r="AG218" i="5"/>
  <c r="AF218" i="5"/>
  <c r="C225" i="4"/>
  <c r="C218" i="5"/>
  <c r="D225" i="4"/>
  <c r="E218" i="5"/>
  <c r="E225" i="4"/>
  <c r="F218" i="5"/>
  <c r="F225" i="4"/>
  <c r="H218" i="5"/>
  <c r="I218" i="5"/>
  <c r="I225" i="4"/>
  <c r="L218" i="5"/>
  <c r="J225" i="4"/>
  <c r="N218" i="5"/>
  <c r="L225" i="4"/>
  <c r="Q218" i="5"/>
  <c r="M225" i="4"/>
  <c r="R218" i="5"/>
  <c r="T218" i="5"/>
  <c r="O225" i="4"/>
  <c r="U218" i="5"/>
  <c r="P225" i="4"/>
  <c r="W218" i="5"/>
  <c r="Q225" i="4"/>
  <c r="X218" i="5"/>
  <c r="S225" i="4"/>
  <c r="AA218" i="5"/>
  <c r="AI225" i="4"/>
  <c r="T225" i="4" a="1"/>
  <c r="T225" i="4"/>
  <c r="AC218" i="5"/>
  <c r="U225" i="4" a="1"/>
  <c r="U225" i="4"/>
  <c r="AD218" i="5"/>
  <c r="X225" i="4"/>
  <c r="AI218" i="5"/>
  <c r="Y225" i="4"/>
  <c r="AJ218" i="5"/>
  <c r="Z225" i="4"/>
  <c r="AL218" i="5"/>
  <c r="Z218" i="5"/>
  <c r="AN218" i="5"/>
  <c r="AG219" i="5"/>
  <c r="AF219" i="5"/>
  <c r="B226" i="4"/>
  <c r="C226" i="4"/>
  <c r="C219" i="5"/>
  <c r="D226" i="4"/>
  <c r="E219" i="5"/>
  <c r="H226" i="4"/>
  <c r="K219" i="5"/>
  <c r="L226" i="4"/>
  <c r="Q219" i="5"/>
  <c r="M226" i="4"/>
  <c r="R219" i="5"/>
  <c r="N226" i="4"/>
  <c r="T219" i="5"/>
  <c r="O226" i="4"/>
  <c r="U219" i="5"/>
  <c r="P226" i="4"/>
  <c r="W219" i="5"/>
  <c r="Q226" i="4"/>
  <c r="X219" i="5"/>
  <c r="S226" i="4"/>
  <c r="AA219" i="5"/>
  <c r="AI226" i="4"/>
  <c r="T226" i="4" a="1"/>
  <c r="T226" i="4"/>
  <c r="AC219" i="5"/>
  <c r="U226" i="4" a="1"/>
  <c r="U226" i="4"/>
  <c r="AD219" i="5"/>
  <c r="X226" i="4"/>
  <c r="AI219" i="5"/>
  <c r="Y226" i="4"/>
  <c r="AJ219" i="5"/>
  <c r="Z226" i="4"/>
  <c r="AL219" i="5"/>
  <c r="F219" i="5"/>
  <c r="H219" i="5"/>
  <c r="I219" i="5"/>
  <c r="L219" i="5"/>
  <c r="N219" i="5"/>
  <c r="O219" i="5"/>
  <c r="Z219" i="5"/>
  <c r="AN219" i="5"/>
  <c r="AG220" i="5"/>
  <c r="AF220" i="5"/>
  <c r="C228" i="4"/>
  <c r="C220" i="5"/>
  <c r="D228" i="4"/>
  <c r="E220" i="5"/>
  <c r="E228" i="4"/>
  <c r="F220" i="5"/>
  <c r="F228" i="4"/>
  <c r="H220" i="5"/>
  <c r="I220" i="5"/>
  <c r="H228" i="4"/>
  <c r="K220" i="5"/>
  <c r="L228" i="4"/>
  <c r="Q220" i="5"/>
  <c r="M228" i="4"/>
  <c r="R220" i="5"/>
  <c r="T220" i="5"/>
  <c r="O228" i="4"/>
  <c r="U220" i="5"/>
  <c r="P228" i="4"/>
  <c r="W220" i="5"/>
  <c r="Q228" i="4"/>
  <c r="X220" i="5"/>
  <c r="AA220" i="5"/>
  <c r="AI228" i="4"/>
  <c r="T228" i="4" a="1"/>
  <c r="T228" i="4"/>
  <c r="AC220" i="5"/>
  <c r="U228" i="4" a="1"/>
  <c r="U228" i="4"/>
  <c r="AD220" i="5"/>
  <c r="X228" i="4"/>
  <c r="AI220" i="5"/>
  <c r="L220" i="5"/>
  <c r="N220" i="5"/>
  <c r="O220" i="5"/>
  <c r="Z220" i="5"/>
  <c r="AN220" i="5"/>
  <c r="AG221" i="5"/>
  <c r="AF221" i="5"/>
  <c r="C229" i="4"/>
  <c r="C221" i="5"/>
  <c r="D229" i="4"/>
  <c r="E221" i="5"/>
  <c r="E229" i="4"/>
  <c r="F221" i="5"/>
  <c r="F229" i="4"/>
  <c r="H221" i="5"/>
  <c r="I221" i="5"/>
  <c r="H229" i="4"/>
  <c r="K221" i="5"/>
  <c r="L229" i="4"/>
  <c r="Q221" i="5"/>
  <c r="M229" i="4"/>
  <c r="R221" i="5"/>
  <c r="T221" i="5"/>
  <c r="O229" i="4"/>
  <c r="U221" i="5"/>
  <c r="P229" i="4"/>
  <c r="W221" i="5"/>
  <c r="Q229" i="4"/>
  <c r="X221" i="5"/>
  <c r="S229" i="4"/>
  <c r="AA221" i="5"/>
  <c r="AI229" i="4"/>
  <c r="T229" i="4" a="1"/>
  <c r="T229" i="4"/>
  <c r="AC221" i="5"/>
  <c r="U229" i="4" a="1"/>
  <c r="U229" i="4"/>
  <c r="AD221" i="5"/>
  <c r="X229" i="4"/>
  <c r="AI221" i="5"/>
  <c r="Y229" i="4"/>
  <c r="AJ221" i="5"/>
  <c r="Z229" i="4"/>
  <c r="AL221" i="5"/>
  <c r="L221" i="5"/>
  <c r="N221" i="5"/>
  <c r="O221" i="5"/>
  <c r="Z221" i="5"/>
  <c r="AN221" i="5"/>
  <c r="O222" i="5"/>
  <c r="B292" i="4"/>
  <c r="H292" i="4"/>
  <c r="K222" i="5"/>
  <c r="AG222" i="5"/>
  <c r="AF222" i="5"/>
  <c r="C292" i="4"/>
  <c r="C222" i="5"/>
  <c r="D292" i="4"/>
  <c r="E222" i="5"/>
  <c r="E292" i="4"/>
  <c r="F222" i="5"/>
  <c r="F292" i="4"/>
  <c r="H222" i="5"/>
  <c r="I222" i="5"/>
  <c r="I292" i="4"/>
  <c r="L222" i="5"/>
  <c r="J292" i="4"/>
  <c r="N222" i="5"/>
  <c r="L292" i="4"/>
  <c r="Q222" i="5"/>
  <c r="M292" i="4"/>
  <c r="R222" i="5"/>
  <c r="T222" i="5"/>
  <c r="O292" i="4"/>
  <c r="U222" i="5"/>
  <c r="P292" i="4"/>
  <c r="W222" i="5"/>
  <c r="Q292" i="4"/>
  <c r="X222" i="5"/>
  <c r="S292" i="4"/>
  <c r="AA222" i="5"/>
  <c r="AI292" i="4"/>
  <c r="T292" i="4" a="1"/>
  <c r="T292" i="4"/>
  <c r="AC222" i="5"/>
  <c r="U292" i="4" a="1"/>
  <c r="U292" i="4"/>
  <c r="AD222" i="5"/>
  <c r="X292" i="4"/>
  <c r="AI222" i="5"/>
  <c r="Y292" i="4"/>
  <c r="AJ222" i="5"/>
  <c r="Z292" i="4"/>
  <c r="AL222" i="5"/>
  <c r="Z222" i="5"/>
  <c r="AN222" i="5"/>
  <c r="AG223" i="5"/>
  <c r="AF223" i="5"/>
  <c r="C230" i="4"/>
  <c r="C223" i="5"/>
  <c r="T223" i="5"/>
  <c r="O230" i="4"/>
  <c r="U223" i="5"/>
  <c r="P230" i="4"/>
  <c r="W223" i="5"/>
  <c r="Q230" i="4"/>
  <c r="X223" i="5"/>
  <c r="S230" i="4"/>
  <c r="AA223" i="5"/>
  <c r="AI230" i="4"/>
  <c r="T230" i="4" a="1"/>
  <c r="T230" i="4"/>
  <c r="AC223" i="5"/>
  <c r="U230" i="4" a="1"/>
  <c r="U230" i="4"/>
  <c r="AD223" i="5"/>
  <c r="AI223" i="5"/>
  <c r="Y230" i="4"/>
  <c r="AJ223" i="5"/>
  <c r="Z230" i="4"/>
  <c r="AL223" i="5"/>
  <c r="Z223" i="5"/>
  <c r="AN223" i="5"/>
  <c r="AG224" i="5"/>
  <c r="AF224" i="5"/>
  <c r="B72" i="4"/>
  <c r="C72" i="4"/>
  <c r="C224" i="5"/>
  <c r="E224" i="5"/>
  <c r="K224" i="5"/>
  <c r="L72" i="4"/>
  <c r="Q224" i="5"/>
  <c r="M72" i="4"/>
  <c r="R224" i="5"/>
  <c r="T224" i="5"/>
  <c r="O72" i="4"/>
  <c r="U224" i="5"/>
  <c r="P72" i="4"/>
  <c r="W224" i="5"/>
  <c r="X224" i="5"/>
  <c r="AA224" i="5"/>
  <c r="AI72" i="4"/>
  <c r="T72" i="4" a="1"/>
  <c r="T72" i="4"/>
  <c r="AC224" i="5"/>
  <c r="U72" i="4" a="1"/>
  <c r="U72" i="4"/>
  <c r="AD224" i="5"/>
  <c r="X72" i="4"/>
  <c r="AI224" i="5"/>
  <c r="Y72" i="4"/>
  <c r="AJ224" i="5"/>
  <c r="Z72" i="4"/>
  <c r="AL224" i="5"/>
  <c r="F224" i="5"/>
  <c r="H224" i="5"/>
  <c r="I224" i="5"/>
  <c r="L224" i="5"/>
  <c r="N224" i="5"/>
  <c r="O224" i="5"/>
  <c r="Z224" i="5"/>
  <c r="AN224" i="5"/>
  <c r="O225" i="5"/>
  <c r="B280" i="4"/>
  <c r="H280" i="4"/>
  <c r="K225" i="5"/>
  <c r="AG225" i="5"/>
  <c r="AF225" i="5"/>
  <c r="C280" i="4"/>
  <c r="C225" i="5"/>
  <c r="D280" i="4"/>
  <c r="E225" i="5"/>
  <c r="I280" i="4"/>
  <c r="L225" i="5"/>
  <c r="J280" i="4"/>
  <c r="N225" i="5"/>
  <c r="L280" i="4"/>
  <c r="Q225" i="5"/>
  <c r="M280" i="4"/>
  <c r="R225" i="5"/>
  <c r="T225" i="5"/>
  <c r="O280" i="4"/>
  <c r="U225" i="5"/>
  <c r="P280" i="4"/>
  <c r="W225" i="5"/>
  <c r="Q280" i="4"/>
  <c r="X225" i="5"/>
  <c r="AA225" i="5"/>
  <c r="AI280" i="4"/>
  <c r="T280" i="4" a="1"/>
  <c r="T280" i="4"/>
  <c r="AC225" i="5"/>
  <c r="U280" i="4" a="1"/>
  <c r="U280" i="4"/>
  <c r="AD225" i="5"/>
  <c r="X280" i="4"/>
  <c r="AI225" i="5"/>
  <c r="Y280" i="4"/>
  <c r="AJ225" i="5"/>
  <c r="Z280" i="4"/>
  <c r="AL225" i="5"/>
  <c r="F225" i="5"/>
  <c r="H225" i="5"/>
  <c r="I225" i="5"/>
  <c r="Z225" i="5"/>
  <c r="AN225" i="5"/>
  <c r="AG226" i="5"/>
  <c r="AF226" i="5"/>
  <c r="C281" i="4"/>
  <c r="C226" i="5"/>
  <c r="T226" i="5"/>
  <c r="O281" i="4"/>
  <c r="U226" i="5"/>
  <c r="P281" i="4"/>
  <c r="W226" i="5"/>
  <c r="S281" i="4"/>
  <c r="AA226" i="5"/>
  <c r="AI281" i="4"/>
  <c r="T281" i="4" a="1"/>
  <c r="T281" i="4"/>
  <c r="AC226" i="5"/>
  <c r="U281" i="4" a="1"/>
  <c r="U281" i="4"/>
  <c r="AD226" i="5"/>
  <c r="X281" i="4"/>
  <c r="AI226" i="5"/>
  <c r="Y281" i="4"/>
  <c r="AJ226" i="5"/>
  <c r="Z281" i="4"/>
  <c r="AL226" i="5"/>
  <c r="X226" i="5"/>
  <c r="Z226" i="5"/>
  <c r="AN226" i="5"/>
  <c r="AG227" i="5"/>
  <c r="AF227" i="5"/>
  <c r="C231" i="4"/>
  <c r="C227" i="5"/>
  <c r="T227" i="5"/>
  <c r="U227" i="5"/>
  <c r="P231" i="4"/>
  <c r="W227" i="5"/>
  <c r="Q231" i="4"/>
  <c r="X227" i="5"/>
  <c r="R231" i="4"/>
  <c r="Z227" i="5"/>
  <c r="S231" i="4"/>
  <c r="AA227" i="5"/>
  <c r="AI231" i="4"/>
  <c r="T231" i="4" a="1"/>
  <c r="T231" i="4"/>
  <c r="AC227" i="5"/>
  <c r="U231" i="4" a="1"/>
  <c r="U231" i="4"/>
  <c r="AD227" i="5"/>
  <c r="X231" i="4"/>
  <c r="AI227" i="5"/>
  <c r="Y231" i="4"/>
  <c r="AJ227" i="5"/>
  <c r="Z231" i="4"/>
  <c r="AL227" i="5"/>
  <c r="AN227" i="5"/>
  <c r="AG228" i="5"/>
  <c r="AF228" i="5"/>
  <c r="B282" i="4"/>
  <c r="C282" i="4"/>
  <c r="C228" i="5"/>
  <c r="E228" i="5"/>
  <c r="H282" i="4"/>
  <c r="K228" i="5"/>
  <c r="L282" i="4"/>
  <c r="Q228" i="5"/>
  <c r="M282" i="4"/>
  <c r="R228" i="5"/>
  <c r="T228" i="5"/>
  <c r="O282" i="4"/>
  <c r="U228" i="5"/>
  <c r="P282" i="4"/>
  <c r="W228" i="5"/>
  <c r="X228" i="5"/>
  <c r="AA228" i="5"/>
  <c r="AI282" i="4"/>
  <c r="T282" i="4" a="1"/>
  <c r="T282" i="4"/>
  <c r="AC228" i="5"/>
  <c r="U282" i="4" a="1"/>
  <c r="U282" i="4"/>
  <c r="AD228" i="5"/>
  <c r="AI228" i="5"/>
  <c r="AJ228" i="5"/>
  <c r="Z282" i="4"/>
  <c r="AL228" i="5"/>
  <c r="F228" i="5"/>
  <c r="H228" i="5"/>
  <c r="I228" i="5"/>
  <c r="L228" i="5"/>
  <c r="N228" i="5"/>
  <c r="O228" i="5"/>
  <c r="Z228" i="5"/>
  <c r="AN228" i="5"/>
  <c r="O229" i="5"/>
  <c r="K229" i="5"/>
  <c r="AG229" i="5"/>
  <c r="AF229" i="5"/>
  <c r="B287" i="4"/>
  <c r="C287" i="4"/>
  <c r="C229" i="5"/>
  <c r="D287" i="4"/>
  <c r="E229" i="5"/>
  <c r="E287" i="4"/>
  <c r="F229" i="5"/>
  <c r="F287" i="4"/>
  <c r="H229" i="5"/>
  <c r="I229" i="5"/>
  <c r="I287" i="4"/>
  <c r="L229" i="5"/>
  <c r="J287" i="4"/>
  <c r="N229" i="5"/>
  <c r="L287" i="4"/>
  <c r="Q229" i="5"/>
  <c r="M287" i="4"/>
  <c r="R229" i="5"/>
  <c r="T229" i="5"/>
  <c r="O287" i="4"/>
  <c r="U229" i="5"/>
  <c r="P287" i="4"/>
  <c r="W229" i="5"/>
  <c r="Q287" i="4"/>
  <c r="X229" i="5"/>
  <c r="S287" i="4"/>
  <c r="AA229" i="5"/>
  <c r="AI287" i="4"/>
  <c r="T287" i="4" a="1"/>
  <c r="T287" i="4"/>
  <c r="AC229" i="5"/>
  <c r="U287" i="4" a="1"/>
  <c r="U287" i="4"/>
  <c r="AD229" i="5"/>
  <c r="AI229" i="5"/>
  <c r="Y287" i="4"/>
  <c r="AJ229" i="5"/>
  <c r="Z287" i="4"/>
  <c r="AL229" i="5"/>
  <c r="Z229" i="5"/>
  <c r="AN229" i="5"/>
  <c r="AG230" i="5"/>
  <c r="AF230" i="5"/>
  <c r="B232" i="4"/>
  <c r="C232" i="4"/>
  <c r="C230" i="5"/>
  <c r="D232" i="4"/>
  <c r="E230" i="5"/>
  <c r="E232" i="4"/>
  <c r="F230" i="5"/>
  <c r="F232" i="4"/>
  <c r="H230" i="5"/>
  <c r="I230" i="5"/>
  <c r="H232" i="4"/>
  <c r="K230" i="5"/>
  <c r="L232" i="4"/>
  <c r="Q230" i="5"/>
  <c r="M232" i="4"/>
  <c r="R230" i="5"/>
  <c r="T230" i="5"/>
  <c r="O232" i="4"/>
  <c r="U230" i="5"/>
  <c r="P232" i="4"/>
  <c r="W230" i="5"/>
  <c r="Q232" i="4"/>
  <c r="X230" i="5"/>
  <c r="S232" i="4"/>
  <c r="AA230" i="5"/>
  <c r="AI232" i="4"/>
  <c r="T232" i="4" a="1"/>
  <c r="T232" i="4"/>
  <c r="AC230" i="5"/>
  <c r="U232" i="4" a="1"/>
  <c r="U232" i="4"/>
  <c r="AD230" i="5"/>
  <c r="X232" i="4"/>
  <c r="AI230" i="5"/>
  <c r="Y232" i="4"/>
  <c r="AJ230" i="5"/>
  <c r="Z232" i="4"/>
  <c r="AL230" i="5"/>
  <c r="L230" i="5"/>
  <c r="N230" i="5"/>
  <c r="O230" i="5"/>
  <c r="Z230" i="5"/>
  <c r="AN230" i="5"/>
  <c r="AG231" i="5"/>
  <c r="AF231" i="5"/>
  <c r="C233" i="4"/>
  <c r="C231" i="5"/>
  <c r="T231" i="5"/>
  <c r="U231" i="5"/>
  <c r="P233" i="4"/>
  <c r="W231" i="5"/>
  <c r="Q233" i="4"/>
  <c r="X231" i="5"/>
  <c r="S233" i="4"/>
  <c r="AA231" i="5"/>
  <c r="AI233" i="4"/>
  <c r="T233" i="4" a="1"/>
  <c r="T233" i="4"/>
  <c r="AC231" i="5"/>
  <c r="U233" i="4" a="1"/>
  <c r="U233" i="4"/>
  <c r="AD231" i="5"/>
  <c r="X233" i="4"/>
  <c r="AI231" i="5"/>
  <c r="Y233" i="4"/>
  <c r="AJ231" i="5"/>
  <c r="Z233" i="4"/>
  <c r="AL231" i="5"/>
  <c r="Z231" i="5"/>
  <c r="AN231" i="5"/>
  <c r="AG232" i="5"/>
  <c r="AF232" i="5"/>
  <c r="B234" i="4"/>
  <c r="C234" i="4"/>
  <c r="C232" i="5"/>
  <c r="D234" i="4"/>
  <c r="E232" i="5"/>
  <c r="H234" i="4"/>
  <c r="K232" i="5"/>
  <c r="L234" i="4"/>
  <c r="Q232" i="5"/>
  <c r="M234" i="4"/>
  <c r="R232" i="5"/>
  <c r="T232" i="5"/>
  <c r="O234" i="4"/>
  <c r="U232" i="5"/>
  <c r="P234" i="4"/>
  <c r="W232" i="5"/>
  <c r="Q234" i="4"/>
  <c r="X232" i="5"/>
  <c r="S234" i="4"/>
  <c r="AA232" i="5"/>
  <c r="AI234" i="4"/>
  <c r="T234" i="4" a="1"/>
  <c r="T234" i="4"/>
  <c r="AC232" i="5"/>
  <c r="U234" i="4" a="1"/>
  <c r="U234" i="4"/>
  <c r="AD232" i="5"/>
  <c r="X234" i="4"/>
  <c r="AI232" i="5"/>
  <c r="Y234" i="4"/>
  <c r="AJ232" i="5"/>
  <c r="Z234" i="4"/>
  <c r="AL232" i="5"/>
  <c r="L232" i="5"/>
  <c r="N232" i="5"/>
  <c r="O232" i="5"/>
  <c r="F232" i="5"/>
  <c r="H232" i="5"/>
  <c r="I232" i="5"/>
  <c r="Z232" i="5"/>
  <c r="AN232" i="5"/>
  <c r="AG233" i="5"/>
  <c r="AF233" i="5"/>
  <c r="B236" i="4"/>
  <c r="C236" i="4"/>
  <c r="C233" i="5"/>
  <c r="D236" i="4"/>
  <c r="E233" i="5"/>
  <c r="H236" i="4"/>
  <c r="K233" i="5"/>
  <c r="L236" i="4"/>
  <c r="Q233" i="5"/>
  <c r="M236" i="4"/>
  <c r="R233" i="5"/>
  <c r="T233" i="5"/>
  <c r="O236" i="4"/>
  <c r="U233" i="5"/>
  <c r="P236" i="4"/>
  <c r="W233" i="5"/>
  <c r="Q236" i="4"/>
  <c r="X233" i="5"/>
  <c r="S236" i="4"/>
  <c r="AA233" i="5"/>
  <c r="AI236" i="4"/>
  <c r="T236" i="4" a="1"/>
  <c r="T236" i="4"/>
  <c r="AC233" i="5"/>
  <c r="U236" i="4" a="1"/>
  <c r="U236" i="4"/>
  <c r="AD233" i="5"/>
  <c r="X236" i="4"/>
  <c r="AI233" i="5"/>
  <c r="Y236" i="4"/>
  <c r="AJ233" i="5"/>
  <c r="Z236" i="4"/>
  <c r="AL233" i="5"/>
  <c r="L233" i="5"/>
  <c r="N233" i="5"/>
  <c r="O233" i="5"/>
  <c r="F233" i="5"/>
  <c r="H233" i="5"/>
  <c r="I233" i="5"/>
  <c r="Z233" i="5"/>
  <c r="AN233" i="5"/>
  <c r="S78" i="4"/>
  <c r="AA234" i="5"/>
  <c r="P78" i="4"/>
  <c r="W234" i="5"/>
  <c r="AG234" i="5"/>
  <c r="AF234" i="5"/>
  <c r="C78" i="4"/>
  <c r="C234" i="5"/>
  <c r="D78" i="4"/>
  <c r="E234" i="5"/>
  <c r="K234" i="5"/>
  <c r="L78" i="4"/>
  <c r="Q234" i="5"/>
  <c r="M78" i="4"/>
  <c r="R234" i="5"/>
  <c r="T234" i="5"/>
  <c r="U234" i="5"/>
  <c r="Q78" i="4"/>
  <c r="X234" i="5"/>
  <c r="R78" i="4"/>
  <c r="Z234" i="5"/>
  <c r="AI78" i="4"/>
  <c r="T78" i="4" a="1"/>
  <c r="T78" i="4"/>
  <c r="AC234" i="5"/>
  <c r="U78" i="4" a="1"/>
  <c r="U78" i="4"/>
  <c r="AD234" i="5"/>
  <c r="X78" i="4"/>
  <c r="AI234" i="5"/>
  <c r="Y78" i="4"/>
  <c r="AJ234" i="5"/>
  <c r="Z78" i="4"/>
  <c r="AL234" i="5"/>
  <c r="L234" i="5"/>
  <c r="N234" i="5"/>
  <c r="O234" i="5"/>
  <c r="F234" i="5"/>
  <c r="H234" i="5"/>
  <c r="I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I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F235" i="5"/>
  <c r="H235" i="5"/>
  <c r="I235" i="5"/>
  <c r="L235" i="5"/>
  <c r="N235" i="5"/>
  <c r="O235" i="5"/>
  <c r="Z235" i="5"/>
  <c r="AN235" i="5"/>
  <c r="AG236" i="5"/>
  <c r="AF236" i="5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I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F236" i="5"/>
  <c r="H236" i="5"/>
  <c r="I236" i="5"/>
  <c r="L236" i="5"/>
  <c r="N236" i="5"/>
  <c r="O236" i="5"/>
  <c r="Z236" i="5"/>
  <c r="AN236" i="5"/>
  <c r="AG237" i="5"/>
  <c r="AF237" i="5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I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F237" i="5"/>
  <c r="H237" i="5"/>
  <c r="I237" i="5"/>
  <c r="L237" i="5"/>
  <c r="N237" i="5"/>
  <c r="O237" i="5"/>
  <c r="Z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I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F238" i="5"/>
  <c r="H238" i="5"/>
  <c r="I238" i="5"/>
  <c r="L238" i="5"/>
  <c r="N238" i="5"/>
  <c r="O238" i="5"/>
  <c r="Z238" i="5"/>
  <c r="AN238" i="5"/>
  <c r="AG239" i="5"/>
  <c r="AF239" i="5"/>
  <c r="C84" i="4"/>
  <c r="C239" i="5"/>
  <c r="D84" i="4"/>
  <c r="E239" i="5"/>
  <c r="K239" i="5"/>
  <c r="L84" i="4"/>
  <c r="Q239" i="5"/>
  <c r="M84" i="4"/>
  <c r="R239" i="5"/>
  <c r="T239" i="5"/>
  <c r="U239" i="5"/>
  <c r="P84" i="4"/>
  <c r="W239" i="5"/>
  <c r="Q84" i="4"/>
  <c r="X239" i="5"/>
  <c r="S84" i="4"/>
  <c r="AA239" i="5"/>
  <c r="AI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F239" i="5"/>
  <c r="H239" i="5"/>
  <c r="I239" i="5"/>
  <c r="L239" i="5"/>
  <c r="N239" i="5"/>
  <c r="O239" i="5"/>
  <c r="Z239" i="5"/>
  <c r="AN239" i="5"/>
  <c r="AG240" i="5"/>
  <c r="AF240" i="5"/>
  <c r="C240" i="5"/>
  <c r="E240" i="5"/>
  <c r="F240" i="5"/>
  <c r="H240" i="5"/>
  <c r="I240" i="5"/>
  <c r="K240" i="5"/>
  <c r="Q240" i="5"/>
  <c r="R240" i="5"/>
  <c r="T240" i="5"/>
  <c r="U240" i="5"/>
  <c r="W240" i="5"/>
  <c r="X240" i="5"/>
  <c r="AA240" i="5"/>
  <c r="AC240" i="5"/>
  <c r="AD240" i="5"/>
  <c r="AI240" i="5"/>
  <c r="AJ240" i="5"/>
  <c r="AL240" i="5"/>
  <c r="L240" i="5"/>
  <c r="N240" i="5"/>
  <c r="O240" i="5"/>
  <c r="Z240" i="5"/>
  <c r="AN240" i="5"/>
  <c r="AG242" i="5"/>
  <c r="AF242" i="5"/>
  <c r="C283" i="4"/>
  <c r="C242" i="5"/>
  <c r="T242" i="5"/>
  <c r="O283" i="4"/>
  <c r="U242" i="5"/>
  <c r="P283" i="4"/>
  <c r="W242" i="5"/>
  <c r="S283" i="4"/>
  <c r="AA242" i="5"/>
  <c r="AI283" i="4"/>
  <c r="T283" i="4" a="1"/>
  <c r="T283" i="4"/>
  <c r="AC242" i="5"/>
  <c r="U283" i="4" a="1"/>
  <c r="U283" i="4"/>
  <c r="AD242" i="5"/>
  <c r="X283" i="4"/>
  <c r="AI242" i="5"/>
  <c r="Y283" i="4"/>
  <c r="AJ242" i="5"/>
  <c r="Z283" i="4"/>
  <c r="AL242" i="5"/>
  <c r="X242" i="5"/>
  <c r="Z242" i="5"/>
  <c r="AN242" i="5"/>
  <c r="AG243" i="5"/>
  <c r="AF243" i="5"/>
  <c r="B237" i="4"/>
  <c r="C237" i="4"/>
  <c r="C243" i="5"/>
  <c r="D237" i="4"/>
  <c r="E243" i="5"/>
  <c r="H237" i="4"/>
  <c r="K243" i="5"/>
  <c r="L237" i="4"/>
  <c r="Q243" i="5"/>
  <c r="M237" i="4"/>
  <c r="R243" i="5"/>
  <c r="T243" i="5"/>
  <c r="U243" i="5"/>
  <c r="P237" i="4"/>
  <c r="W243" i="5"/>
  <c r="Q237" i="4"/>
  <c r="X243" i="5"/>
  <c r="AA243" i="5"/>
  <c r="AI237" i="4"/>
  <c r="T237" i="4" a="1"/>
  <c r="T237" i="4"/>
  <c r="AC243" i="5"/>
  <c r="U237" i="4" a="1"/>
  <c r="U237" i="4"/>
  <c r="AD243" i="5"/>
  <c r="Y237" i="4"/>
  <c r="AJ243" i="5"/>
  <c r="Z237" i="4"/>
  <c r="AL243" i="5"/>
  <c r="F243" i="5"/>
  <c r="H243" i="5"/>
  <c r="I243" i="5"/>
  <c r="L243" i="5"/>
  <c r="N243" i="5"/>
  <c r="O243" i="5"/>
  <c r="Z243" i="5"/>
  <c r="AN243" i="5"/>
  <c r="AG244" i="5"/>
  <c r="AF244" i="5"/>
  <c r="B238" i="4"/>
  <c r="C238" i="4"/>
  <c r="C244" i="5"/>
  <c r="D238" i="4"/>
  <c r="E244" i="5"/>
  <c r="H238" i="4"/>
  <c r="K244" i="5"/>
  <c r="L238" i="4"/>
  <c r="Q244" i="5"/>
  <c r="M238" i="4"/>
  <c r="R244" i="5"/>
  <c r="T244" i="5"/>
  <c r="O238" i="4"/>
  <c r="U244" i="5"/>
  <c r="P238" i="4"/>
  <c r="W244" i="5"/>
  <c r="Q238" i="4"/>
  <c r="X244" i="5"/>
  <c r="AA244" i="5"/>
  <c r="AI238" i="4"/>
  <c r="T238" i="4" a="1"/>
  <c r="T238" i="4"/>
  <c r="AC244" i="5"/>
  <c r="U238" i="4" a="1"/>
  <c r="U238" i="4"/>
  <c r="AD244" i="5"/>
  <c r="AI244" i="5"/>
  <c r="Y238" i="4"/>
  <c r="AJ244" i="5"/>
  <c r="Z238" i="4"/>
  <c r="AL244" i="5"/>
  <c r="F244" i="5"/>
  <c r="H244" i="5"/>
  <c r="I244" i="5"/>
  <c r="L244" i="5"/>
  <c r="N244" i="5"/>
  <c r="O244" i="5"/>
  <c r="Z244" i="5"/>
  <c r="AN244" i="5"/>
  <c r="AG245" i="5"/>
  <c r="AF245" i="5"/>
  <c r="B239" i="4"/>
  <c r="C239" i="4"/>
  <c r="C245" i="5"/>
  <c r="D239" i="4"/>
  <c r="E245" i="5"/>
  <c r="H239" i="4"/>
  <c r="K245" i="5"/>
  <c r="L239" i="4"/>
  <c r="Q245" i="5"/>
  <c r="M239" i="4"/>
  <c r="R245" i="5"/>
  <c r="T245" i="5"/>
  <c r="O239" i="4"/>
  <c r="U245" i="5"/>
  <c r="P239" i="4"/>
  <c r="W245" i="5"/>
  <c r="Q239" i="4"/>
  <c r="X245" i="5"/>
  <c r="AA245" i="5"/>
  <c r="AI239" i="4"/>
  <c r="T239" i="4" a="1"/>
  <c r="T239" i="4"/>
  <c r="AC245" i="5"/>
  <c r="U239" i="4" a="1"/>
  <c r="U239" i="4"/>
  <c r="AD245" i="5"/>
  <c r="AI245" i="5"/>
  <c r="Y239" i="4"/>
  <c r="AJ245" i="5"/>
  <c r="Z239" i="4"/>
  <c r="AL245" i="5"/>
  <c r="F245" i="5"/>
  <c r="H245" i="5"/>
  <c r="I245" i="5"/>
  <c r="L245" i="5"/>
  <c r="N245" i="5"/>
  <c r="O245" i="5"/>
  <c r="Z245" i="5"/>
  <c r="AN245" i="5"/>
  <c r="AG246" i="5"/>
  <c r="AF246" i="5"/>
  <c r="B240" i="4"/>
  <c r="C240" i="4"/>
  <c r="C246" i="5"/>
  <c r="D240" i="4"/>
  <c r="E246" i="5"/>
  <c r="H240" i="4"/>
  <c r="K246" i="5"/>
  <c r="L240" i="4"/>
  <c r="Q246" i="5"/>
  <c r="M240" i="4"/>
  <c r="R246" i="5"/>
  <c r="T246" i="5"/>
  <c r="U246" i="5"/>
  <c r="P240" i="4"/>
  <c r="W246" i="5"/>
  <c r="Q240" i="4"/>
  <c r="X246" i="5"/>
  <c r="AA246" i="5"/>
  <c r="AI240" i="4"/>
  <c r="T240" i="4" a="1"/>
  <c r="T240" i="4"/>
  <c r="AC246" i="5"/>
  <c r="U240" i="4" a="1"/>
  <c r="U240" i="4"/>
  <c r="AD246" i="5"/>
  <c r="X240" i="4"/>
  <c r="AI246" i="5"/>
  <c r="Y240" i="4"/>
  <c r="AJ246" i="5"/>
  <c r="Z240" i="4"/>
  <c r="AL246" i="5"/>
  <c r="F246" i="5"/>
  <c r="H246" i="5"/>
  <c r="I246" i="5"/>
  <c r="L246" i="5"/>
  <c r="N246" i="5"/>
  <c r="O246" i="5"/>
  <c r="Z246" i="5"/>
  <c r="AN246" i="5"/>
  <c r="AG247" i="5"/>
  <c r="AF247" i="5"/>
  <c r="B241" i="4"/>
  <c r="C241" i="4"/>
  <c r="C247" i="5"/>
  <c r="D241" i="4"/>
  <c r="E247" i="5"/>
  <c r="H241" i="4"/>
  <c r="K247" i="5"/>
  <c r="L241" i="4"/>
  <c r="Q247" i="5"/>
  <c r="M241" i="4"/>
  <c r="R247" i="5"/>
  <c r="T247" i="5"/>
  <c r="U247" i="5"/>
  <c r="P241" i="4"/>
  <c r="W247" i="5"/>
  <c r="Q241" i="4"/>
  <c r="X247" i="5"/>
  <c r="AA247" i="5"/>
  <c r="AI241" i="4"/>
  <c r="T241" i="4" a="1"/>
  <c r="T241" i="4"/>
  <c r="AC247" i="5"/>
  <c r="U241" i="4" a="1"/>
  <c r="U241" i="4"/>
  <c r="AD247" i="5"/>
  <c r="X241" i="4"/>
  <c r="AI247" i="5"/>
  <c r="Y241" i="4"/>
  <c r="AJ247" i="5"/>
  <c r="Z241" i="4"/>
  <c r="AL247" i="5"/>
  <c r="F247" i="5"/>
  <c r="H247" i="5"/>
  <c r="I247" i="5"/>
  <c r="L247" i="5"/>
  <c r="N247" i="5"/>
  <c r="O247" i="5"/>
  <c r="Z247" i="5"/>
  <c r="AN247" i="5"/>
  <c r="AG248" i="5"/>
  <c r="AF248" i="5"/>
  <c r="B242" i="4"/>
  <c r="C242" i="4"/>
  <c r="C248" i="5"/>
  <c r="D242" i="4"/>
  <c r="E248" i="5"/>
  <c r="H242" i="4"/>
  <c r="K248" i="5"/>
  <c r="L242" i="4"/>
  <c r="Q248" i="5"/>
  <c r="M242" i="4"/>
  <c r="R248" i="5"/>
  <c r="T248" i="5"/>
  <c r="U248" i="5"/>
  <c r="P242" i="4"/>
  <c r="W248" i="5"/>
  <c r="Q242" i="4"/>
  <c r="X248" i="5"/>
  <c r="AA248" i="5"/>
  <c r="AI242" i="4"/>
  <c r="T242" i="4" a="1"/>
  <c r="T242" i="4"/>
  <c r="AC248" i="5"/>
  <c r="U242" i="4" a="1"/>
  <c r="U242" i="4"/>
  <c r="AD248" i="5"/>
  <c r="X242" i="4"/>
  <c r="AI248" i="5"/>
  <c r="Y242" i="4"/>
  <c r="AJ248" i="5"/>
  <c r="Z242" i="4"/>
  <c r="AL248" i="5"/>
  <c r="F248" i="5"/>
  <c r="H248" i="5"/>
  <c r="I248" i="5"/>
  <c r="L248" i="5"/>
  <c r="N248" i="5"/>
  <c r="O248" i="5"/>
  <c r="Z248" i="5"/>
  <c r="AN248" i="5"/>
  <c r="AG249" i="5"/>
  <c r="AF249" i="5"/>
  <c r="C243" i="4"/>
  <c r="C249" i="5"/>
  <c r="D243" i="4"/>
  <c r="E249" i="5"/>
  <c r="K249" i="5"/>
  <c r="L243" i="4"/>
  <c r="Q249" i="5"/>
  <c r="M243" i="4"/>
  <c r="R249" i="5"/>
  <c r="T249" i="5"/>
  <c r="U249" i="5"/>
  <c r="P243" i="4"/>
  <c r="W249" i="5"/>
  <c r="Q243" i="4"/>
  <c r="X249" i="5"/>
  <c r="AA249" i="5"/>
  <c r="AI243" i="4"/>
  <c r="T243" i="4" a="1"/>
  <c r="T243" i="4"/>
  <c r="AC249" i="5"/>
  <c r="U243" i="4" a="1"/>
  <c r="U243" i="4"/>
  <c r="AD249" i="5"/>
  <c r="X243" i="4"/>
  <c r="AI249" i="5"/>
  <c r="Y243" i="4"/>
  <c r="AJ249" i="5"/>
  <c r="Z243" i="4"/>
  <c r="AL249" i="5"/>
  <c r="F249" i="5"/>
  <c r="H249" i="5"/>
  <c r="I249" i="5"/>
  <c r="L249" i="5"/>
  <c r="N249" i="5"/>
  <c r="O249" i="5"/>
  <c r="Z249" i="5"/>
  <c r="AN249" i="5"/>
  <c r="AG250" i="5"/>
  <c r="AF250" i="5"/>
  <c r="B244" i="4"/>
  <c r="C244" i="4"/>
  <c r="C250" i="5"/>
  <c r="D244" i="4"/>
  <c r="E250" i="5"/>
  <c r="H244" i="4"/>
  <c r="K250" i="5"/>
  <c r="L244" i="4"/>
  <c r="Q250" i="5"/>
  <c r="M244" i="4"/>
  <c r="R250" i="5"/>
  <c r="T250" i="5"/>
  <c r="O244" i="4"/>
  <c r="U250" i="5"/>
  <c r="P244" i="4"/>
  <c r="W250" i="5"/>
  <c r="Q244" i="4"/>
  <c r="X250" i="5"/>
  <c r="S244" i="4"/>
  <c r="AA250" i="5"/>
  <c r="AI244" i="4"/>
  <c r="T244" i="4" a="1"/>
  <c r="T244" i="4"/>
  <c r="AC250" i="5"/>
  <c r="U244" i="4" a="1"/>
  <c r="U244" i="4"/>
  <c r="AD250" i="5"/>
  <c r="X244" i="4"/>
  <c r="AI250" i="5"/>
  <c r="Y244" i="4"/>
  <c r="AJ250" i="5"/>
  <c r="Z244" i="4"/>
  <c r="AL250" i="5"/>
  <c r="F250" i="5"/>
  <c r="H250" i="5"/>
  <c r="I250" i="5"/>
  <c r="L250" i="5"/>
  <c r="N250" i="5"/>
  <c r="O250" i="5"/>
  <c r="Z250" i="5"/>
  <c r="AN250" i="5"/>
  <c r="AG251" i="5"/>
  <c r="AF251" i="5"/>
  <c r="B300" i="4"/>
  <c r="C300" i="4"/>
  <c r="C251" i="5"/>
  <c r="D300" i="4"/>
  <c r="E251" i="5"/>
  <c r="H300" i="4"/>
  <c r="K251" i="5"/>
  <c r="L300" i="4"/>
  <c r="Q251" i="5"/>
  <c r="M300" i="4"/>
  <c r="R251" i="5"/>
  <c r="T251" i="5"/>
  <c r="O300" i="4"/>
  <c r="U251" i="5"/>
  <c r="P300" i="4"/>
  <c r="W251" i="5"/>
  <c r="Q300" i="4"/>
  <c r="X251" i="5"/>
  <c r="S300" i="4"/>
  <c r="AA251" i="5"/>
  <c r="AI300" i="4"/>
  <c r="T300" i="4" a="1"/>
  <c r="T300" i="4"/>
  <c r="AC251" i="5"/>
  <c r="U300" i="4" a="1"/>
  <c r="U300" i="4"/>
  <c r="AD251" i="5"/>
  <c r="X300" i="4"/>
  <c r="AI251" i="5"/>
  <c r="Y300" i="4"/>
  <c r="AJ251" i="5"/>
  <c r="Z300" i="4"/>
  <c r="AL251" i="5"/>
  <c r="F251" i="5"/>
  <c r="H251" i="5"/>
  <c r="I251" i="5"/>
  <c r="L251" i="5"/>
  <c r="N251" i="5"/>
  <c r="O251" i="5"/>
  <c r="Z251" i="5"/>
  <c r="AN251" i="5"/>
  <c r="AG252" i="5"/>
  <c r="AF252" i="5"/>
  <c r="B247" i="4"/>
  <c r="C247" i="4"/>
  <c r="C252" i="5"/>
  <c r="D247" i="4"/>
  <c r="E252" i="5"/>
  <c r="K252" i="5"/>
  <c r="L247" i="4"/>
  <c r="Q252" i="5"/>
  <c r="M247" i="4"/>
  <c r="R252" i="5"/>
  <c r="T252" i="5"/>
  <c r="O247" i="4"/>
  <c r="U252" i="5"/>
  <c r="P247" i="4"/>
  <c r="W252" i="5"/>
  <c r="Q247" i="4"/>
  <c r="X252" i="5"/>
  <c r="S247" i="4"/>
  <c r="AA252" i="5"/>
  <c r="AI247" i="4"/>
  <c r="T247" i="4" a="1"/>
  <c r="T247" i="4"/>
  <c r="AC252" i="5"/>
  <c r="U247" i="4" a="1"/>
  <c r="U247" i="4"/>
  <c r="AD252" i="5"/>
  <c r="X247" i="4"/>
  <c r="AI252" i="5"/>
  <c r="Y247" i="4"/>
  <c r="AJ252" i="5"/>
  <c r="Z247" i="4"/>
  <c r="AL252" i="5"/>
  <c r="F252" i="5"/>
  <c r="H252" i="5"/>
  <c r="I252" i="5"/>
  <c r="L252" i="5"/>
  <c r="N252" i="5"/>
  <c r="O252" i="5"/>
  <c r="Z252" i="5"/>
  <c r="AN252" i="5"/>
  <c r="AG253" i="5"/>
  <c r="AF253" i="5"/>
  <c r="B40" i="4"/>
  <c r="C40" i="4"/>
  <c r="C253" i="5"/>
  <c r="D40" i="4"/>
  <c r="E253" i="5"/>
  <c r="K253" i="5"/>
  <c r="L40" i="4"/>
  <c r="Q253" i="5"/>
  <c r="M40" i="4"/>
  <c r="R253" i="5"/>
  <c r="T253" i="5"/>
  <c r="U253" i="5"/>
  <c r="P40" i="4"/>
  <c r="W253" i="5"/>
  <c r="Q40" i="4"/>
  <c r="X253" i="5"/>
  <c r="AA253" i="5"/>
  <c r="AI40" i="4"/>
  <c r="T40" i="4" a="1"/>
  <c r="T40" i="4"/>
  <c r="AC253" i="5"/>
  <c r="U40" i="4" a="1"/>
  <c r="U40" i="4"/>
  <c r="AD253" i="5"/>
  <c r="X40" i="4"/>
  <c r="AI253" i="5"/>
  <c r="Y40" i="4"/>
  <c r="AJ253" i="5"/>
  <c r="Z40" i="4"/>
  <c r="AL253" i="5"/>
  <c r="F253" i="5"/>
  <c r="H253" i="5"/>
  <c r="I253" i="5"/>
  <c r="L253" i="5"/>
  <c r="N253" i="5"/>
  <c r="O253" i="5"/>
  <c r="Z253" i="5"/>
  <c r="AN253" i="5"/>
  <c r="O254" i="5"/>
  <c r="K254" i="5"/>
  <c r="AG254" i="5"/>
  <c r="AF254" i="5"/>
  <c r="B2" i="4"/>
  <c r="C2" i="4"/>
  <c r="C254" i="5"/>
  <c r="D2" i="4"/>
  <c r="E254" i="5"/>
  <c r="I2" i="4"/>
  <c r="L254" i="5"/>
  <c r="J2" i="4"/>
  <c r="N254" i="5"/>
  <c r="L2" i="4"/>
  <c r="Q254" i="5"/>
  <c r="M2" i="4"/>
  <c r="R254" i="5"/>
  <c r="T254" i="5"/>
  <c r="U254" i="5"/>
  <c r="P2" i="4"/>
  <c r="W254" i="5"/>
  <c r="Q2" i="4"/>
  <c r="X254" i="5"/>
  <c r="S2" i="4"/>
  <c r="AA254" i="5"/>
  <c r="AI2" i="4"/>
  <c r="T2" i="4" a="1"/>
  <c r="T2" i="4"/>
  <c r="AC254" i="5"/>
  <c r="U2" i="4" a="1"/>
  <c r="U2" i="4"/>
  <c r="AD254" i="5"/>
  <c r="X2" i="4"/>
  <c r="AI254" i="5"/>
  <c r="Y2" i="4"/>
  <c r="AJ254" i="5"/>
  <c r="Z2" i="4"/>
  <c r="AL254" i="5"/>
  <c r="F254" i="5"/>
  <c r="H254" i="5"/>
  <c r="I254" i="5"/>
  <c r="Z254" i="5"/>
  <c r="AN254" i="5"/>
  <c r="AG255" i="5"/>
  <c r="AF255" i="5"/>
  <c r="C125" i="4"/>
  <c r="C255" i="5"/>
  <c r="T255" i="5"/>
  <c r="U255" i="5"/>
  <c r="P125" i="4"/>
  <c r="W255" i="5"/>
  <c r="Q125" i="4"/>
  <c r="X255" i="5"/>
  <c r="AA255" i="5"/>
  <c r="AI125" i="4"/>
  <c r="T125" i="4" a="1"/>
  <c r="T125" i="4"/>
  <c r="AC255" i="5"/>
  <c r="U125" i="4" a="1"/>
  <c r="U125" i="4"/>
  <c r="AD255" i="5"/>
  <c r="X125" i="4"/>
  <c r="AI255" i="5"/>
  <c r="Y125" i="4"/>
  <c r="AJ255" i="5"/>
  <c r="Z125" i="4"/>
  <c r="AL255" i="5"/>
  <c r="Z255" i="5"/>
  <c r="AN255" i="5"/>
  <c r="O256" i="5"/>
  <c r="B278" i="4"/>
  <c r="H278" i="4"/>
  <c r="K256" i="5"/>
  <c r="AG256" i="5"/>
  <c r="AF256" i="5"/>
  <c r="C278" i="4"/>
  <c r="C256" i="5"/>
  <c r="D278" i="4"/>
  <c r="E256" i="5"/>
  <c r="I278" i="4"/>
  <c r="L256" i="5"/>
  <c r="J278" i="4"/>
  <c r="N256" i="5"/>
  <c r="L278" i="4"/>
  <c r="Q256" i="5"/>
  <c r="M278" i="4"/>
  <c r="R256" i="5"/>
  <c r="T256" i="5"/>
  <c r="O278" i="4"/>
  <c r="U256" i="5"/>
  <c r="P278" i="4"/>
  <c r="W256" i="5"/>
  <c r="Q278" i="4"/>
  <c r="X256" i="5"/>
  <c r="AA256" i="5"/>
  <c r="AI278" i="4"/>
  <c r="T278" i="4" a="1"/>
  <c r="T278" i="4"/>
  <c r="AC256" i="5"/>
  <c r="U278" i="4" a="1"/>
  <c r="U278" i="4"/>
  <c r="AD256" i="5"/>
  <c r="X278" i="4"/>
  <c r="AI256" i="5"/>
  <c r="Y278" i="4"/>
  <c r="AJ256" i="5"/>
  <c r="Z278" i="4"/>
  <c r="AL256" i="5"/>
  <c r="F256" i="5"/>
  <c r="H256" i="5"/>
  <c r="I256" i="5"/>
  <c r="Z256" i="5"/>
  <c r="AN256" i="5"/>
  <c r="AG257" i="5"/>
  <c r="AF257" i="5"/>
  <c r="B176" i="4"/>
  <c r="C176" i="4"/>
  <c r="C257" i="5"/>
  <c r="D176" i="4"/>
  <c r="E257" i="5"/>
  <c r="H176" i="4"/>
  <c r="K257" i="5"/>
  <c r="L176" i="4"/>
  <c r="Q257" i="5"/>
  <c r="M176" i="4"/>
  <c r="R257" i="5"/>
  <c r="T257" i="5"/>
  <c r="O176" i="4"/>
  <c r="U257" i="5"/>
  <c r="W257" i="5"/>
  <c r="Q176" i="4"/>
  <c r="X257" i="5"/>
  <c r="AA257" i="5"/>
  <c r="AI176" i="4"/>
  <c r="T176" i="4" a="1"/>
  <c r="T176" i="4"/>
  <c r="AC257" i="5"/>
  <c r="U176" i="4" a="1"/>
  <c r="U176" i="4"/>
  <c r="AD257" i="5"/>
  <c r="X176" i="4"/>
  <c r="AI257" i="5"/>
  <c r="Y176" i="4"/>
  <c r="AJ257" i="5"/>
  <c r="Z176" i="4"/>
  <c r="AL257" i="5"/>
  <c r="F257" i="5"/>
  <c r="H257" i="5"/>
  <c r="I257" i="5"/>
  <c r="L257" i="5"/>
  <c r="N257" i="5"/>
  <c r="O257" i="5"/>
  <c r="Z257" i="5"/>
  <c r="AN257" i="5"/>
  <c r="AG258" i="5"/>
  <c r="AF258" i="5"/>
  <c r="B53" i="4"/>
  <c r="C53" i="4"/>
  <c r="C258" i="5"/>
  <c r="D53" i="4"/>
  <c r="E258" i="5"/>
  <c r="K258" i="5"/>
  <c r="L53" i="4"/>
  <c r="Q258" i="5"/>
  <c r="M53" i="4"/>
  <c r="R258" i="5"/>
  <c r="T258" i="5"/>
  <c r="U258" i="5"/>
  <c r="W258" i="5"/>
  <c r="Q53" i="4"/>
  <c r="X258" i="5"/>
  <c r="AA258" i="5"/>
  <c r="AI53" i="4"/>
  <c r="T53" i="4" a="1"/>
  <c r="T53" i="4"/>
  <c r="AC258" i="5"/>
  <c r="U53" i="4" a="1"/>
  <c r="U53" i="4"/>
  <c r="AD258" i="5"/>
  <c r="X53" i="4"/>
  <c r="AI258" i="5"/>
  <c r="Y53" i="4"/>
  <c r="AJ258" i="5"/>
  <c r="Z53" i="4"/>
  <c r="AL258" i="5"/>
  <c r="F258" i="5"/>
  <c r="H258" i="5"/>
  <c r="I258" i="5"/>
  <c r="L258" i="5"/>
  <c r="N258" i="5"/>
  <c r="O258" i="5"/>
  <c r="Z258" i="5"/>
  <c r="AN258" i="5"/>
  <c r="AG259" i="5"/>
  <c r="AF259" i="5"/>
  <c r="B220" i="4"/>
  <c r="C220" i="4"/>
  <c r="C259" i="5"/>
  <c r="D220" i="4"/>
  <c r="E259" i="5"/>
  <c r="H220" i="4"/>
  <c r="K259" i="5"/>
  <c r="L220" i="4"/>
  <c r="Q259" i="5"/>
  <c r="M220" i="4"/>
  <c r="R259" i="5"/>
  <c r="T259" i="5"/>
  <c r="O220" i="4"/>
  <c r="U259" i="5"/>
  <c r="P220" i="4"/>
  <c r="W259" i="5"/>
  <c r="Q220" i="4"/>
  <c r="X259" i="5"/>
  <c r="S220" i="4"/>
  <c r="AA259" i="5"/>
  <c r="AI220" i="4"/>
  <c r="T220" i="4" a="1"/>
  <c r="T220" i="4"/>
  <c r="AC259" i="5"/>
  <c r="U220" i="4" a="1"/>
  <c r="U220" i="4"/>
  <c r="AD259" i="5"/>
  <c r="X220" i="4"/>
  <c r="AI259" i="5"/>
  <c r="Y220" i="4"/>
  <c r="AJ259" i="5"/>
  <c r="Z220" i="4"/>
  <c r="AL259" i="5"/>
  <c r="F259" i="5"/>
  <c r="H259" i="5"/>
  <c r="I259" i="5"/>
  <c r="L259" i="5"/>
  <c r="N259" i="5"/>
  <c r="O259" i="5"/>
  <c r="Z259" i="5"/>
  <c r="AN259" i="5"/>
  <c r="AG260" i="5"/>
  <c r="AF260" i="5"/>
  <c r="C43" i="4"/>
  <c r="C260" i="5"/>
  <c r="T260" i="5"/>
  <c r="U260" i="5"/>
  <c r="P43" i="4"/>
  <c r="W260" i="5"/>
  <c r="Q43" i="4"/>
  <c r="X260" i="5"/>
  <c r="S43" i="4"/>
  <c r="AA260" i="5"/>
  <c r="AI43" i="4"/>
  <c r="T43" i="4" a="1"/>
  <c r="T43" i="4"/>
  <c r="AC260" i="5"/>
  <c r="U43" i="4" a="1"/>
  <c r="U43" i="4"/>
  <c r="AD260" i="5"/>
  <c r="X43" i="4"/>
  <c r="AI260" i="5"/>
  <c r="Y43" i="4"/>
  <c r="AJ260" i="5"/>
  <c r="Z43" i="4"/>
  <c r="AL260" i="5"/>
  <c r="F260" i="5"/>
  <c r="H260" i="5"/>
  <c r="I260" i="5"/>
  <c r="L260" i="5"/>
  <c r="N260" i="5"/>
  <c r="O260" i="5"/>
  <c r="Z260" i="5"/>
  <c r="AN260" i="5"/>
  <c r="AG261" i="5"/>
  <c r="AF261" i="5"/>
  <c r="C26" i="4"/>
  <c r="C261" i="5"/>
  <c r="T261" i="5"/>
  <c r="U261" i="5"/>
  <c r="P26" i="4"/>
  <c r="W261" i="5"/>
  <c r="Q26" i="4"/>
  <c r="X261" i="5"/>
  <c r="S26" i="4"/>
  <c r="AA261" i="5"/>
  <c r="AI26" i="4"/>
  <c r="T26" i="4" a="1"/>
  <c r="T26" i="4"/>
  <c r="AC261" i="5"/>
  <c r="U26" i="4" a="1"/>
  <c r="U26" i="4"/>
  <c r="AD261" i="5"/>
  <c r="X26" i="4"/>
  <c r="AI261" i="5"/>
  <c r="Y26" i="4"/>
  <c r="AJ261" i="5"/>
  <c r="Z26" i="4"/>
  <c r="AL261" i="5"/>
  <c r="F261" i="5"/>
  <c r="H261" i="5"/>
  <c r="I261" i="5"/>
  <c r="L261" i="5"/>
  <c r="N261" i="5"/>
  <c r="O261" i="5"/>
  <c r="Z261" i="5"/>
  <c r="AN261" i="5"/>
  <c r="AG262" i="5"/>
  <c r="AF262" i="5"/>
  <c r="B28" i="4"/>
  <c r="C28" i="4"/>
  <c r="C262" i="5"/>
  <c r="D28" i="4"/>
  <c r="E262" i="5"/>
  <c r="K262" i="5"/>
  <c r="L28" i="4"/>
  <c r="Q262" i="5"/>
  <c r="M28" i="4"/>
  <c r="R262" i="5"/>
  <c r="N28" i="4"/>
  <c r="T262" i="5"/>
  <c r="O28" i="4"/>
  <c r="U262" i="5"/>
  <c r="P28" i="4"/>
  <c r="W262" i="5"/>
  <c r="Q28" i="4"/>
  <c r="X262" i="5"/>
  <c r="S28" i="4"/>
  <c r="AA262" i="5"/>
  <c r="X28" i="4"/>
  <c r="AI262" i="5"/>
  <c r="Y28" i="4"/>
  <c r="AJ262" i="5"/>
  <c r="Z28" i="4"/>
  <c r="AL262" i="5"/>
  <c r="F262" i="5"/>
  <c r="H262" i="5"/>
  <c r="I262" i="5"/>
  <c r="L262" i="5"/>
  <c r="N262" i="5"/>
  <c r="O262" i="5"/>
  <c r="Z262" i="5"/>
  <c r="AN262" i="5"/>
  <c r="AG263" i="5"/>
  <c r="AF263" i="5"/>
  <c r="C35" i="4"/>
  <c r="C263" i="5"/>
  <c r="D35" i="4"/>
  <c r="E263" i="5"/>
  <c r="K263" i="5"/>
  <c r="L35" i="4"/>
  <c r="Q263" i="5"/>
  <c r="M35" i="4"/>
  <c r="R263" i="5"/>
  <c r="T263" i="5"/>
  <c r="U263" i="5"/>
  <c r="P35" i="4"/>
  <c r="W263" i="5"/>
  <c r="Q35" i="4"/>
  <c r="X263" i="5"/>
  <c r="S35" i="4"/>
  <c r="AA263" i="5"/>
  <c r="AI35" i="4"/>
  <c r="T35" i="4" a="1"/>
  <c r="T35" i="4"/>
  <c r="AC263" i="5"/>
  <c r="U35" i="4" a="1"/>
  <c r="U35" i="4"/>
  <c r="AD263" i="5"/>
  <c r="X35" i="4"/>
  <c r="AI263" i="5"/>
  <c r="Y35" i="4"/>
  <c r="AJ263" i="5"/>
  <c r="Z35" i="4"/>
  <c r="AL263" i="5"/>
  <c r="F263" i="5"/>
  <c r="H263" i="5"/>
  <c r="I263" i="5"/>
  <c r="L263" i="5"/>
  <c r="N263" i="5"/>
  <c r="O263" i="5"/>
  <c r="Z263" i="5"/>
  <c r="AN263" i="5"/>
  <c r="AG264" i="5"/>
  <c r="AF264" i="5"/>
  <c r="C253" i="4"/>
  <c r="C264" i="5"/>
  <c r="N253" i="4"/>
  <c r="T264" i="5"/>
  <c r="O253" i="4"/>
  <c r="U264" i="5"/>
  <c r="P253" i="4"/>
  <c r="W264" i="5"/>
  <c r="Q253" i="4"/>
  <c r="X264" i="5"/>
  <c r="AA264" i="5"/>
  <c r="AI253" i="4"/>
  <c r="T253" i="4" a="1"/>
  <c r="T253" i="4"/>
  <c r="AC264" i="5"/>
  <c r="U253" i="4" a="1"/>
  <c r="U253" i="4"/>
  <c r="AD264" i="5"/>
  <c r="X253" i="4"/>
  <c r="AI264" i="5"/>
  <c r="Y253" i="4"/>
  <c r="AJ264" i="5"/>
  <c r="Z253" i="4"/>
  <c r="AL264" i="5"/>
  <c r="F264" i="5"/>
  <c r="H264" i="5"/>
  <c r="I264" i="5"/>
  <c r="L264" i="5"/>
  <c r="N264" i="5"/>
  <c r="O264" i="5"/>
  <c r="Z264" i="5"/>
  <c r="AN264" i="5"/>
  <c r="O265" i="5"/>
  <c r="K265" i="5"/>
  <c r="AG265" i="5"/>
  <c r="AF265" i="5"/>
  <c r="B4" i="4"/>
  <c r="C4" i="4"/>
  <c r="C265" i="5"/>
  <c r="D4" i="4"/>
  <c r="E265" i="5"/>
  <c r="E4" i="4"/>
  <c r="F265" i="5"/>
  <c r="F4" i="4"/>
  <c r="H265" i="5"/>
  <c r="I265" i="5"/>
  <c r="I4" i="4"/>
  <c r="L265" i="5"/>
  <c r="J4" i="4"/>
  <c r="N265" i="5"/>
  <c r="L4" i="4"/>
  <c r="Q265" i="5"/>
  <c r="M4" i="4"/>
  <c r="R265" i="5"/>
  <c r="N4" i="4"/>
  <c r="T265" i="5"/>
  <c r="U265" i="5"/>
  <c r="P4" i="4"/>
  <c r="W265" i="5"/>
  <c r="Q4" i="4"/>
  <c r="X265" i="5"/>
  <c r="AA265" i="5"/>
  <c r="AI4" i="4"/>
  <c r="T4" i="4" a="1"/>
  <c r="T4" i="4"/>
  <c r="AC265" i="5"/>
  <c r="U4" i="4" a="1"/>
  <c r="U4" i="4"/>
  <c r="AD265" i="5"/>
  <c r="AI265" i="5"/>
  <c r="Y4" i="4"/>
  <c r="AJ265" i="5"/>
  <c r="Z4" i="4"/>
  <c r="AL265" i="5"/>
  <c r="Z265" i="5"/>
  <c r="AN265" i="5"/>
  <c r="AG266" i="5"/>
  <c r="AF266" i="5"/>
  <c r="B95" i="4"/>
  <c r="C95" i="4"/>
  <c r="C266" i="5"/>
  <c r="D95" i="4"/>
  <c r="E266" i="5"/>
  <c r="H95" i="4"/>
  <c r="K266" i="5"/>
  <c r="I95" i="4"/>
  <c r="L266" i="5"/>
  <c r="J95" i="4"/>
  <c r="N266" i="5"/>
  <c r="O266" i="5"/>
  <c r="L95" i="4"/>
  <c r="Q266" i="5"/>
  <c r="M95" i="4"/>
  <c r="R266" i="5"/>
  <c r="N95" i="4"/>
  <c r="T266" i="5"/>
  <c r="O95" i="4"/>
  <c r="U266" i="5"/>
  <c r="P95" i="4"/>
  <c r="W266" i="5"/>
  <c r="Q95" i="4"/>
  <c r="X266" i="5"/>
  <c r="S95" i="4"/>
  <c r="AA266" i="5"/>
  <c r="AI95" i="4"/>
  <c r="T95" i="4" a="1"/>
  <c r="T95" i="4"/>
  <c r="AC266" i="5"/>
  <c r="U95" i="4" a="1"/>
  <c r="U95" i="4"/>
  <c r="AD266" i="5"/>
  <c r="X95" i="4"/>
  <c r="AI266" i="5"/>
  <c r="Y95" i="4"/>
  <c r="AJ266" i="5"/>
  <c r="Z95" i="4"/>
  <c r="AL266" i="5"/>
  <c r="F266" i="5"/>
  <c r="H266" i="5"/>
  <c r="I266" i="5"/>
  <c r="Z266" i="5"/>
  <c r="AN266" i="5"/>
  <c r="AG267" i="5"/>
  <c r="AF267" i="5"/>
  <c r="B21" i="4"/>
  <c r="C21" i="4"/>
  <c r="C267" i="5"/>
  <c r="D21" i="4"/>
  <c r="E267" i="5"/>
  <c r="K267" i="5"/>
  <c r="I21" i="4"/>
  <c r="L267" i="5"/>
  <c r="J21" i="4"/>
  <c r="N267" i="5"/>
  <c r="O267" i="5"/>
  <c r="L21" i="4"/>
  <c r="Q267" i="5"/>
  <c r="M21" i="4"/>
  <c r="R267" i="5"/>
  <c r="N21" i="4"/>
  <c r="T267" i="5"/>
  <c r="U267" i="5"/>
  <c r="P21" i="4"/>
  <c r="W267" i="5"/>
  <c r="Q21" i="4"/>
  <c r="X267" i="5"/>
  <c r="S21" i="4"/>
  <c r="AA267" i="5"/>
  <c r="AI21" i="4"/>
  <c r="T21" i="4" a="1"/>
  <c r="T21" i="4"/>
  <c r="AC267" i="5"/>
  <c r="U21" i="4" a="1"/>
  <c r="U21" i="4"/>
  <c r="AD267" i="5"/>
  <c r="X21" i="4"/>
  <c r="AI267" i="5"/>
  <c r="Y21" i="4"/>
  <c r="AJ267" i="5"/>
  <c r="Z21" i="4"/>
  <c r="AL267" i="5"/>
  <c r="F267" i="5"/>
  <c r="H267" i="5"/>
  <c r="I267" i="5"/>
  <c r="Z267" i="5"/>
  <c r="AN267" i="5"/>
  <c r="AG268" i="5"/>
  <c r="AF268" i="5"/>
  <c r="B22" i="4"/>
  <c r="C22" i="4"/>
  <c r="C268" i="5"/>
  <c r="D22" i="4"/>
  <c r="E268" i="5"/>
  <c r="K268" i="5"/>
  <c r="L22" i="4"/>
  <c r="Q268" i="5"/>
  <c r="M22" i="4"/>
  <c r="R268" i="5"/>
  <c r="N22" i="4"/>
  <c r="T268" i="5"/>
  <c r="U268" i="5"/>
  <c r="P22" i="4"/>
  <c r="W268" i="5"/>
  <c r="Q22" i="4"/>
  <c r="X268" i="5"/>
  <c r="S22" i="4"/>
  <c r="AA268" i="5"/>
  <c r="AI22" i="4"/>
  <c r="T22" i="4" a="1"/>
  <c r="T22" i="4"/>
  <c r="AC268" i="5"/>
  <c r="U22" i="4" a="1"/>
  <c r="U22" i="4"/>
  <c r="AD268" i="5"/>
  <c r="X22" i="4"/>
  <c r="AI268" i="5"/>
  <c r="Y22" i="4"/>
  <c r="AJ268" i="5"/>
  <c r="Z22" i="4"/>
  <c r="AL268" i="5"/>
  <c r="F268" i="5"/>
  <c r="L268" i="5"/>
  <c r="N268" i="5"/>
  <c r="O268" i="5"/>
  <c r="H268" i="5"/>
  <c r="I268" i="5"/>
  <c r="Z268" i="5"/>
  <c r="AN268" i="5"/>
  <c r="AG269" i="5"/>
  <c r="AF269" i="5"/>
  <c r="B142" i="4"/>
  <c r="C142" i="4"/>
  <c r="C269" i="5"/>
  <c r="D142" i="4"/>
  <c r="E269" i="5"/>
  <c r="E142" i="4"/>
  <c r="F269" i="5"/>
  <c r="F142" i="4"/>
  <c r="H269" i="5"/>
  <c r="I269" i="5"/>
  <c r="H142" i="4"/>
  <c r="K269" i="5"/>
  <c r="L142" i="4"/>
  <c r="Q269" i="5"/>
  <c r="M142" i="4"/>
  <c r="R269" i="5"/>
  <c r="N142" i="4"/>
  <c r="T269" i="5"/>
  <c r="O142" i="4"/>
  <c r="U269" i="5"/>
  <c r="P142" i="4"/>
  <c r="W269" i="5"/>
  <c r="Q142" i="4"/>
  <c r="X269" i="5"/>
  <c r="S142" i="4"/>
  <c r="AA269" i="5"/>
  <c r="AI142" i="4"/>
  <c r="T142" i="4" a="1"/>
  <c r="T142" i="4"/>
  <c r="AC269" i="5"/>
  <c r="U142" i="4" a="1"/>
  <c r="U142" i="4"/>
  <c r="AD269" i="5"/>
  <c r="X142" i="4"/>
  <c r="AI269" i="5"/>
  <c r="Y142" i="4"/>
  <c r="AJ269" i="5"/>
  <c r="Z142" i="4"/>
  <c r="AL269" i="5"/>
  <c r="L269" i="5"/>
  <c r="N269" i="5"/>
  <c r="O269" i="5"/>
  <c r="Z269" i="5"/>
  <c r="AN269" i="5"/>
  <c r="O270" i="5"/>
  <c r="H301" i="4"/>
  <c r="K270" i="5"/>
  <c r="AG270" i="5"/>
  <c r="AF270" i="5"/>
  <c r="C301" i="4"/>
  <c r="C270" i="5"/>
  <c r="D301" i="4"/>
  <c r="E270" i="5"/>
  <c r="I301" i="4"/>
  <c r="L270" i="5"/>
  <c r="J301" i="4"/>
  <c r="N270" i="5"/>
  <c r="L301" i="4"/>
  <c r="Q270" i="5"/>
  <c r="M301" i="4"/>
  <c r="R270" i="5"/>
  <c r="T270" i="5"/>
  <c r="O301" i="4"/>
  <c r="U270" i="5"/>
  <c r="P301" i="4"/>
  <c r="W270" i="5"/>
  <c r="Q301" i="4"/>
  <c r="X270" i="5"/>
  <c r="S301" i="4"/>
  <c r="AA270" i="5"/>
  <c r="AI301" i="4"/>
  <c r="T301" i="4" a="1"/>
  <c r="T301" i="4"/>
  <c r="AC270" i="5"/>
  <c r="U301" i="4" a="1"/>
  <c r="U301" i="4"/>
  <c r="AD270" i="5"/>
  <c r="X301" i="4"/>
  <c r="AI270" i="5"/>
  <c r="Y301" i="4"/>
  <c r="AJ270" i="5"/>
  <c r="Z301" i="4"/>
  <c r="AL270" i="5"/>
  <c r="F270" i="5"/>
  <c r="H270" i="5"/>
  <c r="I270" i="5"/>
  <c r="Z270" i="5"/>
  <c r="AN270" i="5"/>
  <c r="B12" i="4"/>
  <c r="S12" i="4"/>
  <c r="AA271" i="5"/>
  <c r="P12" i="4"/>
  <c r="W271" i="5"/>
  <c r="AG271" i="5"/>
  <c r="AF271" i="5"/>
  <c r="C12" i="4"/>
  <c r="C271" i="5"/>
  <c r="D12" i="4"/>
  <c r="E271" i="5"/>
  <c r="E12" i="4"/>
  <c r="F271" i="5"/>
  <c r="F12" i="4"/>
  <c r="H271" i="5"/>
  <c r="I271" i="5"/>
  <c r="K271" i="5"/>
  <c r="L12" i="4"/>
  <c r="Q271" i="5"/>
  <c r="M12" i="4"/>
  <c r="R271" i="5"/>
  <c r="T271" i="5"/>
  <c r="U271" i="5"/>
  <c r="Q12" i="4"/>
  <c r="X271" i="5"/>
  <c r="R12" i="4"/>
  <c r="Z271" i="5"/>
  <c r="AI12" i="4"/>
  <c r="T12" i="4" a="1"/>
  <c r="T12" i="4"/>
  <c r="AC271" i="5"/>
  <c r="U12" i="4" a="1"/>
  <c r="U12" i="4"/>
  <c r="AD271" i="5"/>
  <c r="X12" i="4"/>
  <c r="AI271" i="5"/>
  <c r="Y12" i="4"/>
  <c r="AJ271" i="5"/>
  <c r="Z12" i="4"/>
  <c r="AL271" i="5"/>
  <c r="L271" i="5"/>
  <c r="N271" i="5"/>
  <c r="O271" i="5"/>
  <c r="AN271" i="5"/>
  <c r="B303" i="4"/>
  <c r="S303" i="4"/>
  <c r="AA272" i="5"/>
  <c r="P303" i="4"/>
  <c r="W272" i="5"/>
  <c r="AG272" i="5"/>
  <c r="AF272" i="5"/>
  <c r="C303" i="4"/>
  <c r="C272" i="5"/>
  <c r="D303" i="4"/>
  <c r="E272" i="5"/>
  <c r="E303" i="4"/>
  <c r="F272" i="5"/>
  <c r="F303" i="4"/>
  <c r="H272" i="5"/>
  <c r="I272" i="5"/>
  <c r="K272" i="5"/>
  <c r="L303" i="4"/>
  <c r="Q272" i="5"/>
  <c r="O303" i="4"/>
  <c r="U272" i="5"/>
  <c r="Q303" i="4"/>
  <c r="X272" i="5"/>
  <c r="R303" i="4"/>
  <c r="Z272" i="5"/>
  <c r="AI303" i="4"/>
  <c r="T303" i="4" a="1"/>
  <c r="T303" i="4"/>
  <c r="AC272" i="5"/>
  <c r="U303" i="4" a="1"/>
  <c r="U303" i="4"/>
  <c r="AD272" i="5"/>
  <c r="X303" i="4"/>
  <c r="AI272" i="5"/>
  <c r="Y303" i="4"/>
  <c r="AJ272" i="5"/>
  <c r="Z303" i="4"/>
  <c r="AL272" i="5"/>
  <c r="L272" i="5"/>
  <c r="N272" i="5"/>
  <c r="O272" i="5"/>
  <c r="R272" i="5"/>
  <c r="AN272" i="5"/>
  <c r="O273" i="5"/>
  <c r="H266" i="4"/>
  <c r="K273" i="5"/>
  <c r="AG273" i="5"/>
  <c r="AF273" i="5"/>
  <c r="C266" i="4"/>
  <c r="C273" i="5"/>
  <c r="D266" i="4"/>
  <c r="E273" i="5"/>
  <c r="E266" i="4"/>
  <c r="F273" i="5"/>
  <c r="F266" i="4"/>
  <c r="H273" i="5"/>
  <c r="I273" i="5"/>
  <c r="I266" i="4"/>
  <c r="L273" i="5"/>
  <c r="J266" i="4"/>
  <c r="N273" i="5"/>
  <c r="L266" i="4"/>
  <c r="Q273" i="5"/>
  <c r="M266" i="4"/>
  <c r="R273" i="5"/>
  <c r="N266" i="4"/>
  <c r="T273" i="5"/>
  <c r="O266" i="4"/>
  <c r="U273" i="5"/>
  <c r="P266" i="4"/>
  <c r="W273" i="5"/>
  <c r="Q266" i="4"/>
  <c r="X273" i="5"/>
  <c r="S266" i="4"/>
  <c r="AA273" i="5"/>
  <c r="AI266" i="4"/>
  <c r="T266" i="4" a="1"/>
  <c r="T266" i="4"/>
  <c r="AC273" i="5"/>
  <c r="U266" i="4" a="1"/>
  <c r="U266" i="4"/>
  <c r="AD273" i="5"/>
  <c r="X266" i="4"/>
  <c r="AI273" i="5"/>
  <c r="Y266" i="4"/>
  <c r="AJ273" i="5"/>
  <c r="Z266" i="4"/>
  <c r="AL273" i="5"/>
  <c r="Z273" i="5"/>
  <c r="AN273" i="5"/>
  <c r="O274" i="5"/>
  <c r="B267" i="4"/>
  <c r="H267" i="4"/>
  <c r="K274" i="5"/>
  <c r="AG274" i="5"/>
  <c r="AF274" i="5"/>
  <c r="C267" i="4"/>
  <c r="C274" i="5"/>
  <c r="D267" i="4"/>
  <c r="E274" i="5"/>
  <c r="E267" i="4"/>
  <c r="F274" i="5"/>
  <c r="F267" i="4"/>
  <c r="H274" i="5"/>
  <c r="I274" i="5"/>
  <c r="I267" i="4"/>
  <c r="L274" i="5"/>
  <c r="J267" i="4"/>
  <c r="N274" i="5"/>
  <c r="L267" i="4"/>
  <c r="Q274" i="5"/>
  <c r="M267" i="4"/>
  <c r="R274" i="5"/>
  <c r="T274" i="5"/>
  <c r="O267" i="4"/>
  <c r="U274" i="5"/>
  <c r="W274" i="5"/>
  <c r="Q267" i="4"/>
  <c r="X274" i="5"/>
  <c r="AA274" i="5"/>
  <c r="AI267" i="4"/>
  <c r="T267" i="4" a="1"/>
  <c r="T267" i="4"/>
  <c r="AC274" i="5"/>
  <c r="U267" i="4" a="1"/>
  <c r="U267" i="4"/>
  <c r="AD274" i="5"/>
  <c r="X267" i="4"/>
  <c r="AI274" i="5"/>
  <c r="Y267" i="4"/>
  <c r="AJ274" i="5"/>
  <c r="Z267" i="4"/>
  <c r="AL274" i="5"/>
  <c r="Z274" i="5"/>
  <c r="AN274" i="5"/>
  <c r="AG275" i="5"/>
  <c r="AF275" i="5"/>
  <c r="B275" i="4"/>
  <c r="C275" i="4"/>
  <c r="C275" i="5"/>
  <c r="D275" i="4"/>
  <c r="E275" i="5"/>
  <c r="H275" i="4"/>
  <c r="K275" i="5"/>
  <c r="L275" i="4"/>
  <c r="Q275" i="5"/>
  <c r="M275" i="4"/>
  <c r="R275" i="5"/>
  <c r="T275" i="5"/>
  <c r="O275" i="4"/>
  <c r="U275" i="5"/>
  <c r="P275" i="4"/>
  <c r="W275" i="5"/>
  <c r="Q275" i="4"/>
  <c r="X275" i="5"/>
  <c r="S275" i="4"/>
  <c r="AA275" i="5"/>
  <c r="AI275" i="4"/>
  <c r="T275" i="4" a="1"/>
  <c r="T275" i="4"/>
  <c r="AC275" i="5"/>
  <c r="U275" i="4" a="1"/>
  <c r="U275" i="4"/>
  <c r="AD275" i="5"/>
  <c r="X275" i="4"/>
  <c r="AI275" i="5"/>
  <c r="Y275" i="4"/>
  <c r="AJ275" i="5"/>
  <c r="Z275" i="4"/>
  <c r="AL275" i="5"/>
  <c r="F275" i="5"/>
  <c r="L275" i="5"/>
  <c r="N275" i="5"/>
  <c r="O275" i="5"/>
  <c r="H275" i="5"/>
  <c r="I275" i="5"/>
  <c r="Z275" i="5"/>
  <c r="AN275" i="5"/>
  <c r="O276" i="5"/>
  <c r="K276" i="5"/>
  <c r="AG276" i="5"/>
  <c r="AF276" i="5"/>
  <c r="C13" i="4"/>
  <c r="C276" i="5"/>
  <c r="D13" i="4"/>
  <c r="E276" i="5"/>
  <c r="L276" i="5"/>
  <c r="N276" i="5"/>
  <c r="L13" i="4"/>
  <c r="Q276" i="5"/>
  <c r="M13" i="4"/>
  <c r="R276" i="5"/>
  <c r="N13" i="4"/>
  <c r="T276" i="5"/>
  <c r="U276" i="5"/>
  <c r="P13" i="4"/>
  <c r="W276" i="5"/>
  <c r="X276" i="5"/>
  <c r="AA276" i="5"/>
  <c r="AI13" i="4"/>
  <c r="T13" i="4" a="1"/>
  <c r="T13" i="4"/>
  <c r="AC276" i="5"/>
  <c r="U13" i="4" a="1"/>
  <c r="U13" i="4"/>
  <c r="AD276" i="5"/>
  <c r="X13" i="4"/>
  <c r="AI276" i="5"/>
  <c r="Y13" i="4"/>
  <c r="AJ276" i="5"/>
  <c r="Z13" i="4"/>
  <c r="AL276" i="5"/>
  <c r="F276" i="5"/>
  <c r="H276" i="5"/>
  <c r="I276" i="5"/>
  <c r="Z276" i="5"/>
  <c r="AN276" i="5"/>
  <c r="AG277" i="5"/>
  <c r="AF277" i="5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I163" i="4"/>
  <c r="T163" i="4" a="1"/>
  <c r="T163" i="4"/>
  <c r="AC277" i="5"/>
  <c r="U163" i="4" a="1"/>
  <c r="U163" i="4"/>
  <c r="AD277" i="5"/>
  <c r="Y163" i="4"/>
  <c r="AJ277" i="5"/>
  <c r="Z163" i="4"/>
  <c r="AL277" i="5"/>
  <c r="F277" i="5"/>
  <c r="L277" i="5"/>
  <c r="N277" i="5"/>
  <c r="O277" i="5"/>
  <c r="H277" i="5"/>
  <c r="I277" i="5"/>
  <c r="Z277" i="5"/>
  <c r="AN277" i="5"/>
  <c r="O278" i="5"/>
  <c r="B276" i="4"/>
  <c r="H276" i="4"/>
  <c r="K278" i="5"/>
  <c r="AG278" i="5"/>
  <c r="AF278" i="5"/>
  <c r="C276" i="4"/>
  <c r="C278" i="5"/>
  <c r="D276" i="4"/>
  <c r="E278" i="5"/>
  <c r="E276" i="4"/>
  <c r="F278" i="5"/>
  <c r="F276" i="4"/>
  <c r="H278" i="5"/>
  <c r="I278" i="5"/>
  <c r="I276" i="4"/>
  <c r="L278" i="5"/>
  <c r="J276" i="4"/>
  <c r="N278" i="5"/>
  <c r="L276" i="4"/>
  <c r="Q278" i="5"/>
  <c r="M276" i="4"/>
  <c r="R278" i="5"/>
  <c r="N276" i="4"/>
  <c r="T278" i="5"/>
  <c r="O276" i="4"/>
  <c r="U278" i="5"/>
  <c r="P276" i="4"/>
  <c r="W278" i="5"/>
  <c r="Q276" i="4"/>
  <c r="X278" i="5"/>
  <c r="AA278" i="5"/>
  <c r="AI276" i="4"/>
  <c r="T276" i="4" a="1"/>
  <c r="T276" i="4"/>
  <c r="AC278" i="5"/>
  <c r="U276" i="4" a="1"/>
  <c r="U276" i="4"/>
  <c r="AD278" i="5"/>
  <c r="X276" i="4"/>
  <c r="AI278" i="5"/>
  <c r="Y276" i="4"/>
  <c r="AJ278" i="5"/>
  <c r="Z276" i="4"/>
  <c r="AL278" i="5"/>
  <c r="Z278" i="5"/>
  <c r="AN278" i="5"/>
  <c r="AG279" i="5"/>
  <c r="AF279" i="5"/>
  <c r="C165" i="4"/>
  <c r="C279" i="5"/>
  <c r="D165" i="4"/>
  <c r="E279" i="5"/>
  <c r="H165" i="4"/>
  <c r="K279" i="5"/>
  <c r="L165" i="4"/>
  <c r="Q279" i="5"/>
  <c r="M165" i="4"/>
  <c r="R279" i="5"/>
  <c r="N165" i="4"/>
  <c r="T279" i="5"/>
  <c r="U279" i="5"/>
  <c r="P165" i="4"/>
  <c r="W279" i="5"/>
  <c r="Q165" i="4"/>
  <c r="X279" i="5"/>
  <c r="AA279" i="5"/>
  <c r="AI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L279" i="5"/>
  <c r="N279" i="5"/>
  <c r="O279" i="5"/>
  <c r="F279" i="5"/>
  <c r="H279" i="5"/>
  <c r="I279" i="5"/>
  <c r="Z279" i="5"/>
  <c r="AN279" i="5"/>
  <c r="O280" i="5"/>
  <c r="K280" i="5"/>
  <c r="AG280" i="5"/>
  <c r="AF280" i="5"/>
  <c r="C259" i="4"/>
  <c r="C280" i="5"/>
  <c r="D259" i="4"/>
  <c r="E280" i="5"/>
  <c r="I259" i="4"/>
  <c r="L280" i="5"/>
  <c r="J259" i="4"/>
  <c r="N280" i="5"/>
  <c r="L259" i="4"/>
  <c r="Q280" i="5"/>
  <c r="M259" i="4"/>
  <c r="R280" i="5"/>
  <c r="N259" i="4"/>
  <c r="T280" i="5"/>
  <c r="O259" i="4"/>
  <c r="U280" i="5"/>
  <c r="P259" i="4"/>
  <c r="W280" i="5"/>
  <c r="Q259" i="4"/>
  <c r="X280" i="5"/>
  <c r="S259" i="4"/>
  <c r="AA280" i="5"/>
  <c r="AI259" i="4"/>
  <c r="T259" i="4" a="1"/>
  <c r="T259" i="4"/>
  <c r="AC280" i="5"/>
  <c r="U259" i="4" a="1"/>
  <c r="U259" i="4"/>
  <c r="AD280" i="5"/>
  <c r="AI280" i="5"/>
  <c r="Y259" i="4"/>
  <c r="AJ280" i="5"/>
  <c r="Z259" i="4"/>
  <c r="AL280" i="5"/>
  <c r="F280" i="5"/>
  <c r="H280" i="5"/>
  <c r="I280" i="5"/>
  <c r="Z280" i="5"/>
  <c r="AN280" i="5"/>
  <c r="AG281" i="5"/>
  <c r="AF281" i="5"/>
  <c r="B167" i="4"/>
  <c r="C167" i="4"/>
  <c r="C281" i="5"/>
  <c r="D167" i="4"/>
  <c r="E281" i="5"/>
  <c r="H167" i="4"/>
  <c r="K281" i="5"/>
  <c r="L167" i="4"/>
  <c r="Q281" i="5"/>
  <c r="M167" i="4"/>
  <c r="R281" i="5"/>
  <c r="T281" i="5"/>
  <c r="O167" i="4"/>
  <c r="U281" i="5"/>
  <c r="P167" i="4"/>
  <c r="W281" i="5"/>
  <c r="Q167" i="4"/>
  <c r="X281" i="5"/>
  <c r="S167" i="4"/>
  <c r="AA281" i="5"/>
  <c r="AI167" i="4"/>
  <c r="T167" i="4" a="1"/>
  <c r="T167" i="4"/>
  <c r="AC281" i="5"/>
  <c r="U167" i="4" a="1"/>
  <c r="U167" i="4"/>
  <c r="AD281" i="5"/>
  <c r="X167" i="4"/>
  <c r="AI281" i="5"/>
  <c r="Y167" i="4"/>
  <c r="AJ281" i="5"/>
  <c r="Z167" i="4"/>
  <c r="AL281" i="5"/>
  <c r="F281" i="5"/>
  <c r="H281" i="5"/>
  <c r="I281" i="5"/>
  <c r="L281" i="5"/>
  <c r="N281" i="5"/>
  <c r="O281" i="5"/>
  <c r="Z281" i="5"/>
  <c r="AN281" i="5"/>
  <c r="AG282" i="5"/>
  <c r="AF282" i="5"/>
  <c r="C188" i="4"/>
  <c r="C282" i="5"/>
  <c r="T282" i="5"/>
  <c r="O188" i="4"/>
  <c r="U282" i="5"/>
  <c r="P188" i="4"/>
  <c r="W282" i="5"/>
  <c r="Q188" i="4"/>
  <c r="X282" i="5"/>
  <c r="AA282" i="5"/>
  <c r="AI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F282" i="5"/>
  <c r="H282" i="5"/>
  <c r="I282" i="5"/>
  <c r="L282" i="5"/>
  <c r="N282" i="5"/>
  <c r="O282" i="5"/>
  <c r="Z282" i="5"/>
  <c r="AN282" i="5"/>
  <c r="AG283" i="5"/>
  <c r="AF283" i="5"/>
  <c r="C189" i="4"/>
  <c r="C283" i="5"/>
  <c r="D189" i="4"/>
  <c r="E283" i="5"/>
  <c r="H189" i="4"/>
  <c r="K283" i="5"/>
  <c r="L189" i="4"/>
  <c r="Q283" i="5"/>
  <c r="M189" i="4"/>
  <c r="R283" i="5"/>
  <c r="T283" i="5"/>
  <c r="O189" i="4"/>
  <c r="U283" i="5"/>
  <c r="P189" i="4"/>
  <c r="W283" i="5"/>
  <c r="Q189" i="4"/>
  <c r="X283" i="5"/>
  <c r="S189" i="4"/>
  <c r="AA283" i="5"/>
  <c r="AI189" i="4"/>
  <c r="T189" i="4" a="1"/>
  <c r="T189" i="4"/>
  <c r="AC283" i="5"/>
  <c r="U189" i="4" a="1"/>
  <c r="U189" i="4"/>
  <c r="AD283" i="5"/>
  <c r="X189" i="4"/>
  <c r="AI283" i="5"/>
  <c r="Y189" i="4"/>
  <c r="AJ283" i="5"/>
  <c r="Z189" i="4"/>
  <c r="AL283" i="5"/>
  <c r="F283" i="5"/>
  <c r="H283" i="5"/>
  <c r="I283" i="5"/>
  <c r="L283" i="5"/>
  <c r="N283" i="5"/>
  <c r="O283" i="5"/>
  <c r="Z283" i="5"/>
  <c r="AN283" i="5"/>
  <c r="AG284" i="5"/>
  <c r="AF284" i="5"/>
  <c r="C190" i="4"/>
  <c r="C284" i="5"/>
  <c r="D190" i="4"/>
  <c r="E284" i="5"/>
  <c r="H190" i="4"/>
  <c r="K284" i="5"/>
  <c r="L190" i="4"/>
  <c r="Q284" i="5"/>
  <c r="M190" i="4"/>
  <c r="R284" i="5"/>
  <c r="T284" i="5"/>
  <c r="O190" i="4"/>
  <c r="U284" i="5"/>
  <c r="P190" i="4"/>
  <c r="W284" i="5"/>
  <c r="Q190" i="4"/>
  <c r="X284" i="5"/>
  <c r="S190" i="4"/>
  <c r="AA284" i="5"/>
  <c r="AI190" i="4"/>
  <c r="T190" i="4" a="1"/>
  <c r="T190" i="4"/>
  <c r="AC284" i="5"/>
  <c r="U190" i="4" a="1"/>
  <c r="U190" i="4"/>
  <c r="AD284" i="5"/>
  <c r="X190" i="4"/>
  <c r="AI284" i="5"/>
  <c r="Y190" i="4"/>
  <c r="AJ284" i="5"/>
  <c r="Z190" i="4"/>
  <c r="AL284" i="5"/>
  <c r="F284" i="5"/>
  <c r="H284" i="5"/>
  <c r="I284" i="5"/>
  <c r="L284" i="5"/>
  <c r="N284" i="5"/>
  <c r="O284" i="5"/>
  <c r="Z284" i="5"/>
  <c r="AN284" i="5"/>
  <c r="AG285" i="5"/>
  <c r="AF285" i="5"/>
  <c r="C63" i="4"/>
  <c r="C285" i="5"/>
  <c r="D63" i="4"/>
  <c r="E285" i="5"/>
  <c r="K285" i="5"/>
  <c r="L63" i="4"/>
  <c r="Q285" i="5"/>
  <c r="M63" i="4"/>
  <c r="R285" i="5"/>
  <c r="N63" i="4"/>
  <c r="T285" i="5"/>
  <c r="U285" i="5"/>
  <c r="P63" i="4"/>
  <c r="W285" i="5"/>
  <c r="Q63" i="4"/>
  <c r="X285" i="5"/>
  <c r="S63" i="4"/>
  <c r="AA285" i="5"/>
  <c r="AI63" i="4"/>
  <c r="T63" i="4" a="1"/>
  <c r="T63" i="4"/>
  <c r="AC285" i="5"/>
  <c r="U63" i="4" a="1"/>
  <c r="U63" i="4"/>
  <c r="AD285" i="5"/>
  <c r="X63" i="4"/>
  <c r="AI285" i="5"/>
  <c r="Y63" i="4"/>
  <c r="AJ285" i="5"/>
  <c r="Z63" i="4"/>
  <c r="AL285" i="5"/>
  <c r="F285" i="5"/>
  <c r="H285" i="5"/>
  <c r="I285" i="5"/>
  <c r="L285" i="5"/>
  <c r="N285" i="5"/>
  <c r="O285" i="5"/>
  <c r="Z285" i="5"/>
  <c r="AN285" i="5"/>
  <c r="AG286" i="5"/>
  <c r="AF286" i="5"/>
  <c r="C64" i="4"/>
  <c r="C286" i="5"/>
  <c r="D64" i="4"/>
  <c r="E286" i="5"/>
  <c r="K286" i="5"/>
  <c r="L64" i="4"/>
  <c r="Q286" i="5"/>
  <c r="M64" i="4"/>
  <c r="R286" i="5"/>
  <c r="N64" i="4"/>
  <c r="T286" i="5"/>
  <c r="U286" i="5"/>
  <c r="P64" i="4"/>
  <c r="W286" i="5"/>
  <c r="Q64" i="4"/>
  <c r="X286" i="5"/>
  <c r="S64" i="4"/>
  <c r="AA286" i="5"/>
  <c r="AI64" i="4"/>
  <c r="T64" i="4" a="1"/>
  <c r="T64" i="4"/>
  <c r="AC286" i="5"/>
  <c r="U64" i="4" a="1"/>
  <c r="U64" i="4"/>
  <c r="AD286" i="5"/>
  <c r="X64" i="4"/>
  <c r="AI286" i="5"/>
  <c r="Y64" i="4"/>
  <c r="AJ286" i="5"/>
  <c r="Z64" i="4"/>
  <c r="AL286" i="5"/>
  <c r="F286" i="5"/>
  <c r="H286" i="5"/>
  <c r="I286" i="5"/>
  <c r="L286" i="5"/>
  <c r="N286" i="5"/>
  <c r="O286" i="5"/>
  <c r="Z286" i="5"/>
  <c r="AN286" i="5"/>
  <c r="AG287" i="5"/>
  <c r="AF287" i="5"/>
  <c r="B192" i="4"/>
  <c r="C192" i="4"/>
  <c r="C287" i="5"/>
  <c r="D192" i="4"/>
  <c r="E287" i="5"/>
  <c r="H192" i="4"/>
  <c r="K287" i="5"/>
  <c r="L192" i="4"/>
  <c r="Q287" i="5"/>
  <c r="M192" i="4"/>
  <c r="R287" i="5"/>
  <c r="T287" i="5"/>
  <c r="O192" i="4"/>
  <c r="U287" i="5"/>
  <c r="P192" i="4"/>
  <c r="W287" i="5"/>
  <c r="Q192" i="4"/>
  <c r="X287" i="5"/>
  <c r="S192" i="4"/>
  <c r="AA287" i="5"/>
  <c r="AI192" i="4"/>
  <c r="T192" i="4" a="1"/>
  <c r="T192" i="4"/>
  <c r="AC287" i="5"/>
  <c r="U192" i="4" a="1"/>
  <c r="U192" i="4"/>
  <c r="AD287" i="5"/>
  <c r="X192" i="4"/>
  <c r="AI287" i="5"/>
  <c r="Y192" i="4"/>
  <c r="AJ287" i="5"/>
  <c r="Z192" i="4"/>
  <c r="AL287" i="5"/>
  <c r="F287" i="5"/>
  <c r="H287" i="5"/>
  <c r="I287" i="5"/>
  <c r="L287" i="5"/>
  <c r="N287" i="5"/>
  <c r="O287" i="5"/>
  <c r="Z287" i="5"/>
  <c r="AN287" i="5"/>
  <c r="AG288" i="5"/>
  <c r="AF288" i="5"/>
  <c r="B193" i="4"/>
  <c r="C193" i="4"/>
  <c r="C288" i="5"/>
  <c r="D193" i="4"/>
  <c r="E288" i="5"/>
  <c r="H193" i="4"/>
  <c r="K288" i="5"/>
  <c r="L193" i="4"/>
  <c r="Q288" i="5"/>
  <c r="M193" i="4"/>
  <c r="R288" i="5"/>
  <c r="T288" i="5"/>
  <c r="O193" i="4"/>
  <c r="U288" i="5"/>
  <c r="P193" i="4"/>
  <c r="W288" i="5"/>
  <c r="Q193" i="4"/>
  <c r="X288" i="5"/>
  <c r="S193" i="4"/>
  <c r="AA288" i="5"/>
  <c r="AI193" i="4"/>
  <c r="T193" i="4" a="1"/>
  <c r="T193" i="4"/>
  <c r="AC288" i="5"/>
  <c r="U193" i="4" a="1"/>
  <c r="U193" i="4"/>
  <c r="AD288" i="5"/>
  <c r="X193" i="4"/>
  <c r="AI288" i="5"/>
  <c r="Y193" i="4"/>
  <c r="AJ288" i="5"/>
  <c r="Z193" i="4"/>
  <c r="AL288" i="5"/>
  <c r="F288" i="5"/>
  <c r="H288" i="5"/>
  <c r="I288" i="5"/>
  <c r="L288" i="5"/>
  <c r="N288" i="5"/>
  <c r="O288" i="5"/>
  <c r="Z288" i="5"/>
  <c r="AN288" i="5"/>
  <c r="AG289" i="5"/>
  <c r="AF289" i="5"/>
  <c r="C195" i="4"/>
  <c r="C289" i="5"/>
  <c r="T289" i="5"/>
  <c r="O195" i="4"/>
  <c r="U289" i="5"/>
  <c r="P195" i="4"/>
  <c r="W289" i="5"/>
  <c r="Q195" i="4"/>
  <c r="X289" i="5"/>
  <c r="S195" i="4"/>
  <c r="AA289" i="5"/>
  <c r="AI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Z289" i="5"/>
  <c r="AN289" i="5"/>
  <c r="AG290" i="5"/>
  <c r="AF290" i="5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I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F290" i="5"/>
  <c r="H290" i="5"/>
  <c r="I290" i="5"/>
  <c r="L290" i="5"/>
  <c r="N290" i="5"/>
  <c r="O290" i="5"/>
  <c r="Z290" i="5"/>
  <c r="AN290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T291" i="5"/>
  <c r="O197" i="4"/>
  <c r="U291" i="5"/>
  <c r="P197" i="4"/>
  <c r="W291" i="5"/>
  <c r="Q197" i="4"/>
  <c r="X291" i="5"/>
  <c r="S197" i="4"/>
  <c r="AA291" i="5"/>
  <c r="AI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F291" i="5"/>
  <c r="H291" i="5"/>
  <c r="I291" i="5"/>
  <c r="L291" i="5"/>
  <c r="N291" i="5"/>
  <c r="O291" i="5"/>
  <c r="Z291" i="5"/>
  <c r="AN291" i="5"/>
  <c r="AG292" i="5"/>
  <c r="AF292" i="5"/>
  <c r="C198" i="4"/>
  <c r="C292" i="5"/>
  <c r="D198" i="4"/>
  <c r="E292" i="5"/>
  <c r="H198" i="4"/>
  <c r="K292" i="5"/>
  <c r="L198" i="4"/>
  <c r="Q292" i="5"/>
  <c r="M198" i="4"/>
  <c r="R292" i="5"/>
  <c r="T292" i="5"/>
  <c r="O198" i="4"/>
  <c r="U292" i="5"/>
  <c r="P198" i="4"/>
  <c r="W292" i="5"/>
  <c r="Q198" i="4"/>
  <c r="X292" i="5"/>
  <c r="S198" i="4"/>
  <c r="AA292" i="5"/>
  <c r="AI198" i="4"/>
  <c r="T198" i="4" a="1"/>
  <c r="T198" i="4"/>
  <c r="AC292" i="5"/>
  <c r="U198" i="4" a="1"/>
  <c r="U198" i="4"/>
  <c r="AD292" i="5"/>
  <c r="X198" i="4"/>
  <c r="AI292" i="5"/>
  <c r="Y198" i="4"/>
  <c r="AJ292" i="5"/>
  <c r="Z198" i="4"/>
  <c r="AL292" i="5"/>
  <c r="F292" i="5"/>
  <c r="H292" i="5"/>
  <c r="I292" i="5"/>
  <c r="L292" i="5"/>
  <c r="N292" i="5"/>
  <c r="O292" i="5"/>
  <c r="Z292" i="5"/>
  <c r="AN292" i="5"/>
  <c r="B199" i="4"/>
  <c r="S199" i="4"/>
  <c r="AA293" i="5"/>
  <c r="P199" i="4"/>
  <c r="W293" i="5"/>
  <c r="AG293" i="5"/>
  <c r="AF293" i="5"/>
  <c r="C199" i="4"/>
  <c r="C293" i="5"/>
  <c r="D199" i="4"/>
  <c r="E293" i="5"/>
  <c r="H199" i="4"/>
  <c r="K293" i="5"/>
  <c r="L199" i="4"/>
  <c r="Q293" i="5"/>
  <c r="M199" i="4"/>
  <c r="R293" i="5"/>
  <c r="N199" i="4"/>
  <c r="T293" i="5"/>
  <c r="O199" i="4"/>
  <c r="U293" i="5"/>
  <c r="Q199" i="4"/>
  <c r="X293" i="5"/>
  <c r="R199" i="4"/>
  <c r="Z293" i="5"/>
  <c r="AI199" i="4"/>
  <c r="T199" i="4" a="1"/>
  <c r="T199" i="4"/>
  <c r="AC293" i="5"/>
  <c r="U199" i="4" a="1"/>
  <c r="U199" i="4"/>
  <c r="AD293" i="5"/>
  <c r="X199" i="4"/>
  <c r="AI293" i="5"/>
  <c r="Y199" i="4"/>
  <c r="AJ293" i="5"/>
  <c r="Z199" i="4"/>
  <c r="AL293" i="5"/>
  <c r="F293" i="5"/>
  <c r="H293" i="5"/>
  <c r="I293" i="5"/>
  <c r="L293" i="5"/>
  <c r="N293" i="5"/>
  <c r="O293" i="5"/>
  <c r="AN293" i="5"/>
  <c r="AG294" i="5"/>
  <c r="AF294" i="5"/>
  <c r="B202" i="4"/>
  <c r="C202" i="4"/>
  <c r="C294" i="5"/>
  <c r="D202" i="4"/>
  <c r="E294" i="5"/>
  <c r="H202" i="4"/>
  <c r="K294" i="5"/>
  <c r="L202" i="4"/>
  <c r="Q294" i="5"/>
  <c r="M202" i="4"/>
  <c r="R294" i="5"/>
  <c r="N202" i="4"/>
  <c r="T294" i="5"/>
  <c r="O202" i="4"/>
  <c r="U294" i="5"/>
  <c r="P202" i="4"/>
  <c r="W294" i="5"/>
  <c r="Q202" i="4"/>
  <c r="X294" i="5"/>
  <c r="S202" i="4"/>
  <c r="AA294" i="5"/>
  <c r="AI202" i="4"/>
  <c r="T202" i="4" a="1"/>
  <c r="T202" i="4"/>
  <c r="AC294" i="5"/>
  <c r="U202" i="4" a="1"/>
  <c r="U202" i="4"/>
  <c r="AD294" i="5"/>
  <c r="X202" i="4"/>
  <c r="AI294" i="5"/>
  <c r="Y202" i="4"/>
  <c r="AJ294" i="5"/>
  <c r="Z202" i="4"/>
  <c r="AL294" i="5"/>
  <c r="F294" i="5"/>
  <c r="H294" i="5"/>
  <c r="I294" i="5"/>
  <c r="L294" i="5"/>
  <c r="N294" i="5"/>
  <c r="O294" i="5"/>
  <c r="Z294" i="5"/>
  <c r="AN294" i="5"/>
  <c r="AG295" i="5"/>
  <c r="AF295" i="5"/>
  <c r="B216" i="4"/>
  <c r="C216" i="4"/>
  <c r="C295" i="5"/>
  <c r="D216" i="4"/>
  <c r="E295" i="5"/>
  <c r="K295" i="5"/>
  <c r="L216" i="4"/>
  <c r="Q295" i="5"/>
  <c r="M216" i="4"/>
  <c r="R295" i="5"/>
  <c r="T295" i="5"/>
  <c r="U295" i="5"/>
  <c r="P216" i="4"/>
  <c r="W295" i="5"/>
  <c r="Q216" i="4"/>
  <c r="X295" i="5"/>
  <c r="S216" i="4"/>
  <c r="AA295" i="5"/>
  <c r="AI216" i="4"/>
  <c r="T216" i="4" a="1"/>
  <c r="T216" i="4"/>
  <c r="AC295" i="5"/>
  <c r="U216" i="4" a="1"/>
  <c r="U216" i="4"/>
  <c r="AD295" i="5"/>
  <c r="X216" i="4"/>
  <c r="AI295" i="5"/>
  <c r="Y216" i="4"/>
  <c r="AJ295" i="5"/>
  <c r="Z216" i="4"/>
  <c r="AL295" i="5"/>
  <c r="F295" i="5"/>
  <c r="H295" i="5"/>
  <c r="I295" i="5"/>
  <c r="L295" i="5"/>
  <c r="N295" i="5"/>
  <c r="O295" i="5"/>
  <c r="Z295" i="5"/>
  <c r="AN295" i="5"/>
  <c r="AG296" i="5"/>
  <c r="AF296" i="5"/>
  <c r="B273" i="4"/>
  <c r="C273" i="4"/>
  <c r="C296" i="5"/>
  <c r="D273" i="4"/>
  <c r="E296" i="5"/>
  <c r="H273" i="4"/>
  <c r="K296" i="5"/>
  <c r="L273" i="4"/>
  <c r="Q296" i="5"/>
  <c r="M273" i="4"/>
  <c r="R296" i="5"/>
  <c r="T296" i="5"/>
  <c r="O273" i="4"/>
  <c r="U296" i="5"/>
  <c r="P273" i="4"/>
  <c r="W296" i="5"/>
  <c r="Q273" i="4"/>
  <c r="X296" i="5"/>
  <c r="S273" i="4"/>
  <c r="AA296" i="5"/>
  <c r="AI273" i="4"/>
  <c r="T273" i="4" a="1"/>
  <c r="T273" i="4"/>
  <c r="AC296" i="5"/>
  <c r="U273" i="4" a="1"/>
  <c r="U273" i="4"/>
  <c r="AD296" i="5"/>
  <c r="X273" i="4"/>
  <c r="AI296" i="5"/>
  <c r="F296" i="5"/>
  <c r="H296" i="5"/>
  <c r="I296" i="5"/>
  <c r="L296" i="5"/>
  <c r="N296" i="5"/>
  <c r="O296" i="5"/>
  <c r="Z296" i="5"/>
  <c r="AN296" i="5"/>
  <c r="AG297" i="5"/>
  <c r="AF297" i="5"/>
  <c r="B274" i="4"/>
  <c r="C274" i="4"/>
  <c r="C297" i="5"/>
  <c r="D274" i="4"/>
  <c r="E297" i="5"/>
  <c r="H274" i="4"/>
  <c r="K297" i="5"/>
  <c r="L274" i="4"/>
  <c r="Q297" i="5"/>
  <c r="M274" i="4"/>
  <c r="R297" i="5"/>
  <c r="T297" i="5"/>
  <c r="O274" i="4"/>
  <c r="U297" i="5"/>
  <c r="P274" i="4"/>
  <c r="W297" i="5"/>
  <c r="Q274" i="4"/>
  <c r="X297" i="5"/>
  <c r="S274" i="4"/>
  <c r="AA297" i="5"/>
  <c r="AI274" i="4"/>
  <c r="T274" i="4" a="1"/>
  <c r="T274" i="4"/>
  <c r="AC297" i="5"/>
  <c r="U274" i="4" a="1"/>
  <c r="U274" i="4"/>
  <c r="AD297" i="5"/>
  <c r="X274" i="4"/>
  <c r="AI297" i="5"/>
  <c r="F297" i="5"/>
  <c r="H297" i="5"/>
  <c r="I297" i="5"/>
  <c r="L297" i="5"/>
  <c r="N297" i="5"/>
  <c r="O297" i="5"/>
  <c r="Z297" i="5"/>
  <c r="AN297" i="5"/>
  <c r="AG298" i="5"/>
  <c r="AF298" i="5"/>
  <c r="B235" i="4"/>
  <c r="C235" i="4"/>
  <c r="C298" i="5"/>
  <c r="D235" i="4"/>
  <c r="E298" i="5"/>
  <c r="H235" i="4"/>
  <c r="K298" i="5"/>
  <c r="L235" i="4"/>
  <c r="Q298" i="5"/>
  <c r="M235" i="4"/>
  <c r="R298" i="5"/>
  <c r="T298" i="5"/>
  <c r="O235" i="4"/>
  <c r="U298" i="5"/>
  <c r="P235" i="4"/>
  <c r="W298" i="5"/>
  <c r="Q235" i="4"/>
  <c r="X298" i="5"/>
  <c r="S235" i="4"/>
  <c r="AA298" i="5"/>
  <c r="AI235" i="4"/>
  <c r="T235" i="4" a="1"/>
  <c r="T235" i="4"/>
  <c r="AC298" i="5"/>
  <c r="U235" i="4" a="1"/>
  <c r="U235" i="4"/>
  <c r="AD298" i="5"/>
  <c r="X235" i="4"/>
  <c r="AI298" i="5"/>
  <c r="Y235" i="4"/>
  <c r="AJ298" i="5"/>
  <c r="Z235" i="4"/>
  <c r="AL298" i="5"/>
  <c r="F298" i="5"/>
  <c r="H298" i="5"/>
  <c r="I298" i="5"/>
  <c r="L298" i="5"/>
  <c r="N298" i="5"/>
  <c r="O298" i="5"/>
  <c r="Z298" i="5"/>
  <c r="AN298" i="5"/>
  <c r="O299" i="5"/>
  <c r="K299" i="5"/>
  <c r="AG299" i="5"/>
  <c r="AF299" i="5"/>
  <c r="C299" i="5"/>
  <c r="E299" i="5"/>
  <c r="L299" i="5"/>
  <c r="N299" i="5"/>
  <c r="Q299" i="5"/>
  <c r="R299" i="5"/>
  <c r="T299" i="5"/>
  <c r="U299" i="5"/>
  <c r="W299" i="5"/>
  <c r="X299" i="5"/>
  <c r="AA299" i="5"/>
  <c r="AC299" i="5"/>
  <c r="AD299" i="5"/>
  <c r="AI299" i="5"/>
  <c r="AJ299" i="5"/>
  <c r="AL299" i="5"/>
  <c r="F299" i="5"/>
  <c r="H299" i="5"/>
  <c r="I299" i="5"/>
  <c r="Z299" i="5"/>
  <c r="AN299" i="5"/>
  <c r="O304" i="5"/>
  <c r="K304" i="5"/>
  <c r="AG304" i="5"/>
  <c r="V306" i="4"/>
  <c r="AF304" i="5"/>
  <c r="C306" i="4"/>
  <c r="C304" i="5"/>
  <c r="D306" i="4"/>
  <c r="E304" i="5"/>
  <c r="I306" i="4"/>
  <c r="L304" i="5"/>
  <c r="J306" i="4"/>
  <c r="N304" i="5"/>
  <c r="L306" i="4"/>
  <c r="Q304" i="5"/>
  <c r="M306" i="4"/>
  <c r="R304" i="5"/>
  <c r="N306" i="4"/>
  <c r="T304" i="5"/>
  <c r="O306" i="4"/>
  <c r="U304" i="5"/>
  <c r="P306" i="4"/>
  <c r="W304" i="5"/>
  <c r="Q306" i="4"/>
  <c r="X304" i="5"/>
  <c r="AA304" i="5"/>
  <c r="AC304" i="5"/>
  <c r="AD304" i="5"/>
  <c r="X306" i="4"/>
  <c r="AI304" i="5"/>
  <c r="Y306" i="4"/>
  <c r="AJ304" i="5"/>
  <c r="Z306" i="4"/>
  <c r="AL304" i="5"/>
  <c r="F304" i="5"/>
  <c r="H304" i="5"/>
  <c r="I304" i="5"/>
  <c r="Z304" i="5"/>
  <c r="AN304" i="5"/>
  <c r="AG305" i="5"/>
  <c r="V307" i="4"/>
  <c r="AF305" i="5"/>
  <c r="C307" i="4"/>
  <c r="C305" i="5"/>
  <c r="N307" i="4"/>
  <c r="T305" i="5"/>
  <c r="O307" i="4"/>
  <c r="U305" i="5"/>
  <c r="P307" i="4"/>
  <c r="W305" i="5"/>
  <c r="Q307" i="4"/>
  <c r="X305" i="5"/>
  <c r="AA305" i="5"/>
  <c r="T307" i="4"/>
  <c r="AC305" i="5"/>
  <c r="U307" i="4"/>
  <c r="AD305" i="5"/>
  <c r="X307" i="4"/>
  <c r="AI305" i="5"/>
  <c r="Y307" i="4"/>
  <c r="AJ305" i="5"/>
  <c r="Z307" i="4"/>
  <c r="AL305" i="5"/>
  <c r="F305" i="5"/>
  <c r="H305" i="5"/>
  <c r="I305" i="5"/>
  <c r="Z305" i="5"/>
  <c r="AN305" i="5"/>
  <c r="O306" i="5"/>
  <c r="K306" i="5"/>
  <c r="AG306" i="5"/>
  <c r="V305" i="4"/>
  <c r="AF306" i="5"/>
  <c r="C305" i="4"/>
  <c r="C306" i="5"/>
  <c r="D305" i="4"/>
  <c r="E306" i="5"/>
  <c r="I305" i="4"/>
  <c r="L306" i="5"/>
  <c r="J305" i="4"/>
  <c r="N306" i="5"/>
  <c r="L305" i="4"/>
  <c r="Q306" i="5"/>
  <c r="M305" i="4"/>
  <c r="R306" i="5"/>
  <c r="N305" i="4"/>
  <c r="T306" i="5"/>
  <c r="O305" i="4"/>
  <c r="U306" i="5"/>
  <c r="P305" i="4"/>
  <c r="W306" i="5"/>
  <c r="Q305" i="4"/>
  <c r="X306" i="5"/>
  <c r="AA306" i="5"/>
  <c r="T305" i="4"/>
  <c r="AC306" i="5"/>
  <c r="U305" i="4"/>
  <c r="AD306" i="5"/>
  <c r="X305" i="4"/>
  <c r="AI306" i="5"/>
  <c r="Y305" i="4"/>
  <c r="AJ306" i="5"/>
  <c r="Z305" i="4"/>
  <c r="AL306" i="5"/>
  <c r="F306" i="5"/>
  <c r="H306" i="5"/>
  <c r="I306" i="5"/>
  <c r="Z306" i="5"/>
  <c r="AN306" i="5"/>
  <c r="AG307" i="5"/>
  <c r="V304" i="4"/>
  <c r="AF307" i="5"/>
  <c r="N304" i="4"/>
  <c r="T307" i="5"/>
  <c r="O304" i="4"/>
  <c r="U307" i="5"/>
  <c r="P304" i="4"/>
  <c r="W307" i="5"/>
  <c r="Q304" i="4"/>
  <c r="X307" i="5"/>
  <c r="AA307" i="5"/>
  <c r="X304" i="4"/>
  <c r="AI307" i="5"/>
  <c r="Y304" i="4"/>
  <c r="AJ307" i="5"/>
  <c r="Z304" i="4"/>
  <c r="AL307" i="5"/>
  <c r="F307" i="5"/>
  <c r="H307" i="5"/>
  <c r="I307" i="5"/>
  <c r="Z307" i="5"/>
  <c r="AN307" i="5"/>
  <c r="O308" i="5"/>
  <c r="K308" i="5"/>
  <c r="AG308" i="5"/>
  <c r="V314" i="4"/>
  <c r="AF308" i="5"/>
  <c r="C314" i="4"/>
  <c r="C308" i="5"/>
  <c r="D314" i="4"/>
  <c r="E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X314" i="4"/>
  <c r="AI308" i="5"/>
  <c r="Y314" i="4"/>
  <c r="AJ308" i="5"/>
  <c r="Z314" i="4"/>
  <c r="AL308" i="5"/>
  <c r="F308" i="5"/>
  <c r="H308" i="5"/>
  <c r="I308" i="5"/>
  <c r="Z308" i="5"/>
  <c r="AN308" i="5"/>
  <c r="O309" i="5"/>
  <c r="K309" i="5"/>
  <c r="AG309" i="5"/>
  <c r="V308" i="4"/>
  <c r="AF309" i="5"/>
  <c r="C308" i="4"/>
  <c r="C309" i="5"/>
  <c r="D308" i="4"/>
  <c r="E309" i="5"/>
  <c r="I308" i="4"/>
  <c r="L309" i="5"/>
  <c r="J308" i="4"/>
  <c r="N309" i="5"/>
  <c r="L308" i="4"/>
  <c r="Q309" i="5"/>
  <c r="M308" i="4"/>
  <c r="R309" i="5"/>
  <c r="N308" i="4"/>
  <c r="T309" i="5"/>
  <c r="O308" i="4"/>
  <c r="U309" i="5"/>
  <c r="P308" i="4"/>
  <c r="W309" i="5"/>
  <c r="Q308" i="4"/>
  <c r="X309" i="5"/>
  <c r="AA309" i="5"/>
  <c r="AC309" i="5"/>
  <c r="AD309" i="5"/>
  <c r="X308" i="4"/>
  <c r="AI309" i="5"/>
  <c r="Y308" i="4"/>
  <c r="AJ309" i="5"/>
  <c r="Z308" i="4"/>
  <c r="AL309" i="5"/>
  <c r="F309" i="5"/>
  <c r="H309" i="5"/>
  <c r="I309" i="5"/>
  <c r="Z309" i="5"/>
  <c r="AN309" i="5"/>
  <c r="O310" i="5"/>
  <c r="K310" i="5"/>
  <c r="AG310" i="5"/>
  <c r="V313" i="4"/>
  <c r="AF310" i="5"/>
  <c r="C313" i="4"/>
  <c r="C310" i="5"/>
  <c r="D313" i="4"/>
  <c r="E310" i="5"/>
  <c r="I313" i="4"/>
  <c r="L310" i="5"/>
  <c r="J313" i="4"/>
  <c r="N310" i="5"/>
  <c r="L313" i="4"/>
  <c r="Q310" i="5"/>
  <c r="M313" i="4"/>
  <c r="R310" i="5"/>
  <c r="N313" i="4"/>
  <c r="T310" i="5"/>
  <c r="O313" i="4"/>
  <c r="U310" i="5"/>
  <c r="P313" i="4"/>
  <c r="W310" i="5"/>
  <c r="Q313" i="4"/>
  <c r="X310" i="5"/>
  <c r="AA310" i="5"/>
  <c r="T313" i="4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V315" i="4"/>
  <c r="AF311" i="5"/>
  <c r="C315" i="4"/>
  <c r="C311" i="5"/>
  <c r="D315" i="4"/>
  <c r="E311" i="5"/>
  <c r="I315" i="4"/>
  <c r="L311" i="5"/>
  <c r="J315" i="4"/>
  <c r="N311" i="5"/>
  <c r="L315" i="4"/>
  <c r="Q311" i="5"/>
  <c r="M315" i="4"/>
  <c r="R311" i="5"/>
  <c r="N315" i="4"/>
  <c r="T311" i="5"/>
  <c r="O315" i="4"/>
  <c r="U311" i="5"/>
  <c r="P315" i="4"/>
  <c r="W311" i="5"/>
  <c r="Q315" i="4"/>
  <c r="X311" i="5"/>
  <c r="AA311" i="5"/>
  <c r="X315" i="4"/>
  <c r="AI311" i="5"/>
  <c r="Y315" i="4"/>
  <c r="AJ311" i="5"/>
  <c r="Z315" i="4"/>
  <c r="AL311" i="5"/>
  <c r="F311" i="5"/>
  <c r="H311" i="5"/>
  <c r="I311" i="5"/>
  <c r="Z311" i="5"/>
  <c r="AN311" i="5"/>
  <c r="O312" i="5"/>
  <c r="K312" i="5"/>
  <c r="AG312" i="5"/>
  <c r="V316" i="4"/>
  <c r="AF312" i="5"/>
  <c r="C316" i="4"/>
  <c r="C312" i="5"/>
  <c r="D316" i="4"/>
  <c r="E312" i="5"/>
  <c r="I316" i="4"/>
  <c r="L312" i="5"/>
  <c r="J316" i="4"/>
  <c r="N312" i="5"/>
  <c r="L316" i="4"/>
  <c r="Q312" i="5"/>
  <c r="M316" i="4"/>
  <c r="R312" i="5"/>
  <c r="N316" i="4"/>
  <c r="T312" i="5"/>
  <c r="O316" i="4"/>
  <c r="U312" i="5"/>
  <c r="P316" i="4"/>
  <c r="W312" i="5"/>
  <c r="Q316" i="4"/>
  <c r="X312" i="5"/>
  <c r="AA312" i="5"/>
  <c r="T316" i="4"/>
  <c r="AC312" i="5"/>
  <c r="AD312" i="5"/>
  <c r="X316" i="4"/>
  <c r="AI312" i="5"/>
  <c r="Y316" i="4"/>
  <c r="AJ312" i="5"/>
  <c r="Z316" i="4"/>
  <c r="AL312" i="5"/>
  <c r="F312" i="5"/>
  <c r="H312" i="5"/>
  <c r="I312" i="5"/>
  <c r="Z312" i="5"/>
  <c r="AN312" i="5"/>
  <c r="O313" i="5"/>
  <c r="K313" i="5"/>
  <c r="AG313" i="5"/>
  <c r="V317" i="4"/>
  <c r="AF313" i="5"/>
  <c r="C317" i="4"/>
  <c r="C313" i="5"/>
  <c r="D317" i="4"/>
  <c r="E313" i="5"/>
  <c r="I317" i="4"/>
  <c r="L313" i="5"/>
  <c r="J317" i="4"/>
  <c r="N313" i="5"/>
  <c r="L317" i="4"/>
  <c r="Q313" i="5"/>
  <c r="M317" i="4"/>
  <c r="R313" i="5"/>
  <c r="N317" i="4"/>
  <c r="T313" i="5"/>
  <c r="O317" i="4"/>
  <c r="U313" i="5"/>
  <c r="P317" i="4"/>
  <c r="W313" i="5"/>
  <c r="Q317" i="4"/>
  <c r="X313" i="5"/>
  <c r="AA313" i="5"/>
  <c r="X317" i="4"/>
  <c r="AI313" i="5"/>
  <c r="Y317" i="4"/>
  <c r="AJ313" i="5"/>
  <c r="Z317" i="4"/>
  <c r="AL313" i="5"/>
  <c r="F313" i="5"/>
  <c r="H313" i="5"/>
  <c r="I313" i="5"/>
  <c r="Z313" i="5"/>
  <c r="AN313" i="5"/>
  <c r="AG314" i="5"/>
  <c r="V309" i="4"/>
  <c r="AF314" i="5"/>
  <c r="C309" i="4"/>
  <c r="C314" i="5"/>
  <c r="N309" i="4"/>
  <c r="T314" i="5"/>
  <c r="O309" i="4"/>
  <c r="U314" i="5"/>
  <c r="P309" i="4"/>
  <c r="W314" i="5"/>
  <c r="Q309" i="4"/>
  <c r="X314" i="5"/>
  <c r="AA314" i="5"/>
  <c r="AC314" i="5"/>
  <c r="AD314" i="5"/>
  <c r="X309" i="4"/>
  <c r="AI314" i="5"/>
  <c r="Y309" i="4"/>
  <c r="AJ314" i="5"/>
  <c r="Z309" i="4"/>
  <c r="AL314" i="5"/>
  <c r="F314" i="5"/>
  <c r="H314" i="5"/>
  <c r="I314" i="5"/>
  <c r="Z314" i="5"/>
  <c r="AN314" i="5"/>
  <c r="AG315" i="5"/>
  <c r="V319" i="4"/>
  <c r="AF315" i="5"/>
  <c r="C319" i="4"/>
  <c r="C315" i="5"/>
  <c r="N319" i="4"/>
  <c r="T315" i="5"/>
  <c r="O319" i="4"/>
  <c r="U315" i="5"/>
  <c r="P319" i="4"/>
  <c r="W315" i="5"/>
  <c r="Q319" i="4"/>
  <c r="X315" i="5"/>
  <c r="AA315" i="5"/>
  <c r="AC315" i="5"/>
  <c r="AD315" i="5"/>
  <c r="X319" i="4"/>
  <c r="AI315" i="5"/>
  <c r="Y319" i="4"/>
  <c r="AJ315" i="5"/>
  <c r="Z319" i="4"/>
  <c r="AL315" i="5"/>
  <c r="F315" i="5"/>
  <c r="H315" i="5"/>
  <c r="I315" i="5"/>
  <c r="Z315" i="5"/>
  <c r="AN315" i="5"/>
  <c r="O316" i="5"/>
  <c r="K316" i="5"/>
  <c r="AG316" i="5"/>
  <c r="V318" i="4"/>
  <c r="AF316" i="5"/>
  <c r="C318" i="4"/>
  <c r="C316" i="5"/>
  <c r="D318" i="4"/>
  <c r="E316" i="5"/>
  <c r="I318" i="4"/>
  <c r="L316" i="5"/>
  <c r="J318" i="4"/>
  <c r="N316" i="5"/>
  <c r="L318" i="4"/>
  <c r="Q316" i="5"/>
  <c r="M318" i="4"/>
  <c r="R316" i="5"/>
  <c r="N318" i="4"/>
  <c r="T316" i="5"/>
  <c r="O318" i="4"/>
  <c r="U316" i="5"/>
  <c r="P318" i="4"/>
  <c r="W316" i="5"/>
  <c r="Q318" i="4"/>
  <c r="X316" i="5"/>
  <c r="AA316" i="5"/>
  <c r="AC316" i="5"/>
  <c r="AD316" i="5"/>
  <c r="X318" i="4"/>
  <c r="AI316" i="5"/>
  <c r="Y318" i="4"/>
  <c r="AJ316" i="5"/>
  <c r="Z318" i="4"/>
  <c r="AL316" i="5"/>
  <c r="F316" i="5"/>
  <c r="H316" i="5"/>
  <c r="I316" i="5"/>
  <c r="Z316" i="5"/>
  <c r="AN316" i="5"/>
  <c r="O317" i="5"/>
  <c r="K317" i="5"/>
  <c r="AG317" i="5"/>
  <c r="V310" i="4"/>
  <c r="AF317" i="5"/>
  <c r="C310" i="4"/>
  <c r="C317" i="5"/>
  <c r="D310" i="4"/>
  <c r="E317" i="5"/>
  <c r="I310" i="4"/>
  <c r="L317" i="5"/>
  <c r="J310" i="4"/>
  <c r="N317" i="5"/>
  <c r="L310" i="4"/>
  <c r="Q317" i="5"/>
  <c r="M310" i="4"/>
  <c r="R317" i="5"/>
  <c r="N310" i="4"/>
  <c r="T317" i="5"/>
  <c r="O310" i="4"/>
  <c r="U317" i="5"/>
  <c r="P310" i="4"/>
  <c r="W317" i="5"/>
  <c r="Q310" i="4"/>
  <c r="X317" i="5"/>
  <c r="AA317" i="5"/>
  <c r="AC317" i="5"/>
  <c r="AD317" i="5"/>
  <c r="X310" i="4"/>
  <c r="AI317" i="5"/>
  <c r="Y310" i="4"/>
  <c r="AJ317" i="5"/>
  <c r="Z310" i="4"/>
  <c r="AL317" i="5"/>
  <c r="F317" i="5"/>
  <c r="H317" i="5"/>
  <c r="I317" i="5"/>
  <c r="Z317" i="5"/>
  <c r="AN317" i="5"/>
  <c r="O318" i="5"/>
  <c r="K318" i="5"/>
  <c r="AG318" i="5"/>
  <c r="V311" i="4"/>
  <c r="AF318" i="5"/>
  <c r="C311" i="4"/>
  <c r="C318" i="5"/>
  <c r="D311" i="4"/>
  <c r="E318" i="5"/>
  <c r="I311" i="4"/>
  <c r="L318" i="5"/>
  <c r="J311" i="4"/>
  <c r="N318" i="5"/>
  <c r="L311" i="4"/>
  <c r="Q318" i="5"/>
  <c r="M311" i="4"/>
  <c r="R318" i="5"/>
  <c r="N311" i="4"/>
  <c r="T318" i="5"/>
  <c r="O311" i="4"/>
  <c r="U318" i="5"/>
  <c r="P311" i="4"/>
  <c r="W318" i="5"/>
  <c r="Q311" i="4"/>
  <c r="X318" i="5"/>
  <c r="AA318" i="5"/>
  <c r="AC318" i="5"/>
  <c r="AD318" i="5"/>
  <c r="X311" i="4"/>
  <c r="AI318" i="5"/>
  <c r="Y311" i="4"/>
  <c r="AJ318" i="5"/>
  <c r="Z311" i="4"/>
  <c r="AL318" i="5"/>
  <c r="F318" i="5"/>
  <c r="H318" i="5"/>
  <c r="I318" i="5"/>
  <c r="Z318" i="5"/>
  <c r="AN318" i="5"/>
  <c r="O319" i="5"/>
  <c r="K319" i="5"/>
  <c r="AG319" i="5"/>
  <c r="V312" i="4"/>
  <c r="AF319" i="5"/>
  <c r="C312" i="4"/>
  <c r="C319" i="5"/>
  <c r="D312" i="4"/>
  <c r="E319" i="5"/>
  <c r="I312" i="4"/>
  <c r="L319" i="5"/>
  <c r="J312" i="4"/>
  <c r="N319" i="5"/>
  <c r="L312" i="4"/>
  <c r="Q319" i="5"/>
  <c r="M312" i="4"/>
  <c r="R319" i="5"/>
  <c r="N312" i="4"/>
  <c r="T319" i="5"/>
  <c r="O312" i="4"/>
  <c r="U319" i="5"/>
  <c r="P312" i="4"/>
  <c r="W319" i="5"/>
  <c r="Q312" i="4"/>
  <c r="X319" i="5"/>
  <c r="AA319" i="5"/>
  <c r="AC319" i="5"/>
  <c r="AD319" i="5"/>
  <c r="X312" i="4"/>
  <c r="AI319" i="5"/>
  <c r="Y312" i="4"/>
  <c r="AJ319" i="5"/>
  <c r="Z312" i="4"/>
  <c r="AL319" i="5"/>
  <c r="F319" i="5"/>
  <c r="H319" i="5"/>
  <c r="I319" i="5"/>
  <c r="Z319" i="5"/>
  <c r="AN319" i="5"/>
  <c r="O320" i="5"/>
  <c r="K320" i="5"/>
  <c r="AG320" i="5"/>
  <c r="B336" i="4"/>
  <c r="V336" i="4"/>
  <c r="AF320" i="5"/>
  <c r="C320" i="5"/>
  <c r="D336" i="4"/>
  <c r="E320" i="5"/>
  <c r="I320" i="5"/>
  <c r="I336" i="4"/>
  <c r="L320" i="5"/>
  <c r="J336" i="4"/>
  <c r="N320" i="5"/>
  <c r="L336" i="4"/>
  <c r="Q320" i="5"/>
  <c r="M336" i="4"/>
  <c r="R320" i="5"/>
  <c r="N336" i="4"/>
  <c r="T320" i="5"/>
  <c r="O336" i="4"/>
  <c r="U320" i="5"/>
  <c r="P336" i="4"/>
  <c r="W320" i="5"/>
  <c r="Q336" i="4"/>
  <c r="X320" i="5"/>
  <c r="AA320" i="5"/>
  <c r="AC320" i="5"/>
  <c r="AD320" i="5"/>
  <c r="X336" i="4"/>
  <c r="AI320" i="5"/>
  <c r="Y336" i="4"/>
  <c r="AJ320" i="5"/>
  <c r="AL320" i="5"/>
  <c r="Z320" i="5"/>
  <c r="AN320" i="5"/>
  <c r="O321" i="5"/>
  <c r="K321" i="5"/>
  <c r="AG321" i="5"/>
  <c r="B337" i="4"/>
  <c r="V337" i="4"/>
  <c r="AF321" i="5"/>
  <c r="C321" i="5"/>
  <c r="D337" i="4"/>
  <c r="E321" i="5"/>
  <c r="I321" i="5"/>
  <c r="I337" i="4"/>
  <c r="L321" i="5"/>
  <c r="J337" i="4"/>
  <c r="N321" i="5"/>
  <c r="L337" i="4"/>
  <c r="Q321" i="5"/>
  <c r="M337" i="4"/>
  <c r="R321" i="5"/>
  <c r="N337" i="4"/>
  <c r="T321" i="5"/>
  <c r="O337" i="4"/>
  <c r="U321" i="5"/>
  <c r="P337" i="4"/>
  <c r="W321" i="5"/>
  <c r="Q337" i="4"/>
  <c r="X321" i="5"/>
  <c r="AA321" i="5"/>
  <c r="AC321" i="5"/>
  <c r="AD321" i="5"/>
  <c r="X337" i="4"/>
  <c r="AI321" i="5"/>
  <c r="Y337" i="4"/>
  <c r="AJ321" i="5"/>
  <c r="AL321" i="5"/>
  <c r="Z321" i="5"/>
  <c r="AN321" i="5"/>
  <c r="O322" i="5"/>
  <c r="K322" i="5"/>
  <c r="AG322" i="5"/>
  <c r="B338" i="4"/>
  <c r="V338" i="4"/>
  <c r="AF322" i="5"/>
  <c r="C322" i="5"/>
  <c r="D338" i="4"/>
  <c r="E322" i="5"/>
  <c r="I322" i="5"/>
  <c r="I338" i="4"/>
  <c r="L322" i="5"/>
  <c r="J338" i="4"/>
  <c r="N322" i="5"/>
  <c r="L338" i="4"/>
  <c r="Q322" i="5"/>
  <c r="M338" i="4"/>
  <c r="R322" i="5"/>
  <c r="N338" i="4"/>
  <c r="T322" i="5"/>
  <c r="O338" i="4"/>
  <c r="U322" i="5"/>
  <c r="P338" i="4"/>
  <c r="W322" i="5"/>
  <c r="Q338" i="4"/>
  <c r="X322" i="5"/>
  <c r="AA322" i="5"/>
  <c r="AC322" i="5"/>
  <c r="AD322" i="5"/>
  <c r="X338" i="4"/>
  <c r="AI322" i="5"/>
  <c r="Y338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Z323" i="5"/>
  <c r="AN323" i="5"/>
  <c r="O324" i="5"/>
  <c r="K324" i="5"/>
  <c r="AG324" i="5"/>
  <c r="B321" i="4"/>
  <c r="V321" i="4"/>
  <c r="AF324" i="5"/>
  <c r="C324" i="5"/>
  <c r="D321" i="4"/>
  <c r="E324" i="5"/>
  <c r="I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Z324" i="5"/>
  <c r="AN324" i="5"/>
  <c r="O325" i="5"/>
  <c r="K325" i="5"/>
  <c r="AG325" i="5"/>
  <c r="B322" i="4"/>
  <c r="V322" i="4"/>
  <c r="AF325" i="5"/>
  <c r="C325" i="5"/>
  <c r="D322" i="4"/>
  <c r="E325" i="5"/>
  <c r="I322" i="4"/>
  <c r="L325" i="5"/>
  <c r="J322" i="4"/>
  <c r="N325" i="5"/>
  <c r="L322" i="4"/>
  <c r="Q325" i="5"/>
  <c r="M322" i="4"/>
  <c r="R325" i="5"/>
  <c r="N322" i="4"/>
  <c r="T325" i="5"/>
  <c r="O322" i="4"/>
  <c r="U325" i="5"/>
  <c r="P322" i="4"/>
  <c r="W325" i="5"/>
  <c r="Q322" i="4"/>
  <c r="X325" i="5"/>
  <c r="AA325" i="5"/>
  <c r="AC325" i="5"/>
  <c r="AD325" i="5"/>
  <c r="X322" i="4"/>
  <c r="AI325" i="5"/>
  <c r="Y322" i="4"/>
  <c r="AJ325" i="5"/>
  <c r="AL325" i="5"/>
  <c r="F325" i="5"/>
  <c r="H325" i="5"/>
  <c r="I325" i="5"/>
  <c r="Z325" i="5"/>
  <c r="AN325" i="5"/>
  <c r="O326" i="5"/>
  <c r="K326" i="5"/>
  <c r="AG326" i="5"/>
  <c r="AF326" i="5"/>
  <c r="C326" i="5"/>
  <c r="B323" i="4"/>
  <c r="D323" i="4"/>
  <c r="E326" i="5"/>
  <c r="I326" i="5"/>
  <c r="I323" i="4"/>
  <c r="L326" i="5"/>
  <c r="J323" i="4"/>
  <c r="N326" i="5"/>
  <c r="L323" i="4"/>
  <c r="Q326" i="5"/>
  <c r="M323" i="4"/>
  <c r="R326" i="5"/>
  <c r="N323" i="4"/>
  <c r="T326" i="5"/>
  <c r="O323" i="4"/>
  <c r="U326" i="5"/>
  <c r="P323" i="4"/>
  <c r="W326" i="5"/>
  <c r="Q323" i="4"/>
  <c r="X326" i="5"/>
  <c r="AA326" i="5"/>
  <c r="AC326" i="5"/>
  <c r="AD326" i="5"/>
  <c r="X323" i="4"/>
  <c r="AI326" i="5"/>
  <c r="Y323" i="4"/>
  <c r="AJ326" i="5"/>
  <c r="AL326" i="5"/>
  <c r="Z326" i="5"/>
  <c r="AN326" i="5"/>
  <c r="O327" i="5"/>
  <c r="K327" i="5"/>
  <c r="AG327" i="5"/>
  <c r="B324" i="4"/>
  <c r="V324" i="4"/>
  <c r="AF327" i="5"/>
  <c r="C327" i="5"/>
  <c r="D324" i="4"/>
  <c r="E327" i="5"/>
  <c r="I327" i="5"/>
  <c r="I324" i="4"/>
  <c r="L327" i="5"/>
  <c r="J324" i="4"/>
  <c r="N327" i="5"/>
  <c r="L324" i="4"/>
  <c r="Q327" i="5"/>
  <c r="M324" i="4"/>
  <c r="R327" i="5"/>
  <c r="N324" i="4"/>
  <c r="T327" i="5"/>
  <c r="O324" i="4"/>
  <c r="U327" i="5"/>
  <c r="P324" i="4"/>
  <c r="W327" i="5"/>
  <c r="Q324" i="4"/>
  <c r="X327" i="5"/>
  <c r="AA327" i="5"/>
  <c r="AC327" i="5"/>
  <c r="AD327" i="5"/>
  <c r="X324" i="4"/>
  <c r="AI327" i="5"/>
  <c r="Y324" i="4"/>
  <c r="AJ327" i="5"/>
  <c r="AL327" i="5"/>
  <c r="Z327" i="5"/>
  <c r="AN327" i="5"/>
  <c r="O328" i="5"/>
  <c r="K328" i="5"/>
  <c r="AG328" i="5"/>
  <c r="B325" i="4"/>
  <c r="V325" i="4"/>
  <c r="AF328" i="5"/>
  <c r="C328" i="5"/>
  <c r="D325" i="4"/>
  <c r="E328" i="5"/>
  <c r="I325" i="4"/>
  <c r="L328" i="5"/>
  <c r="J325" i="4"/>
  <c r="N328" i="5"/>
  <c r="L325" i="4"/>
  <c r="Q328" i="5"/>
  <c r="M325" i="4"/>
  <c r="R328" i="5"/>
  <c r="N325" i="4"/>
  <c r="T328" i="5"/>
  <c r="O325" i="4"/>
  <c r="U328" i="5"/>
  <c r="P325" i="4"/>
  <c r="W328" i="5"/>
  <c r="Q325" i="4"/>
  <c r="X328" i="5"/>
  <c r="AA328" i="5"/>
  <c r="AC328" i="5"/>
  <c r="AD328" i="5"/>
  <c r="X325" i="4"/>
  <c r="AI328" i="5"/>
  <c r="Y325" i="4"/>
  <c r="AJ328" i="5"/>
  <c r="AL328" i="5"/>
  <c r="F328" i="5"/>
  <c r="H328" i="5"/>
  <c r="I328" i="5"/>
  <c r="Z328" i="5"/>
  <c r="AN328" i="5"/>
  <c r="O329" i="5"/>
  <c r="K329" i="5"/>
  <c r="AG329" i="5"/>
  <c r="B326" i="4"/>
  <c r="V326" i="4"/>
  <c r="AF329" i="5"/>
  <c r="C329" i="5"/>
  <c r="D326" i="4"/>
  <c r="E329" i="5"/>
  <c r="I326" i="4"/>
  <c r="L329" i="5"/>
  <c r="J326" i="4"/>
  <c r="N329" i="5"/>
  <c r="L326" i="4"/>
  <c r="Q329" i="5"/>
  <c r="M326" i="4"/>
  <c r="R329" i="5"/>
  <c r="N326" i="4"/>
  <c r="T329" i="5"/>
  <c r="O326" i="4"/>
  <c r="U329" i="5"/>
  <c r="P326" i="4"/>
  <c r="W329" i="5"/>
  <c r="Q326" i="4"/>
  <c r="X329" i="5"/>
  <c r="AA329" i="5"/>
  <c r="AC329" i="5"/>
  <c r="AD329" i="5"/>
  <c r="X326" i="4"/>
  <c r="AI329" i="5"/>
  <c r="Y326" i="4"/>
  <c r="AJ329" i="5"/>
  <c r="AL329" i="5"/>
  <c r="F329" i="5"/>
  <c r="H329" i="5"/>
  <c r="I329" i="5"/>
  <c r="Z329" i="5"/>
  <c r="AN329" i="5"/>
  <c r="O330" i="5"/>
  <c r="K330" i="5"/>
  <c r="AG330" i="5"/>
  <c r="B327" i="4"/>
  <c r="V327" i="4"/>
  <c r="AF330" i="5"/>
  <c r="C330" i="5"/>
  <c r="D327" i="4"/>
  <c r="E330" i="5"/>
  <c r="I327" i="4"/>
  <c r="L330" i="5"/>
  <c r="J327" i="4"/>
  <c r="N330" i="5"/>
  <c r="L327" i="4"/>
  <c r="Q330" i="5"/>
  <c r="M327" i="4"/>
  <c r="R330" i="5"/>
  <c r="N327" i="4"/>
  <c r="T330" i="5"/>
  <c r="O327" i="4"/>
  <c r="U330" i="5"/>
  <c r="P327" i="4"/>
  <c r="W330" i="5"/>
  <c r="Q327" i="4"/>
  <c r="X330" i="5"/>
  <c r="AA330" i="5"/>
  <c r="AC330" i="5"/>
  <c r="AD330" i="5"/>
  <c r="X327" i="4"/>
  <c r="AI330" i="5"/>
  <c r="Y327" i="4"/>
  <c r="AJ330" i="5"/>
  <c r="AL330" i="5"/>
  <c r="F330" i="5"/>
  <c r="H330" i="5"/>
  <c r="I330" i="5"/>
  <c r="Z330" i="5"/>
  <c r="AN330" i="5"/>
  <c r="O331" i="5"/>
  <c r="K331" i="5"/>
  <c r="AG331" i="5"/>
  <c r="B348" i="4"/>
  <c r="V348" i="4"/>
  <c r="AF331" i="5"/>
  <c r="C331" i="5"/>
  <c r="D348" i="4"/>
  <c r="E331" i="5"/>
  <c r="I331" i="5"/>
  <c r="I348" i="4"/>
  <c r="L331" i="5"/>
  <c r="J348" i="4"/>
  <c r="N331" i="5"/>
  <c r="L348" i="4"/>
  <c r="Q331" i="5"/>
  <c r="M348" i="4"/>
  <c r="R331" i="5"/>
  <c r="N348" i="4"/>
  <c r="T331" i="5"/>
  <c r="O348" i="4"/>
  <c r="U331" i="5"/>
  <c r="P348" i="4"/>
  <c r="W331" i="5"/>
  <c r="Q348" i="4"/>
  <c r="X331" i="5"/>
  <c r="AA331" i="5"/>
  <c r="AC331" i="5"/>
  <c r="AD331" i="5"/>
  <c r="X348" i="4"/>
  <c r="AI331" i="5"/>
  <c r="Y348" i="4"/>
  <c r="AJ331" i="5"/>
  <c r="AL331" i="5"/>
  <c r="Z331" i="5"/>
  <c r="AN331" i="5"/>
  <c r="O332" i="5"/>
  <c r="K332" i="5"/>
  <c r="AG332" i="5"/>
  <c r="B349" i="4"/>
  <c r="AF332" i="5"/>
  <c r="C332" i="5"/>
  <c r="D349" i="4"/>
  <c r="E332" i="5"/>
  <c r="I332" i="5"/>
  <c r="I349" i="4"/>
  <c r="L332" i="5"/>
  <c r="J349" i="4"/>
  <c r="N332" i="5"/>
  <c r="L349" i="4"/>
  <c r="Q332" i="5"/>
  <c r="M349" i="4"/>
  <c r="R332" i="5"/>
  <c r="N349" i="4"/>
  <c r="T332" i="5"/>
  <c r="O349" i="4"/>
  <c r="U332" i="5"/>
  <c r="P349" i="4"/>
  <c r="W332" i="5"/>
  <c r="Q349" i="4"/>
  <c r="X332" i="5"/>
  <c r="AA332" i="5"/>
  <c r="AC332" i="5"/>
  <c r="AD332" i="5"/>
  <c r="X349" i="4"/>
  <c r="AI332" i="5"/>
  <c r="Z332" i="5"/>
  <c r="AN332" i="5"/>
  <c r="O333" i="5"/>
  <c r="K333" i="5"/>
  <c r="AG333" i="5"/>
  <c r="B347" i="4"/>
  <c r="V347" i="4"/>
  <c r="AF333" i="5"/>
  <c r="C333" i="5"/>
  <c r="D347" i="4"/>
  <c r="E333" i="5"/>
  <c r="I333" i="5"/>
  <c r="I347" i="4"/>
  <c r="L333" i="5"/>
  <c r="J347" i="4"/>
  <c r="N333" i="5"/>
  <c r="L347" i="4"/>
  <c r="Q333" i="5"/>
  <c r="M347" i="4"/>
  <c r="R333" i="5"/>
  <c r="N347" i="4"/>
  <c r="T333" i="5"/>
  <c r="O347" i="4"/>
  <c r="U333" i="5"/>
  <c r="P347" i="4"/>
  <c r="W333" i="5"/>
  <c r="Q347" i="4"/>
  <c r="X333" i="5"/>
  <c r="AA333" i="5"/>
  <c r="AC333" i="5"/>
  <c r="AD333" i="5"/>
  <c r="X347" i="4"/>
  <c r="AI333" i="5"/>
  <c r="Y347" i="4"/>
  <c r="AJ333" i="5"/>
  <c r="AL333" i="5"/>
  <c r="Z333" i="5"/>
  <c r="AN333" i="5"/>
  <c r="O334" i="5"/>
  <c r="K334" i="5"/>
  <c r="AG334" i="5"/>
  <c r="B350" i="4"/>
  <c r="V350" i="4"/>
  <c r="AF334" i="5"/>
  <c r="C334" i="5"/>
  <c r="D350" i="4"/>
  <c r="E334" i="5"/>
  <c r="I334" i="5"/>
  <c r="I350" i="4"/>
  <c r="L334" i="5"/>
  <c r="J350" i="4"/>
  <c r="N334" i="5"/>
  <c r="L350" i="4"/>
  <c r="Q334" i="5"/>
  <c r="M350" i="4"/>
  <c r="R334" i="5"/>
  <c r="N350" i="4"/>
  <c r="T334" i="5"/>
  <c r="O350" i="4"/>
  <c r="U334" i="5"/>
  <c r="P350" i="4"/>
  <c r="W334" i="5"/>
  <c r="Q350" i="4"/>
  <c r="X334" i="5"/>
  <c r="AA334" i="5"/>
  <c r="AC334" i="5"/>
  <c r="AD334" i="5"/>
  <c r="X350" i="4"/>
  <c r="AI334" i="5"/>
  <c r="Y350" i="4"/>
  <c r="AJ334" i="5"/>
  <c r="AL334" i="5"/>
  <c r="Z334" i="5"/>
  <c r="AN334" i="5"/>
  <c r="O335" i="5"/>
  <c r="K335" i="5"/>
  <c r="AG335" i="5"/>
  <c r="B351" i="4"/>
  <c r="V351" i="4"/>
  <c r="AF335" i="5"/>
  <c r="C335" i="5"/>
  <c r="D351" i="4"/>
  <c r="E335" i="5"/>
  <c r="I351" i="4"/>
  <c r="L335" i="5"/>
  <c r="J351" i="4"/>
  <c r="N335" i="5"/>
  <c r="L351" i="4"/>
  <c r="Q335" i="5"/>
  <c r="M351" i="4"/>
  <c r="R335" i="5"/>
  <c r="N351" i="4"/>
  <c r="T335" i="5"/>
  <c r="O351" i="4"/>
  <c r="U335" i="5"/>
  <c r="P351" i="4"/>
  <c r="W335" i="5"/>
  <c r="Q351" i="4"/>
  <c r="X335" i="5"/>
  <c r="AA335" i="5"/>
  <c r="AC335" i="5"/>
  <c r="AD335" i="5"/>
  <c r="X351" i="4"/>
  <c r="AI335" i="5"/>
  <c r="Y351" i="4"/>
  <c r="AJ335" i="5"/>
  <c r="AL335" i="5"/>
  <c r="F335" i="5"/>
  <c r="H335" i="5"/>
  <c r="I335" i="5"/>
  <c r="Z335" i="5"/>
  <c r="AN335" i="5"/>
  <c r="O336" i="5"/>
  <c r="K336" i="5"/>
  <c r="AG336" i="5"/>
  <c r="B339" i="4"/>
  <c r="V339" i="4"/>
  <c r="AF336" i="5"/>
  <c r="C336" i="5"/>
  <c r="D339" i="4"/>
  <c r="E336" i="5"/>
  <c r="I339" i="4"/>
  <c r="L336" i="5"/>
  <c r="J339" i="4"/>
  <c r="N336" i="5"/>
  <c r="L339" i="4"/>
  <c r="Q336" i="5"/>
  <c r="M339" i="4"/>
  <c r="R336" i="5"/>
  <c r="N339" i="4"/>
  <c r="T336" i="5"/>
  <c r="O339" i="4"/>
  <c r="U336" i="5"/>
  <c r="P339" i="4"/>
  <c r="W336" i="5"/>
  <c r="Q339" i="4"/>
  <c r="X336" i="5"/>
  <c r="AA336" i="5"/>
  <c r="AC336" i="5"/>
  <c r="AD336" i="5"/>
  <c r="X339" i="4"/>
  <c r="AI336" i="5"/>
  <c r="Y339" i="4"/>
  <c r="AJ336" i="5"/>
  <c r="AL336" i="5"/>
  <c r="F336" i="5"/>
  <c r="H336" i="5"/>
  <c r="I336" i="5"/>
  <c r="Z336" i="5"/>
  <c r="AN336" i="5"/>
  <c r="O337" i="5"/>
  <c r="K337" i="5"/>
  <c r="AG337" i="5"/>
  <c r="B340" i="4"/>
  <c r="V340" i="4"/>
  <c r="AF337" i="5"/>
  <c r="C337" i="5"/>
  <c r="D340" i="4"/>
  <c r="E337" i="5"/>
  <c r="I337" i="5"/>
  <c r="I340" i="4"/>
  <c r="L337" i="5"/>
  <c r="J340" i="4"/>
  <c r="N337" i="5"/>
  <c r="L340" i="4"/>
  <c r="Q337" i="5"/>
  <c r="M340" i="4"/>
  <c r="R337" i="5"/>
  <c r="N340" i="4"/>
  <c r="T337" i="5"/>
  <c r="O340" i="4"/>
  <c r="U337" i="5"/>
  <c r="P340" i="4"/>
  <c r="W337" i="5"/>
  <c r="Q340" i="4"/>
  <c r="X337" i="5"/>
  <c r="AA337" i="5"/>
  <c r="AC337" i="5"/>
  <c r="AD337" i="5"/>
  <c r="X340" i="4"/>
  <c r="AI337" i="5"/>
  <c r="Y340" i="4"/>
  <c r="AJ337" i="5"/>
  <c r="AL337" i="5"/>
  <c r="Z337" i="5"/>
  <c r="AN337" i="5"/>
  <c r="O338" i="5"/>
  <c r="K338" i="5"/>
  <c r="AG338" i="5"/>
  <c r="AF338" i="5"/>
  <c r="C338" i="5"/>
  <c r="B341" i="4"/>
  <c r="D341" i="4"/>
  <c r="E338" i="5"/>
  <c r="I338" i="5"/>
  <c r="I341" i="4"/>
  <c r="L338" i="5"/>
  <c r="J341" i="4"/>
  <c r="N338" i="5"/>
  <c r="L341" i="4"/>
  <c r="Q338" i="5"/>
  <c r="M341" i="4"/>
  <c r="R338" i="5"/>
  <c r="N341" i="4"/>
  <c r="T338" i="5"/>
  <c r="O341" i="4"/>
  <c r="U338" i="5"/>
  <c r="P341" i="4"/>
  <c r="W338" i="5"/>
  <c r="Q341" i="4"/>
  <c r="X338" i="5"/>
  <c r="AA338" i="5"/>
  <c r="AC338" i="5"/>
  <c r="AD338" i="5"/>
  <c r="X341" i="4"/>
  <c r="AI338" i="5"/>
  <c r="Y341" i="4"/>
  <c r="AJ338" i="5"/>
  <c r="AL338" i="5"/>
  <c r="Z338" i="5"/>
  <c r="AN338" i="5"/>
  <c r="O339" i="5"/>
  <c r="K339" i="5"/>
  <c r="AG339" i="5"/>
  <c r="B342" i="4"/>
  <c r="V342" i="4"/>
  <c r="AF339" i="5"/>
  <c r="C339" i="5"/>
  <c r="D342" i="4"/>
  <c r="E339" i="5"/>
  <c r="I339" i="5"/>
  <c r="I342" i="4"/>
  <c r="L339" i="5"/>
  <c r="J342" i="4"/>
  <c r="N339" i="5"/>
  <c r="L342" i="4"/>
  <c r="Q339" i="5"/>
  <c r="M342" i="4"/>
  <c r="R339" i="5"/>
  <c r="N342" i="4"/>
  <c r="T339" i="5"/>
  <c r="O342" i="4"/>
  <c r="U339" i="5"/>
  <c r="P342" i="4"/>
  <c r="W339" i="5"/>
  <c r="Q342" i="4"/>
  <c r="X339" i="5"/>
  <c r="AA339" i="5"/>
  <c r="AC339" i="5"/>
  <c r="AD339" i="5"/>
  <c r="X342" i="4"/>
  <c r="AI339" i="5"/>
  <c r="Y342" i="4"/>
  <c r="AJ339" i="5"/>
  <c r="AL339" i="5"/>
  <c r="Z339" i="5"/>
  <c r="AN339" i="5"/>
  <c r="O340" i="5"/>
  <c r="K340" i="5"/>
  <c r="AG340" i="5"/>
  <c r="B346" i="4"/>
  <c r="V346" i="4"/>
  <c r="AF340" i="5"/>
  <c r="C340" i="5"/>
  <c r="D346" i="4"/>
  <c r="E340" i="5"/>
  <c r="I340" i="5"/>
  <c r="I346" i="4"/>
  <c r="L340" i="5"/>
  <c r="J346" i="4"/>
  <c r="N340" i="5"/>
  <c r="L346" i="4"/>
  <c r="Q340" i="5"/>
  <c r="M346" i="4"/>
  <c r="R340" i="5"/>
  <c r="N346" i="4"/>
  <c r="T340" i="5"/>
  <c r="O346" i="4"/>
  <c r="U340" i="5"/>
  <c r="P346" i="4"/>
  <c r="W340" i="5"/>
  <c r="Q346" i="4"/>
  <c r="X340" i="5"/>
  <c r="AA340" i="5"/>
  <c r="AC340" i="5"/>
  <c r="AD340" i="5"/>
  <c r="X346" i="4"/>
  <c r="AI340" i="5"/>
  <c r="Y346" i="4"/>
  <c r="AJ340" i="5"/>
  <c r="AL340" i="5"/>
  <c r="Z340" i="5"/>
  <c r="AN340" i="5"/>
  <c r="O341" i="5"/>
  <c r="K341" i="5"/>
  <c r="AG341" i="5"/>
  <c r="B343" i="4"/>
  <c r="V343" i="4"/>
  <c r="AF341" i="5"/>
  <c r="C341" i="5"/>
  <c r="D343" i="4"/>
  <c r="E341" i="5"/>
  <c r="I343" i="4"/>
  <c r="L341" i="5"/>
  <c r="J343" i="4"/>
  <c r="N341" i="5"/>
  <c r="L343" i="4"/>
  <c r="Q341" i="5"/>
  <c r="M343" i="4"/>
  <c r="R341" i="5"/>
  <c r="N343" i="4"/>
  <c r="T341" i="5"/>
  <c r="O343" i="4"/>
  <c r="U341" i="5"/>
  <c r="P343" i="4"/>
  <c r="W341" i="5"/>
  <c r="Q343" i="4"/>
  <c r="X341" i="5"/>
  <c r="AA341" i="5"/>
  <c r="AC341" i="5"/>
  <c r="AD341" i="5"/>
  <c r="X343" i="4"/>
  <c r="AI341" i="5"/>
  <c r="Y343" i="4"/>
  <c r="AJ341" i="5"/>
  <c r="AL341" i="5"/>
  <c r="F341" i="5"/>
  <c r="H341" i="5"/>
  <c r="I341" i="5"/>
  <c r="Z341" i="5"/>
  <c r="AN341" i="5"/>
  <c r="O342" i="5"/>
  <c r="K342" i="5"/>
  <c r="AG342" i="5"/>
  <c r="B352" i="4"/>
  <c r="V352" i="4"/>
  <c r="AF342" i="5"/>
  <c r="C342" i="5"/>
  <c r="D352" i="4"/>
  <c r="E342" i="5"/>
  <c r="I342" i="5"/>
  <c r="I352" i="4"/>
  <c r="L342" i="5"/>
  <c r="J352" i="4"/>
  <c r="N342" i="5"/>
  <c r="L352" i="4"/>
  <c r="Q342" i="5"/>
  <c r="M352" i="4"/>
  <c r="R342" i="5"/>
  <c r="N352" i="4"/>
  <c r="T342" i="5"/>
  <c r="O352" i="4"/>
  <c r="U342" i="5"/>
  <c r="P352" i="4"/>
  <c r="W342" i="5"/>
  <c r="Q352" i="4"/>
  <c r="X342" i="5"/>
  <c r="AA342" i="5"/>
  <c r="AC342" i="5"/>
  <c r="AD342" i="5"/>
  <c r="X352" i="4"/>
  <c r="AI342" i="5"/>
  <c r="Y352" i="4"/>
  <c r="AJ342" i="5"/>
  <c r="AL342" i="5"/>
  <c r="Z342" i="5"/>
  <c r="AN342" i="5"/>
  <c r="O343" i="5"/>
  <c r="K343" i="5"/>
  <c r="AG343" i="5"/>
  <c r="B328" i="4"/>
  <c r="V328" i="4"/>
  <c r="AF343" i="5"/>
  <c r="C343" i="5"/>
  <c r="D328" i="4"/>
  <c r="E343" i="5"/>
  <c r="I328" i="4"/>
  <c r="L343" i="5"/>
  <c r="J328" i="4"/>
  <c r="N343" i="5"/>
  <c r="L328" i="4"/>
  <c r="Q343" i="5"/>
  <c r="M328" i="4"/>
  <c r="R343" i="5"/>
  <c r="N328" i="4"/>
  <c r="T343" i="5"/>
  <c r="O328" i="4"/>
  <c r="U343" i="5"/>
  <c r="P328" i="4"/>
  <c r="W343" i="5"/>
  <c r="Q328" i="4"/>
  <c r="X343" i="5"/>
  <c r="AA343" i="5"/>
  <c r="AC343" i="5"/>
  <c r="AD343" i="5"/>
  <c r="X328" i="4"/>
  <c r="AI343" i="5"/>
  <c r="Y328" i="4"/>
  <c r="AJ343" i="5"/>
  <c r="AL343" i="5"/>
  <c r="F343" i="5"/>
  <c r="H343" i="5"/>
  <c r="I343" i="5"/>
  <c r="Z343" i="5"/>
  <c r="AN343" i="5"/>
  <c r="O344" i="5"/>
  <c r="K344" i="5"/>
  <c r="AG344" i="5"/>
  <c r="B329" i="4"/>
  <c r="V329" i="4"/>
  <c r="AF344" i="5"/>
  <c r="C344" i="5"/>
  <c r="D329" i="4"/>
  <c r="E344" i="5"/>
  <c r="I344" i="5"/>
  <c r="I329" i="4"/>
  <c r="L344" i="5"/>
  <c r="J329" i="4"/>
  <c r="N344" i="5"/>
  <c r="L329" i="4"/>
  <c r="Q344" i="5"/>
  <c r="M329" i="4"/>
  <c r="R344" i="5"/>
  <c r="N329" i="4"/>
  <c r="T344" i="5"/>
  <c r="O329" i="4"/>
  <c r="U344" i="5"/>
  <c r="P329" i="4"/>
  <c r="W344" i="5"/>
  <c r="Q329" i="4"/>
  <c r="X344" i="5"/>
  <c r="AA344" i="5"/>
  <c r="AC344" i="5"/>
  <c r="AD344" i="5"/>
  <c r="X329" i="4"/>
  <c r="AI344" i="5"/>
  <c r="Y329" i="4"/>
  <c r="AJ344" i="5"/>
  <c r="AL344" i="5"/>
  <c r="Z344" i="5"/>
  <c r="AN344" i="5"/>
  <c r="O345" i="5"/>
  <c r="K345" i="5"/>
  <c r="AG345" i="5"/>
  <c r="B330" i="4"/>
  <c r="V330" i="4"/>
  <c r="AF345" i="5"/>
  <c r="C345" i="5"/>
  <c r="D330" i="4"/>
  <c r="E345" i="5"/>
  <c r="I330" i="4"/>
  <c r="L345" i="5"/>
  <c r="J330" i="4"/>
  <c r="N345" i="5"/>
  <c r="L330" i="4"/>
  <c r="Q345" i="5"/>
  <c r="M330" i="4"/>
  <c r="R345" i="5"/>
  <c r="N330" i="4"/>
  <c r="T345" i="5"/>
  <c r="O330" i="4"/>
  <c r="U345" i="5"/>
  <c r="P330" i="4"/>
  <c r="W345" i="5"/>
  <c r="Q330" i="4"/>
  <c r="X345" i="5"/>
  <c r="AA345" i="5"/>
  <c r="AC345" i="5"/>
  <c r="AD345" i="5"/>
  <c r="X330" i="4"/>
  <c r="AI345" i="5"/>
  <c r="Y330" i="4"/>
  <c r="AJ345" i="5"/>
  <c r="AL345" i="5"/>
  <c r="F345" i="5"/>
  <c r="H345" i="5"/>
  <c r="I345" i="5"/>
  <c r="Z345" i="5"/>
  <c r="AN345" i="5"/>
  <c r="O346" i="5"/>
  <c r="K346" i="5"/>
  <c r="AG346" i="5"/>
  <c r="B331" i="4"/>
  <c r="V331" i="4"/>
  <c r="AF346" i="5"/>
  <c r="C346" i="5"/>
  <c r="D331" i="4"/>
  <c r="E346" i="5"/>
  <c r="I346" i="5"/>
  <c r="I331" i="4"/>
  <c r="L346" i="5"/>
  <c r="J331" i="4"/>
  <c r="N346" i="5"/>
  <c r="L331" i="4"/>
  <c r="Q346" i="5"/>
  <c r="M331" i="4"/>
  <c r="R346" i="5"/>
  <c r="N331" i="4"/>
  <c r="T346" i="5"/>
  <c r="O331" i="4"/>
  <c r="U346" i="5"/>
  <c r="P331" i="4"/>
  <c r="W346" i="5"/>
  <c r="Q331" i="4"/>
  <c r="X346" i="5"/>
  <c r="AA346" i="5"/>
  <c r="AC346" i="5"/>
  <c r="AD346" i="5"/>
  <c r="X331" i="4"/>
  <c r="AI346" i="5"/>
  <c r="Y331" i="4"/>
  <c r="AJ346" i="5"/>
  <c r="AL346" i="5"/>
  <c r="Z346" i="5"/>
  <c r="AN346" i="5"/>
  <c r="O347" i="5"/>
  <c r="K347" i="5"/>
  <c r="AG347" i="5"/>
  <c r="B332" i="4"/>
  <c r="V332" i="4"/>
  <c r="AF347" i="5"/>
  <c r="C347" i="5"/>
  <c r="D332" i="4"/>
  <c r="E347" i="5"/>
  <c r="I347" i="5"/>
  <c r="I332" i="4"/>
  <c r="L347" i="5"/>
  <c r="J332" i="4"/>
  <c r="N347" i="5"/>
  <c r="L332" i="4"/>
  <c r="Q347" i="5"/>
  <c r="M332" i="4"/>
  <c r="R347" i="5"/>
  <c r="N332" i="4"/>
  <c r="T347" i="5"/>
  <c r="O332" i="4"/>
  <c r="U347" i="5"/>
  <c r="P332" i="4"/>
  <c r="W347" i="5"/>
  <c r="Q332" i="4"/>
  <c r="X347" i="5"/>
  <c r="AA347" i="5"/>
  <c r="AC347" i="5"/>
  <c r="AD347" i="5"/>
  <c r="X332" i="4"/>
  <c r="AI347" i="5"/>
  <c r="Y332" i="4"/>
  <c r="AJ347" i="5"/>
  <c r="AL347" i="5"/>
  <c r="Z347" i="5"/>
  <c r="AN347" i="5"/>
  <c r="O348" i="5"/>
  <c r="K348" i="5"/>
  <c r="AG348" i="5"/>
  <c r="B344" i="4"/>
  <c r="V344" i="4"/>
  <c r="AF348" i="5"/>
  <c r="C348" i="5"/>
  <c r="D344" i="4"/>
  <c r="E348" i="5"/>
  <c r="I348" i="5"/>
  <c r="I344" i="4"/>
  <c r="L348" i="5"/>
  <c r="J344" i="4"/>
  <c r="N348" i="5"/>
  <c r="L344" i="4"/>
  <c r="Q348" i="5"/>
  <c r="M344" i="4"/>
  <c r="R348" i="5"/>
  <c r="N344" i="4"/>
  <c r="T348" i="5"/>
  <c r="O344" i="4"/>
  <c r="U348" i="5"/>
  <c r="P344" i="4"/>
  <c r="W348" i="5"/>
  <c r="Q344" i="4"/>
  <c r="X348" i="5"/>
  <c r="AA348" i="5"/>
  <c r="AC348" i="5"/>
  <c r="AD348" i="5"/>
  <c r="X344" i="4"/>
  <c r="AI348" i="5"/>
  <c r="Y344" i="4"/>
  <c r="AJ348" i="5"/>
  <c r="AL348" i="5"/>
  <c r="Z348" i="5"/>
  <c r="AN348" i="5"/>
  <c r="O349" i="5"/>
  <c r="K349" i="5"/>
  <c r="AG349" i="5"/>
  <c r="B333" i="4"/>
  <c r="V333" i="4"/>
  <c r="AF349" i="5"/>
  <c r="C349" i="5"/>
  <c r="D333" i="4"/>
  <c r="E349" i="5"/>
  <c r="I333" i="4"/>
  <c r="L349" i="5"/>
  <c r="J333" i="4"/>
  <c r="N349" i="5"/>
  <c r="L333" i="4"/>
  <c r="Q349" i="5"/>
  <c r="M333" i="4"/>
  <c r="R349" i="5"/>
  <c r="N333" i="4"/>
  <c r="T349" i="5"/>
  <c r="O333" i="4"/>
  <c r="U349" i="5"/>
  <c r="P333" i="4"/>
  <c r="W349" i="5"/>
  <c r="Q333" i="4"/>
  <c r="X349" i="5"/>
  <c r="AA349" i="5"/>
  <c r="AC349" i="5"/>
  <c r="AD349" i="5"/>
  <c r="X333" i="4"/>
  <c r="AI349" i="5"/>
  <c r="Y333" i="4"/>
  <c r="AJ349" i="5"/>
  <c r="AL349" i="5"/>
  <c r="F349" i="5"/>
  <c r="H349" i="5"/>
  <c r="I349" i="5"/>
  <c r="Z349" i="5"/>
  <c r="AN349" i="5"/>
  <c r="O350" i="5"/>
  <c r="K350" i="5"/>
  <c r="AG350" i="5"/>
  <c r="B334" i="4"/>
  <c r="V334" i="4"/>
  <c r="AF350" i="5"/>
  <c r="C350" i="5"/>
  <c r="D334" i="4"/>
  <c r="E350" i="5"/>
  <c r="I334" i="4"/>
  <c r="L350" i="5"/>
  <c r="J334" i="4"/>
  <c r="N350" i="5"/>
  <c r="L334" i="4"/>
  <c r="Q350" i="5"/>
  <c r="M334" i="4"/>
  <c r="R350" i="5"/>
  <c r="N334" i="4"/>
  <c r="T350" i="5"/>
  <c r="O334" i="4"/>
  <c r="U350" i="5"/>
  <c r="P334" i="4"/>
  <c r="W350" i="5"/>
  <c r="Q334" i="4"/>
  <c r="X350" i="5"/>
  <c r="AA350" i="5"/>
  <c r="AC350" i="5"/>
  <c r="AD350" i="5"/>
  <c r="X334" i="4"/>
  <c r="AI350" i="5"/>
  <c r="Y334" i="4"/>
  <c r="AJ350" i="5"/>
  <c r="AL350" i="5"/>
  <c r="F350" i="5"/>
  <c r="H350" i="5"/>
  <c r="I350" i="5"/>
  <c r="Z350" i="5"/>
  <c r="AN350" i="5"/>
  <c r="O351" i="5"/>
  <c r="K351" i="5"/>
  <c r="AG351" i="5"/>
  <c r="B335" i="4"/>
  <c r="V335" i="4"/>
  <c r="AF351" i="5"/>
  <c r="C351" i="5"/>
  <c r="D335" i="4"/>
  <c r="E351" i="5"/>
  <c r="I335" i="4"/>
  <c r="L351" i="5"/>
  <c r="J335" i="4"/>
  <c r="N351" i="5"/>
  <c r="L335" i="4"/>
  <c r="Q351" i="5"/>
  <c r="M335" i="4"/>
  <c r="R351" i="5"/>
  <c r="N335" i="4"/>
  <c r="T351" i="5"/>
  <c r="O335" i="4"/>
  <c r="U351" i="5"/>
  <c r="P335" i="4"/>
  <c r="W351" i="5"/>
  <c r="Q335" i="4"/>
  <c r="X351" i="5"/>
  <c r="AA351" i="5"/>
  <c r="AC351" i="5"/>
  <c r="AD351" i="5"/>
  <c r="X335" i="4"/>
  <c r="AI351" i="5"/>
  <c r="Y335" i="4"/>
  <c r="AJ351" i="5"/>
  <c r="AL351" i="5"/>
  <c r="F351" i="5"/>
  <c r="H351" i="5"/>
  <c r="I351" i="5"/>
  <c r="Z351" i="5"/>
  <c r="AN351" i="5"/>
  <c r="O352" i="5"/>
  <c r="K352" i="5"/>
  <c r="AG352" i="5"/>
  <c r="B345" i="4"/>
  <c r="V345" i="4"/>
  <c r="AF352" i="5"/>
  <c r="C352" i="5"/>
  <c r="D345" i="4"/>
  <c r="E352" i="5"/>
  <c r="I352" i="5"/>
  <c r="I345" i="4"/>
  <c r="L352" i="5"/>
  <c r="J345" i="4"/>
  <c r="N352" i="5"/>
  <c r="L345" i="4"/>
  <c r="Q352" i="5"/>
  <c r="M345" i="4"/>
  <c r="R352" i="5"/>
  <c r="N345" i="4"/>
  <c r="T352" i="5"/>
  <c r="O345" i="4"/>
  <c r="U352" i="5"/>
  <c r="P345" i="4"/>
  <c r="W352" i="5"/>
  <c r="Q345" i="4"/>
  <c r="X352" i="5"/>
  <c r="AA352" i="5"/>
  <c r="AC352" i="5"/>
  <c r="AD352" i="5"/>
  <c r="X345" i="4"/>
  <c r="AI352" i="5"/>
  <c r="Y345" i="4"/>
  <c r="AJ352" i="5"/>
  <c r="AL352" i="5"/>
  <c r="Z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AA353" i="5"/>
  <c r="T353" i="4"/>
  <c r="AC353" i="5"/>
  <c r="U353" i="4"/>
  <c r="AD353" i="5"/>
  <c r="X353" i="4"/>
  <c r="AI353" i="5"/>
  <c r="Y353" i="4"/>
  <c r="AJ353" i="5"/>
  <c r="Z353" i="4"/>
  <c r="AL353" i="5"/>
  <c r="F353" i="5"/>
  <c r="H353" i="5"/>
  <c r="I353" i="5"/>
  <c r="Z353" i="5"/>
  <c r="AN353" i="5"/>
  <c r="B373" i="4"/>
  <c r="K373" i="4"/>
  <c r="O354" i="5"/>
  <c r="H373" i="4"/>
  <c r="K354" i="5"/>
  <c r="W373" i="4"/>
  <c r="AG354" i="5"/>
  <c r="V373" i="4"/>
  <c r="AF354" i="5"/>
  <c r="C373" i="4"/>
  <c r="C354" i="5"/>
  <c r="D373" i="4"/>
  <c r="E354" i="5"/>
  <c r="I373" i="4"/>
  <c r="L354" i="5"/>
  <c r="J373" i="4"/>
  <c r="N354" i="5"/>
  <c r="L373" i="4"/>
  <c r="Q354" i="5"/>
  <c r="M373" i="4"/>
  <c r="R354" i="5"/>
  <c r="N373" i="4"/>
  <c r="T354" i="5"/>
  <c r="O373" i="4"/>
  <c r="U354" i="5"/>
  <c r="P373" i="4"/>
  <c r="W354" i="5"/>
  <c r="Q373" i="4"/>
  <c r="X354" i="5"/>
  <c r="S373" i="4"/>
  <c r="AA354" i="5"/>
  <c r="T373" i="4"/>
  <c r="AC354" i="5"/>
  <c r="U373" i="4"/>
  <c r="AD354" i="5"/>
  <c r="X373" i="4"/>
  <c r="AI354" i="5"/>
  <c r="Y373" i="4"/>
  <c r="AJ354" i="5"/>
  <c r="Z373" i="4"/>
  <c r="AL354" i="5"/>
  <c r="F354" i="5"/>
  <c r="H354" i="5"/>
  <c r="I354" i="5"/>
  <c r="Z354" i="5"/>
  <c r="AN354" i="5"/>
  <c r="B374" i="4"/>
  <c r="K374" i="4"/>
  <c r="O355" i="5"/>
  <c r="H374" i="4"/>
  <c r="K355" i="5"/>
  <c r="W374" i="4"/>
  <c r="AG355" i="5"/>
  <c r="V374" i="4"/>
  <c r="AF355" i="5"/>
  <c r="C374" i="4"/>
  <c r="C355" i="5"/>
  <c r="D374" i="4"/>
  <c r="E355" i="5"/>
  <c r="I374" i="4"/>
  <c r="L355" i="5"/>
  <c r="J374" i="4"/>
  <c r="N355" i="5"/>
  <c r="L374" i="4"/>
  <c r="Q355" i="5"/>
  <c r="M374" i="4"/>
  <c r="R355" i="5"/>
  <c r="N374" i="4"/>
  <c r="T355" i="5"/>
  <c r="O374" i="4"/>
  <c r="U355" i="5"/>
  <c r="P374" i="4"/>
  <c r="W355" i="5"/>
  <c r="Q374" i="4"/>
  <c r="X355" i="5"/>
  <c r="S374" i="4"/>
  <c r="AA355" i="5"/>
  <c r="T374" i="4"/>
  <c r="AC355" i="5"/>
  <c r="U374" i="4"/>
  <c r="AD355" i="5"/>
  <c r="X374" i="4"/>
  <c r="AI355" i="5"/>
  <c r="Y374" i="4"/>
  <c r="AJ355" i="5"/>
  <c r="Z374" i="4"/>
  <c r="AL355" i="5"/>
  <c r="F355" i="5"/>
  <c r="H355" i="5"/>
  <c r="I355" i="5"/>
  <c r="Z355" i="5"/>
  <c r="AN355" i="5"/>
  <c r="B372" i="4"/>
  <c r="S372" i="4"/>
  <c r="AA356" i="5"/>
  <c r="P372" i="4"/>
  <c r="W356" i="5"/>
  <c r="K372" i="4"/>
  <c r="O356" i="5"/>
  <c r="H372" i="4"/>
  <c r="K356" i="5"/>
  <c r="W372" i="4"/>
  <c r="AG356" i="5"/>
  <c r="V372" i="4"/>
  <c r="AF356" i="5"/>
  <c r="C372" i="4"/>
  <c r="C356" i="5"/>
  <c r="D372" i="4"/>
  <c r="E356" i="5"/>
  <c r="I372" i="4"/>
  <c r="L356" i="5"/>
  <c r="J372" i="4"/>
  <c r="N356" i="5"/>
  <c r="L372" i="4"/>
  <c r="Q356" i="5"/>
  <c r="M372" i="4"/>
  <c r="R356" i="5"/>
  <c r="N372" i="4"/>
  <c r="T356" i="5"/>
  <c r="O372" i="4"/>
  <c r="U356" i="5"/>
  <c r="Q372" i="4"/>
  <c r="X356" i="5"/>
  <c r="R372" i="4"/>
  <c r="Z356" i="5"/>
  <c r="T372" i="4"/>
  <c r="AC356" i="5"/>
  <c r="U372" i="4"/>
  <c r="AD356" i="5"/>
  <c r="X372" i="4"/>
  <c r="AI356" i="5"/>
  <c r="Y372" i="4"/>
  <c r="AJ356" i="5"/>
  <c r="Z372" i="4"/>
  <c r="AL356" i="5"/>
  <c r="F356" i="5"/>
  <c r="H356" i="5"/>
  <c r="I356" i="5"/>
  <c r="AN356" i="5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T354" i="4"/>
  <c r="AC357" i="5"/>
  <c r="U354" i="4"/>
  <c r="AD357" i="5"/>
  <c r="X354" i="4"/>
  <c r="AI357" i="5"/>
  <c r="Y354" i="4"/>
  <c r="AJ357" i="5"/>
  <c r="Z354" i="4"/>
  <c r="AL357" i="5"/>
  <c r="Z357" i="5"/>
  <c r="F357" i="5"/>
  <c r="H357" i="5"/>
  <c r="I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T355" i="4"/>
  <c r="AC358" i="5"/>
  <c r="U355" i="4"/>
  <c r="AD358" i="5"/>
  <c r="X355" i="4"/>
  <c r="AI358" i="5"/>
  <c r="Y355" i="4"/>
  <c r="AJ358" i="5"/>
  <c r="Z355" i="4"/>
  <c r="AL358" i="5"/>
  <c r="Z358" i="5"/>
  <c r="F358" i="5"/>
  <c r="H358" i="5"/>
  <c r="I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Z359" i="5"/>
  <c r="F359" i="5"/>
  <c r="H359" i="5"/>
  <c r="I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60" i="5"/>
  <c r="F360" i="5"/>
  <c r="H360" i="5"/>
  <c r="I360" i="5"/>
  <c r="AN360" i="5"/>
  <c r="S358" i="4"/>
  <c r="P358" i="4"/>
  <c r="W361" i="5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Q358" i="4"/>
  <c r="X361" i="5"/>
  <c r="R358" i="4"/>
  <c r="Z361" i="5"/>
  <c r="T358" i="4"/>
  <c r="AC361" i="5"/>
  <c r="U358" i="4"/>
  <c r="AD361" i="5"/>
  <c r="X358" i="4"/>
  <c r="AI361" i="5"/>
  <c r="F361" i="5"/>
  <c r="H361" i="5"/>
  <c r="I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F366" i="5"/>
  <c r="H366" i="5"/>
  <c r="I366" i="5"/>
  <c r="Z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F367" i="5"/>
  <c r="H367" i="5"/>
  <c r="I367" i="5"/>
  <c r="Z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F368" i="5"/>
  <c r="H368" i="5"/>
  <c r="I368" i="5"/>
  <c r="Z368" i="5"/>
  <c r="AN368" i="5"/>
  <c r="B366" i="4"/>
  <c r="K366" i="4"/>
  <c r="O369" i="5"/>
  <c r="H366" i="4"/>
  <c r="K369" i="5"/>
  <c r="W366" i="4"/>
  <c r="AG369" i="5"/>
  <c r="V366" i="4"/>
  <c r="AF369" i="5"/>
  <c r="C366" i="4"/>
  <c r="C369" i="5"/>
  <c r="D366" i="4"/>
  <c r="E369" i="5"/>
  <c r="I366" i="4"/>
  <c r="L369" i="5"/>
  <c r="J366" i="4"/>
  <c r="N369" i="5"/>
  <c r="L366" i="4"/>
  <c r="Q369" i="5"/>
  <c r="M366" i="4"/>
  <c r="R369" i="5"/>
  <c r="N366" i="4"/>
  <c r="T369" i="5"/>
  <c r="O366" i="4"/>
  <c r="U369" i="5"/>
  <c r="P366" i="4"/>
  <c r="W369" i="5"/>
  <c r="Q366" i="4"/>
  <c r="X369" i="5"/>
  <c r="S366" i="4"/>
  <c r="AA369" i="5"/>
  <c r="T366" i="4"/>
  <c r="AC369" i="5"/>
  <c r="U366" i="4"/>
  <c r="AD369" i="5"/>
  <c r="X366" i="4"/>
  <c r="AI369" i="5"/>
  <c r="Y366" i="4"/>
  <c r="AJ369" i="5"/>
  <c r="Z366" i="4"/>
  <c r="AL369" i="5"/>
  <c r="F369" i="5"/>
  <c r="H369" i="5"/>
  <c r="I369" i="5"/>
  <c r="Z369" i="5"/>
  <c r="AN369" i="5"/>
  <c r="B367" i="4"/>
  <c r="K367" i="4"/>
  <c r="O370" i="5"/>
  <c r="H367" i="4"/>
  <c r="K370" i="5"/>
  <c r="W367" i="4"/>
  <c r="AG370" i="5"/>
  <c r="V367" i="4"/>
  <c r="AF370" i="5"/>
  <c r="C367" i="4"/>
  <c r="C370" i="5"/>
  <c r="D367" i="4"/>
  <c r="E370" i="5"/>
  <c r="I367" i="4"/>
  <c r="L370" i="5"/>
  <c r="J367" i="4"/>
  <c r="N370" i="5"/>
  <c r="L367" i="4"/>
  <c r="Q370" i="5"/>
  <c r="M367" i="4"/>
  <c r="R370" i="5"/>
  <c r="N367" i="4"/>
  <c r="T370" i="5"/>
  <c r="O367" i="4"/>
  <c r="U370" i="5"/>
  <c r="P367" i="4"/>
  <c r="W370" i="5"/>
  <c r="Q367" i="4"/>
  <c r="X370" i="5"/>
  <c r="S367" i="4"/>
  <c r="AA370" i="5"/>
  <c r="T367" i="4"/>
  <c r="AC370" i="5"/>
  <c r="U367" i="4"/>
  <c r="AD370" i="5"/>
  <c r="X367" i="4"/>
  <c r="AI370" i="5"/>
  <c r="Y367" i="4"/>
  <c r="AJ370" i="5"/>
  <c r="Z367" i="4"/>
  <c r="AL370" i="5"/>
  <c r="F370" i="5"/>
  <c r="H370" i="5"/>
  <c r="I370" i="5"/>
  <c r="Z370" i="5"/>
  <c r="AN370" i="5"/>
  <c r="B368" i="4"/>
  <c r="S368" i="4"/>
  <c r="AA371" i="5"/>
  <c r="P368" i="4"/>
  <c r="W371" i="5"/>
  <c r="K368" i="4"/>
  <c r="O371" i="5"/>
  <c r="H368" i="4"/>
  <c r="K371" i="5"/>
  <c r="W368" i="4"/>
  <c r="AG371" i="5"/>
  <c r="V368" i="4"/>
  <c r="AF371" i="5"/>
  <c r="C368" i="4"/>
  <c r="C371" i="5"/>
  <c r="D368" i="4"/>
  <c r="E371" i="5"/>
  <c r="I368" i="4"/>
  <c r="L371" i="5"/>
  <c r="J368" i="4"/>
  <c r="N371" i="5"/>
  <c r="L368" i="4"/>
  <c r="Q371" i="5"/>
  <c r="M368" i="4"/>
  <c r="R371" i="5"/>
  <c r="N368" i="4"/>
  <c r="T371" i="5"/>
  <c r="O368" i="4"/>
  <c r="U371" i="5"/>
  <c r="Q368" i="4"/>
  <c r="X371" i="5"/>
  <c r="R368" i="4"/>
  <c r="Z371" i="5"/>
  <c r="T368" i="4"/>
  <c r="AC371" i="5"/>
  <c r="U368" i="4"/>
  <c r="AD371" i="5"/>
  <c r="X368" i="4"/>
  <c r="AI371" i="5"/>
  <c r="F371" i="5"/>
  <c r="H371" i="5"/>
  <c r="I371" i="5"/>
  <c r="AN371" i="5"/>
  <c r="B369" i="4"/>
  <c r="K369" i="4"/>
  <c r="O372" i="5"/>
  <c r="H369" i="4"/>
  <c r="K372" i="5"/>
  <c r="W369" i="4"/>
  <c r="AG372" i="5"/>
  <c r="V369" i="4"/>
  <c r="AF372" i="5"/>
  <c r="C369" i="4"/>
  <c r="C372" i="5"/>
  <c r="D369" i="4"/>
  <c r="E372" i="5"/>
  <c r="I369" i="4"/>
  <c r="L372" i="5"/>
  <c r="J369" i="4"/>
  <c r="N372" i="5"/>
  <c r="L369" i="4"/>
  <c r="Q372" i="5"/>
  <c r="M369" i="4"/>
  <c r="R372" i="5"/>
  <c r="N369" i="4"/>
  <c r="T372" i="5"/>
  <c r="O369" i="4"/>
  <c r="U372" i="5"/>
  <c r="P369" i="4"/>
  <c r="W372" i="5"/>
  <c r="Q369" i="4"/>
  <c r="X372" i="5"/>
  <c r="S369" i="4"/>
  <c r="AA372" i="5"/>
  <c r="T369" i="4"/>
  <c r="AC372" i="5"/>
  <c r="U369" i="4"/>
  <c r="AD372" i="5"/>
  <c r="X369" i="4"/>
  <c r="AI372" i="5"/>
  <c r="Y369" i="4"/>
  <c r="AJ372" i="5"/>
  <c r="Z369" i="4"/>
  <c r="AL372" i="5"/>
  <c r="F372" i="5"/>
  <c r="H372" i="5"/>
  <c r="I372" i="5"/>
  <c r="Z372" i="5"/>
  <c r="AN372" i="5"/>
  <c r="B370" i="4"/>
  <c r="K370" i="4"/>
  <c r="O373" i="5"/>
  <c r="H370" i="4"/>
  <c r="K373" i="5"/>
  <c r="W370" i="4"/>
  <c r="AG373" i="5"/>
  <c r="V370" i="4"/>
  <c r="AF373" i="5"/>
  <c r="C370" i="4"/>
  <c r="C373" i="5"/>
  <c r="D370" i="4"/>
  <c r="E373" i="5"/>
  <c r="I370" i="4"/>
  <c r="L373" i="5"/>
  <c r="J370" i="4"/>
  <c r="N373" i="5"/>
  <c r="L370" i="4"/>
  <c r="Q373" i="5"/>
  <c r="M370" i="4"/>
  <c r="R373" i="5"/>
  <c r="N370" i="4"/>
  <c r="T373" i="5"/>
  <c r="O370" i="4"/>
  <c r="U373" i="5"/>
  <c r="P370" i="4"/>
  <c r="W373" i="5"/>
  <c r="Q370" i="4"/>
  <c r="X373" i="5"/>
  <c r="S370" i="4"/>
  <c r="AA373" i="5"/>
  <c r="T370" i="4"/>
  <c r="AC373" i="5"/>
  <c r="U370" i="4"/>
  <c r="AD373" i="5"/>
  <c r="X370" i="4"/>
  <c r="AI373" i="5"/>
  <c r="Y370" i="4"/>
  <c r="AJ373" i="5"/>
  <c r="Z370" i="4"/>
  <c r="AL373" i="5"/>
  <c r="F373" i="5"/>
  <c r="H373" i="5"/>
  <c r="I373" i="5"/>
  <c r="Z373" i="5"/>
  <c r="AN373" i="5"/>
  <c r="B371" i="4"/>
  <c r="K371" i="4"/>
  <c r="O374" i="5"/>
  <c r="H371" i="4"/>
  <c r="K374" i="5"/>
  <c r="W371" i="4"/>
  <c r="AG374" i="5"/>
  <c r="V371" i="4"/>
  <c r="AF374" i="5"/>
  <c r="C371" i="4"/>
  <c r="C374" i="5"/>
  <c r="D371" i="4"/>
  <c r="E374" i="5"/>
  <c r="I371" i="4"/>
  <c r="L374" i="5"/>
  <c r="J371" i="4"/>
  <c r="N374" i="5"/>
  <c r="L371" i="4"/>
  <c r="Q374" i="5"/>
  <c r="M371" i="4"/>
  <c r="R374" i="5"/>
  <c r="N371" i="4"/>
  <c r="T374" i="5"/>
  <c r="O371" i="4"/>
  <c r="U374" i="5"/>
  <c r="P371" i="4"/>
  <c r="W374" i="5"/>
  <c r="Q371" i="4"/>
  <c r="X374" i="5"/>
  <c r="S371" i="4"/>
  <c r="AA374" i="5"/>
  <c r="T371" i="4"/>
  <c r="AC374" i="5"/>
  <c r="U371" i="4"/>
  <c r="AD374" i="5"/>
  <c r="X371" i="4"/>
  <c r="AI374" i="5"/>
  <c r="Y371" i="4"/>
  <c r="AJ374" i="5"/>
  <c r="Z371" i="4"/>
  <c r="AL374" i="5"/>
  <c r="F374" i="5"/>
  <c r="H374" i="5"/>
  <c r="I374" i="5"/>
  <c r="Z374" i="5"/>
  <c r="AN374" i="5"/>
  <c r="B378" i="4"/>
  <c r="K378" i="4"/>
  <c r="O375" i="5"/>
  <c r="H378" i="4"/>
  <c r="K375" i="5"/>
  <c r="W378" i="4"/>
  <c r="AG375" i="5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9" i="4"/>
  <c r="K379" i="4"/>
  <c r="O377" i="5"/>
  <c r="H379" i="4"/>
  <c r="K377" i="5"/>
  <c r="W379" i="4"/>
  <c r="AG377" i="5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F377" i="5"/>
  <c r="H377" i="5"/>
  <c r="I377" i="5"/>
  <c r="Z377" i="5"/>
  <c r="AN377" i="5"/>
  <c r="B385" i="4"/>
  <c r="K385" i="4"/>
  <c r="O378" i="5"/>
  <c r="H385" i="4"/>
  <c r="K378" i="5"/>
  <c r="W385" i="4"/>
  <c r="AG378" i="5"/>
  <c r="AF378" i="5"/>
  <c r="C385" i="4"/>
  <c r="C378" i="5"/>
  <c r="D385" i="4"/>
  <c r="E378" i="5"/>
  <c r="I385" i="4"/>
  <c r="L378" i="5"/>
  <c r="J385" i="4"/>
  <c r="N378" i="5"/>
  <c r="L385" i="4"/>
  <c r="Q378" i="5"/>
  <c r="M385" i="4"/>
  <c r="R378" i="5"/>
  <c r="N385" i="4"/>
  <c r="T378" i="5"/>
  <c r="O385" i="4"/>
  <c r="U378" i="5"/>
  <c r="P385" i="4"/>
  <c r="W378" i="5"/>
  <c r="Q385" i="4"/>
  <c r="X378" i="5"/>
  <c r="S385" i="4"/>
  <c r="AA378" i="5"/>
  <c r="T385" i="4"/>
  <c r="AC378" i="5"/>
  <c r="U385" i="4"/>
  <c r="AD378" i="5"/>
  <c r="X385" i="4"/>
  <c r="AI378" i="5"/>
  <c r="Y385" i="4"/>
  <c r="AJ378" i="5"/>
  <c r="Z385" i="4"/>
  <c r="AL378" i="5"/>
  <c r="F378" i="5"/>
  <c r="H378" i="5"/>
  <c r="I378" i="5"/>
  <c r="Z378" i="5"/>
  <c r="AN378" i="5"/>
  <c r="W380" i="4"/>
  <c r="AG379" i="5"/>
  <c r="AF379" i="5"/>
  <c r="C380" i="4"/>
  <c r="C379" i="5"/>
  <c r="N380" i="4"/>
  <c r="T379" i="5"/>
  <c r="O380" i="4"/>
  <c r="U379" i="5"/>
  <c r="P380" i="4"/>
  <c r="W379" i="5"/>
  <c r="Q380" i="4"/>
  <c r="X379" i="5"/>
  <c r="S380" i="4"/>
  <c r="AA379" i="5"/>
  <c r="T380" i="4"/>
  <c r="AC379" i="5"/>
  <c r="U380" i="4"/>
  <c r="AD379" i="5"/>
  <c r="X380" i="4"/>
  <c r="AI379" i="5"/>
  <c r="Y380" i="4"/>
  <c r="AJ379" i="5"/>
  <c r="Z380" i="4"/>
  <c r="AL379" i="5"/>
  <c r="F379" i="5"/>
  <c r="H379" i="5"/>
  <c r="I379" i="5"/>
  <c r="Z379" i="5"/>
  <c r="AN379" i="5"/>
  <c r="B375" i="4"/>
  <c r="K375" i="4"/>
  <c r="O380" i="5"/>
  <c r="H375" i="4"/>
  <c r="K380" i="5"/>
  <c r="W375" i="4"/>
  <c r="AG380" i="5"/>
  <c r="AF380" i="5"/>
  <c r="C375" i="4"/>
  <c r="C380" i="5"/>
  <c r="D375" i="4"/>
  <c r="E380" i="5"/>
  <c r="I375" i="4"/>
  <c r="L380" i="5"/>
  <c r="J375" i="4"/>
  <c r="N380" i="5"/>
  <c r="L375" i="4"/>
  <c r="Q380" i="5"/>
  <c r="M375" i="4"/>
  <c r="R380" i="5"/>
  <c r="N375" i="4"/>
  <c r="T380" i="5"/>
  <c r="O375" i="4"/>
  <c r="U380" i="5"/>
  <c r="P375" i="4"/>
  <c r="W380" i="5"/>
  <c r="Q375" i="4"/>
  <c r="X380" i="5"/>
  <c r="S375" i="4"/>
  <c r="AA380" i="5"/>
  <c r="T375" i="4"/>
  <c r="AC380" i="5"/>
  <c r="U375" i="4"/>
  <c r="AD380" i="5"/>
  <c r="X375" i="4"/>
  <c r="AI380" i="5"/>
  <c r="Y375" i="4"/>
  <c r="AJ380" i="5"/>
  <c r="Z375" i="4"/>
  <c r="AL380" i="5"/>
  <c r="F380" i="5"/>
  <c r="H380" i="5"/>
  <c r="I380" i="5"/>
  <c r="Z380" i="5"/>
  <c r="AN380" i="5"/>
  <c r="B386" i="4"/>
  <c r="K386" i="4"/>
  <c r="O381" i="5"/>
  <c r="H386" i="4"/>
  <c r="K381" i="5"/>
  <c r="W386" i="4"/>
  <c r="AG381" i="5"/>
  <c r="AF381" i="5"/>
  <c r="C386" i="4"/>
  <c r="C381" i="5"/>
  <c r="D386" i="4"/>
  <c r="E381" i="5"/>
  <c r="I386" i="4"/>
  <c r="L381" i="5"/>
  <c r="J386" i="4"/>
  <c r="N381" i="5"/>
  <c r="L386" i="4"/>
  <c r="Q381" i="5"/>
  <c r="M386" i="4"/>
  <c r="R381" i="5"/>
  <c r="N386" i="4"/>
  <c r="T381" i="5"/>
  <c r="O386" i="4"/>
  <c r="U381" i="5"/>
  <c r="P386" i="4"/>
  <c r="W381" i="5"/>
  <c r="Q386" i="4"/>
  <c r="X381" i="5"/>
  <c r="S386" i="4"/>
  <c r="AA381" i="5"/>
  <c r="T386" i="4"/>
  <c r="AC381" i="5"/>
  <c r="U386" i="4"/>
  <c r="AD381" i="5"/>
  <c r="X386" i="4"/>
  <c r="AI381" i="5"/>
  <c r="Y386" i="4"/>
  <c r="AJ381" i="5"/>
  <c r="Z386" i="4"/>
  <c r="AL381" i="5"/>
  <c r="F381" i="5"/>
  <c r="H381" i="5"/>
  <c r="I381" i="5"/>
  <c r="Z381" i="5"/>
  <c r="AN381" i="5"/>
  <c r="B381" i="4"/>
  <c r="K381" i="4"/>
  <c r="O382" i="5"/>
  <c r="H381" i="4"/>
  <c r="K382" i="5"/>
  <c r="W381" i="4"/>
  <c r="AG382" i="5"/>
  <c r="AF382" i="5"/>
  <c r="C381" i="4"/>
  <c r="C382" i="5"/>
  <c r="D381" i="4"/>
  <c r="E382" i="5"/>
  <c r="I381" i="4"/>
  <c r="L382" i="5"/>
  <c r="J381" i="4"/>
  <c r="N382" i="5"/>
  <c r="L381" i="4"/>
  <c r="Q382" i="5"/>
  <c r="M381" i="4"/>
  <c r="R382" i="5"/>
  <c r="N381" i="4"/>
  <c r="T382" i="5"/>
  <c r="O381" i="4"/>
  <c r="U382" i="5"/>
  <c r="P381" i="4"/>
  <c r="W382" i="5"/>
  <c r="Q381" i="4"/>
  <c r="X382" i="5"/>
  <c r="S381" i="4"/>
  <c r="AA382" i="5"/>
  <c r="T381" i="4"/>
  <c r="AC382" i="5"/>
  <c r="U381" i="4"/>
  <c r="AD382" i="5"/>
  <c r="X381" i="4"/>
  <c r="AI382" i="5"/>
  <c r="Y381" i="4"/>
  <c r="AJ382" i="5"/>
  <c r="Z381" i="4"/>
  <c r="AL382" i="5"/>
  <c r="F382" i="5"/>
  <c r="H382" i="5"/>
  <c r="I382" i="5"/>
  <c r="Z382" i="5"/>
  <c r="AN382" i="5"/>
  <c r="B387" i="4"/>
  <c r="K387" i="4"/>
  <c r="O383" i="5"/>
  <c r="H387" i="4"/>
  <c r="K383" i="5"/>
  <c r="W387" i="4"/>
  <c r="AG383" i="5"/>
  <c r="AF383" i="5"/>
  <c r="C387" i="4"/>
  <c r="C383" i="5"/>
  <c r="D387" i="4"/>
  <c r="E383" i="5"/>
  <c r="I387" i="4"/>
  <c r="L383" i="5"/>
  <c r="J387" i="4"/>
  <c r="N383" i="5"/>
  <c r="L387" i="4"/>
  <c r="Q383" i="5"/>
  <c r="M387" i="4"/>
  <c r="R383" i="5"/>
  <c r="N387" i="4"/>
  <c r="T383" i="5"/>
  <c r="O387" i="4"/>
  <c r="U383" i="5"/>
  <c r="P387" i="4"/>
  <c r="W383" i="5"/>
  <c r="Q387" i="4"/>
  <c r="X383" i="5"/>
  <c r="S387" i="4"/>
  <c r="AA383" i="5"/>
  <c r="T387" i="4"/>
  <c r="AC383" i="5"/>
  <c r="U387" i="4"/>
  <c r="AD383" i="5"/>
  <c r="X387" i="4"/>
  <c r="AI383" i="5"/>
  <c r="Y387" i="4"/>
  <c r="AJ383" i="5"/>
  <c r="Z387" i="4"/>
  <c r="AL383" i="5"/>
  <c r="F383" i="5"/>
  <c r="H383" i="5"/>
  <c r="I383" i="5"/>
  <c r="Z383" i="5"/>
  <c r="AN383" i="5"/>
  <c r="B377" i="4"/>
  <c r="K377" i="4"/>
  <c r="O384" i="5"/>
  <c r="H377" i="4"/>
  <c r="K384" i="5"/>
  <c r="W377" i="4"/>
  <c r="AG384" i="5"/>
  <c r="AF384" i="5"/>
  <c r="C377" i="4"/>
  <c r="C384" i="5"/>
  <c r="D377" i="4"/>
  <c r="E384" i="5"/>
  <c r="I377" i="4"/>
  <c r="L384" i="5"/>
  <c r="J377" i="4"/>
  <c r="N384" i="5"/>
  <c r="L377" i="4"/>
  <c r="Q384" i="5"/>
  <c r="M377" i="4"/>
  <c r="R384" i="5"/>
  <c r="N377" i="4"/>
  <c r="T384" i="5"/>
  <c r="O377" i="4"/>
  <c r="U384" i="5"/>
  <c r="P377" i="4"/>
  <c r="W384" i="5"/>
  <c r="Q377" i="4"/>
  <c r="X384" i="5"/>
  <c r="S377" i="4"/>
  <c r="AA384" i="5"/>
  <c r="T377" i="4"/>
  <c r="AC384" i="5"/>
  <c r="U377" i="4"/>
  <c r="AD384" i="5"/>
  <c r="X377" i="4"/>
  <c r="AI384" i="5"/>
  <c r="Y377" i="4"/>
  <c r="AJ384" i="5"/>
  <c r="Z377" i="4"/>
  <c r="AL384" i="5"/>
  <c r="F384" i="5"/>
  <c r="H384" i="5"/>
  <c r="I384" i="5"/>
  <c r="Z384" i="5"/>
  <c r="AN384" i="5"/>
  <c r="AG385" i="5"/>
  <c r="AF385" i="5"/>
  <c r="C385" i="5"/>
  <c r="T385" i="5"/>
  <c r="U385" i="5"/>
  <c r="W385" i="5"/>
  <c r="X385" i="5"/>
  <c r="AA385" i="5"/>
  <c r="AI385" i="5"/>
  <c r="AJ385" i="5"/>
  <c r="AL385" i="5"/>
  <c r="F385" i="5"/>
  <c r="H385" i="5"/>
  <c r="I385" i="5"/>
  <c r="Z385" i="5"/>
  <c r="AN385" i="5"/>
  <c r="AA388" i="5"/>
  <c r="B392" i="4"/>
  <c r="P392" i="4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J390" i="5"/>
  <c r="AL390" i="5"/>
  <c r="AN390" i="5"/>
  <c r="AA391" i="5"/>
  <c r="W391" i="5"/>
  <c r="O391" i="5"/>
  <c r="K391" i="5"/>
  <c r="AG391" i="5"/>
  <c r="AF391" i="5"/>
  <c r="B389" i="4"/>
  <c r="C389" i="4"/>
  <c r="C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W392" i="5"/>
  <c r="O392" i="5"/>
  <c r="K392" i="5"/>
  <c r="AG392" i="5"/>
  <c r="AF392" i="5"/>
  <c r="E392" i="5"/>
  <c r="F392" i="5"/>
  <c r="H392" i="5"/>
  <c r="I392" i="5"/>
  <c r="L392" i="5"/>
  <c r="N392" i="5"/>
  <c r="Q392" i="5"/>
  <c r="R392" i="5"/>
  <c r="T392" i="5"/>
  <c r="U392" i="5"/>
  <c r="X392" i="5"/>
  <c r="Z392" i="5"/>
  <c r="AC392" i="5"/>
  <c r="AD392" i="5"/>
  <c r="AI392" i="5"/>
  <c r="AL392" i="5"/>
  <c r="AN392" i="5"/>
  <c r="AA393" i="5"/>
  <c r="B405" i="4"/>
  <c r="P405" i="4"/>
  <c r="W393" i="5"/>
  <c r="O393" i="5"/>
  <c r="K393" i="5"/>
  <c r="AG393" i="5"/>
  <c r="AF393" i="5"/>
  <c r="C393" i="5"/>
  <c r="L393" i="5"/>
  <c r="N393" i="5"/>
  <c r="L405" i="4"/>
  <c r="Q393" i="5"/>
  <c r="U393" i="5"/>
  <c r="Q405" i="4"/>
  <c r="X393" i="5"/>
  <c r="R405" i="4"/>
  <c r="Z393" i="5"/>
  <c r="AC393" i="5"/>
  <c r="AD393" i="5"/>
  <c r="X405" i="4"/>
  <c r="AI393" i="5"/>
  <c r="Y405" i="4"/>
  <c r="AJ393" i="5"/>
  <c r="AL393" i="5"/>
  <c r="F393" i="5"/>
  <c r="E393" i="5"/>
  <c r="H393" i="5"/>
  <c r="I393" i="5"/>
  <c r="R393" i="5"/>
  <c r="T393" i="5"/>
  <c r="AN393" i="5"/>
  <c r="AA394" i="5"/>
  <c r="B406" i="4"/>
  <c r="P406" i="4"/>
  <c r="W394" i="5"/>
  <c r="O394" i="5"/>
  <c r="K394" i="5"/>
  <c r="AG394" i="5"/>
  <c r="AF394" i="5"/>
  <c r="C394" i="5"/>
  <c r="L394" i="5"/>
  <c r="N394" i="5"/>
  <c r="L406" i="4"/>
  <c r="Q394" i="5"/>
  <c r="U394" i="5"/>
  <c r="Q406" i="4"/>
  <c r="X394" i="5"/>
  <c r="R406" i="4"/>
  <c r="Z394" i="5"/>
  <c r="AC394" i="5"/>
  <c r="AD394" i="5"/>
  <c r="X406" i="4"/>
  <c r="AI394" i="5"/>
  <c r="Y406" i="4"/>
  <c r="AJ394" i="5"/>
  <c r="AL394" i="5"/>
  <c r="F394" i="5"/>
  <c r="E394" i="5"/>
  <c r="H394" i="5"/>
  <c r="I394" i="5"/>
  <c r="R394" i="5"/>
  <c r="T394" i="5"/>
  <c r="AN394" i="5"/>
  <c r="AA395" i="5"/>
  <c r="B407" i="4"/>
  <c r="P407" i="4"/>
  <c r="W395" i="5"/>
  <c r="O395" i="5"/>
  <c r="K395" i="5"/>
  <c r="AG395" i="5"/>
  <c r="AF395" i="5"/>
  <c r="C395" i="5"/>
  <c r="L395" i="5"/>
  <c r="N395" i="5"/>
  <c r="L407" i="4"/>
  <c r="Q395" i="5"/>
  <c r="U395" i="5"/>
  <c r="Q407" i="4"/>
  <c r="X395" i="5"/>
  <c r="R407" i="4"/>
  <c r="Z395" i="5"/>
  <c r="AC395" i="5"/>
  <c r="AD395" i="5"/>
  <c r="X407" i="4"/>
  <c r="AI395" i="5"/>
  <c r="Y407" i="4"/>
  <c r="AJ395" i="5"/>
  <c r="AL395" i="5"/>
  <c r="F395" i="5"/>
  <c r="E395" i="5"/>
  <c r="H395" i="5"/>
  <c r="I395" i="5"/>
  <c r="R395" i="5"/>
  <c r="T395" i="5"/>
  <c r="AN395" i="5"/>
  <c r="AA396" i="5"/>
  <c r="B393" i="4"/>
  <c r="P393" i="4"/>
  <c r="W396" i="5"/>
  <c r="O396" i="5"/>
  <c r="K396" i="5"/>
  <c r="AG396" i="5"/>
  <c r="AF396" i="5"/>
  <c r="C396" i="5"/>
  <c r="L396" i="5"/>
  <c r="N396" i="5"/>
  <c r="L393" i="4"/>
  <c r="Q396" i="5"/>
  <c r="U396" i="5"/>
  <c r="Q393" i="4"/>
  <c r="X396" i="5"/>
  <c r="R393" i="4"/>
  <c r="Z396" i="5"/>
  <c r="AC396" i="5"/>
  <c r="AD396" i="5"/>
  <c r="X393" i="4"/>
  <c r="AI396" i="5"/>
  <c r="Y393" i="4"/>
  <c r="AJ396" i="5"/>
  <c r="F396" i="5"/>
  <c r="E396" i="5"/>
  <c r="H396" i="5"/>
  <c r="I396" i="5"/>
  <c r="R396" i="5"/>
  <c r="T396" i="5"/>
  <c r="AN396" i="5"/>
  <c r="AA397" i="5"/>
  <c r="B396" i="4"/>
  <c r="P396" i="4"/>
  <c r="W397" i="5"/>
  <c r="O397" i="5"/>
  <c r="K397" i="5"/>
  <c r="AG397" i="5"/>
  <c r="AF397" i="5"/>
  <c r="C397" i="5"/>
  <c r="L397" i="5"/>
  <c r="N397" i="5"/>
  <c r="L396" i="4"/>
  <c r="Q397" i="5"/>
  <c r="U397" i="5"/>
  <c r="Q396" i="4"/>
  <c r="X397" i="5"/>
  <c r="R396" i="4"/>
  <c r="Z397" i="5"/>
  <c r="AC397" i="5"/>
  <c r="AD397" i="5"/>
  <c r="X396" i="4"/>
  <c r="AI397" i="5"/>
  <c r="Y396" i="4"/>
  <c r="AJ397" i="5"/>
  <c r="AL397" i="5"/>
  <c r="F397" i="5"/>
  <c r="E397" i="5"/>
  <c r="H397" i="5"/>
  <c r="I397" i="5"/>
  <c r="R397" i="5"/>
  <c r="T397" i="5"/>
  <c r="AN397" i="5"/>
  <c r="AA398" i="5"/>
  <c r="B397" i="4"/>
  <c r="P397" i="4"/>
  <c r="W398" i="5"/>
  <c r="O398" i="5"/>
  <c r="K398" i="5"/>
  <c r="AG398" i="5"/>
  <c r="AF398" i="5"/>
  <c r="C398" i="5"/>
  <c r="L398" i="5"/>
  <c r="N398" i="5"/>
  <c r="L397" i="4"/>
  <c r="Q398" i="5"/>
  <c r="U398" i="5"/>
  <c r="Q397" i="4"/>
  <c r="X398" i="5"/>
  <c r="R397" i="4"/>
  <c r="Z398" i="5"/>
  <c r="AC398" i="5"/>
  <c r="AD398" i="5"/>
  <c r="X397" i="4"/>
  <c r="AI398" i="5"/>
  <c r="Y397" i="4"/>
  <c r="AJ398" i="5"/>
  <c r="AL398" i="5"/>
  <c r="F398" i="5"/>
  <c r="E398" i="5"/>
  <c r="H398" i="5"/>
  <c r="I398" i="5"/>
  <c r="R398" i="5"/>
  <c r="T398" i="5"/>
  <c r="AN398" i="5"/>
  <c r="AA399" i="5"/>
  <c r="B398" i="4"/>
  <c r="P398" i="4"/>
  <c r="W399" i="5"/>
  <c r="O399" i="5"/>
  <c r="K399" i="5"/>
  <c r="AG399" i="5"/>
  <c r="AF399" i="5"/>
  <c r="C399" i="5"/>
  <c r="L399" i="5"/>
  <c r="N399" i="5"/>
  <c r="L398" i="4"/>
  <c r="Q399" i="5"/>
  <c r="U399" i="5"/>
  <c r="Q398" i="4"/>
  <c r="X399" i="5"/>
  <c r="R398" i="4"/>
  <c r="Z399" i="5"/>
  <c r="AC399" i="5"/>
  <c r="AD399" i="5"/>
  <c r="X398" i="4"/>
  <c r="AI399" i="5"/>
  <c r="Y398" i="4"/>
  <c r="AJ399" i="5"/>
  <c r="AL399" i="5"/>
  <c r="F399" i="5"/>
  <c r="E399" i="5"/>
  <c r="H399" i="5"/>
  <c r="I399" i="5"/>
  <c r="R399" i="5"/>
  <c r="T399" i="5"/>
  <c r="AN399" i="5"/>
  <c r="AA400" i="5"/>
  <c r="B399" i="4"/>
  <c r="P399" i="4"/>
  <c r="W400" i="5"/>
  <c r="O400" i="5"/>
  <c r="K400" i="5"/>
  <c r="AG400" i="5"/>
  <c r="AF400" i="5"/>
  <c r="C400" i="5"/>
  <c r="L400" i="5"/>
  <c r="N400" i="5"/>
  <c r="L399" i="4"/>
  <c r="Q400" i="5"/>
  <c r="U400" i="5"/>
  <c r="Q399" i="4"/>
  <c r="X400" i="5"/>
  <c r="R399" i="4"/>
  <c r="Z400" i="5"/>
  <c r="AC400" i="5"/>
  <c r="AD400" i="5"/>
  <c r="X399" i="4"/>
  <c r="AI400" i="5"/>
  <c r="Y399" i="4"/>
  <c r="AJ400" i="5"/>
  <c r="AL400" i="5"/>
  <c r="F400" i="5"/>
  <c r="E400" i="5"/>
  <c r="H400" i="5"/>
  <c r="I400" i="5"/>
  <c r="R400" i="5"/>
  <c r="T400" i="5"/>
  <c r="AN400" i="5"/>
  <c r="AA401" i="5"/>
  <c r="B417" i="4"/>
  <c r="P417" i="4"/>
  <c r="W401" i="5"/>
  <c r="O401" i="5"/>
  <c r="K401" i="5"/>
  <c r="AG401" i="5"/>
  <c r="AF401" i="5"/>
  <c r="C401" i="5"/>
  <c r="L401" i="5"/>
  <c r="N401" i="5"/>
  <c r="L417" i="4"/>
  <c r="Q401" i="5"/>
  <c r="U401" i="5"/>
  <c r="Q417" i="4"/>
  <c r="X401" i="5"/>
  <c r="R417" i="4"/>
  <c r="Z401" i="5"/>
  <c r="AC401" i="5"/>
  <c r="AD401" i="5"/>
  <c r="X417" i="4"/>
  <c r="AI401" i="5"/>
  <c r="Y417" i="4"/>
  <c r="AJ401" i="5"/>
  <c r="AL401" i="5"/>
  <c r="F401" i="5"/>
  <c r="E401" i="5"/>
  <c r="H401" i="5"/>
  <c r="I401" i="5"/>
  <c r="R401" i="5"/>
  <c r="T401" i="5"/>
  <c r="AN401" i="5"/>
  <c r="AA402" i="5"/>
  <c r="B408" i="4"/>
  <c r="P408" i="4"/>
  <c r="W402" i="5"/>
  <c r="O402" i="5"/>
  <c r="K402" i="5"/>
  <c r="AG402" i="5"/>
  <c r="AF402" i="5"/>
  <c r="C402" i="5"/>
  <c r="L402" i="5"/>
  <c r="N402" i="5"/>
  <c r="L408" i="4"/>
  <c r="Q402" i="5"/>
  <c r="U402" i="5"/>
  <c r="Q408" i="4"/>
  <c r="X402" i="5"/>
  <c r="R408" i="4"/>
  <c r="Z402" i="5"/>
  <c r="AC402" i="5"/>
  <c r="AD402" i="5"/>
  <c r="X408" i="4"/>
  <c r="AI402" i="5"/>
  <c r="Y408" i="4"/>
  <c r="AJ402" i="5"/>
  <c r="AL402" i="5"/>
  <c r="F402" i="5"/>
  <c r="E402" i="5"/>
  <c r="H402" i="5"/>
  <c r="I402" i="5"/>
  <c r="R402" i="5"/>
  <c r="T402" i="5"/>
  <c r="AN402" i="5"/>
  <c r="AA403" i="5"/>
  <c r="B409" i="4"/>
  <c r="P409" i="4"/>
  <c r="W403" i="5"/>
  <c r="O403" i="5"/>
  <c r="K403" i="5"/>
  <c r="AG403" i="5"/>
  <c r="AF403" i="5"/>
  <c r="C403" i="5"/>
  <c r="L403" i="5"/>
  <c r="N403" i="5"/>
  <c r="L409" i="4"/>
  <c r="Q403" i="5"/>
  <c r="U403" i="5"/>
  <c r="Q409" i="4"/>
  <c r="X403" i="5"/>
  <c r="R409" i="4"/>
  <c r="Z403" i="5"/>
  <c r="AC403" i="5"/>
  <c r="AD403" i="5"/>
  <c r="X409" i="4"/>
  <c r="AI403" i="5"/>
  <c r="Y409" i="4"/>
  <c r="AJ403" i="5"/>
  <c r="AL403" i="5"/>
  <c r="F403" i="5"/>
  <c r="E403" i="5"/>
  <c r="H403" i="5"/>
  <c r="I403" i="5"/>
  <c r="R403" i="5"/>
  <c r="T403" i="5"/>
  <c r="AN403" i="5"/>
  <c r="AA404" i="5"/>
  <c r="B410" i="4"/>
  <c r="P410" i="4"/>
  <c r="W404" i="5"/>
  <c r="O404" i="5"/>
  <c r="K404" i="5"/>
  <c r="AG404" i="5"/>
  <c r="AF404" i="5"/>
  <c r="C404" i="5"/>
  <c r="L404" i="5"/>
  <c r="N404" i="5"/>
  <c r="L410" i="4"/>
  <c r="Q404" i="5"/>
  <c r="U404" i="5"/>
  <c r="Q410" i="4"/>
  <c r="X404" i="5"/>
  <c r="R410" i="4"/>
  <c r="Z404" i="5"/>
  <c r="AC404" i="5"/>
  <c r="AD404" i="5"/>
  <c r="X410" i="4"/>
  <c r="AI404" i="5"/>
  <c r="Y410" i="4"/>
  <c r="AJ404" i="5"/>
  <c r="AL404" i="5"/>
  <c r="F404" i="5"/>
  <c r="E404" i="5"/>
  <c r="H404" i="5"/>
  <c r="I404" i="5"/>
  <c r="R404" i="5"/>
  <c r="T404" i="5"/>
  <c r="AN404" i="5"/>
  <c r="AA405" i="5"/>
  <c r="B411" i="4"/>
  <c r="P411" i="4"/>
  <c r="W405" i="5"/>
  <c r="O405" i="5"/>
  <c r="K405" i="5"/>
  <c r="AG405" i="5"/>
  <c r="AF405" i="5"/>
  <c r="C405" i="5"/>
  <c r="L405" i="5"/>
  <c r="N405" i="5"/>
  <c r="L411" i="4"/>
  <c r="Q405" i="5"/>
  <c r="U405" i="5"/>
  <c r="Q411" i="4"/>
  <c r="X405" i="5"/>
  <c r="R411" i="4"/>
  <c r="Z405" i="5"/>
  <c r="AC405" i="5"/>
  <c r="AD405" i="5"/>
  <c r="X411" i="4"/>
  <c r="AI405" i="5"/>
  <c r="Y411" i="4"/>
  <c r="AJ405" i="5"/>
  <c r="AL405" i="5"/>
  <c r="F405" i="5"/>
  <c r="E405" i="5"/>
  <c r="H405" i="5"/>
  <c r="I405" i="5"/>
  <c r="R405" i="5"/>
  <c r="T405" i="5"/>
  <c r="AN405" i="5"/>
  <c r="AA406" i="5"/>
  <c r="B400" i="4"/>
  <c r="P400" i="4"/>
  <c r="W406" i="5"/>
  <c r="O406" i="5"/>
  <c r="K406" i="5"/>
  <c r="AG406" i="5"/>
  <c r="AF406" i="5"/>
  <c r="C406" i="5"/>
  <c r="L406" i="5"/>
  <c r="N406" i="5"/>
  <c r="L400" i="4"/>
  <c r="Q406" i="5"/>
  <c r="U406" i="5"/>
  <c r="Q400" i="4"/>
  <c r="X406" i="5"/>
  <c r="R400" i="4"/>
  <c r="Z406" i="5"/>
  <c r="AC406" i="5"/>
  <c r="AD406" i="5"/>
  <c r="X400" i="4"/>
  <c r="AI406" i="5"/>
  <c r="Y400" i="4"/>
  <c r="AJ406" i="5"/>
  <c r="AL406" i="5"/>
  <c r="F406" i="5"/>
  <c r="E406" i="5"/>
  <c r="H406" i="5"/>
  <c r="I406" i="5"/>
  <c r="R406" i="5"/>
  <c r="T406" i="5"/>
  <c r="AN406" i="5"/>
  <c r="AA407" i="5"/>
  <c r="B401" i="4"/>
  <c r="P401" i="4"/>
  <c r="W407" i="5"/>
  <c r="O407" i="5"/>
  <c r="K407" i="5"/>
  <c r="AG407" i="5"/>
  <c r="AF407" i="5"/>
  <c r="C407" i="5"/>
  <c r="L407" i="5"/>
  <c r="N407" i="5"/>
  <c r="L401" i="4"/>
  <c r="Q407" i="5"/>
  <c r="U407" i="5"/>
  <c r="Q401" i="4"/>
  <c r="X407" i="5"/>
  <c r="R401" i="4"/>
  <c r="Z407" i="5"/>
  <c r="AC407" i="5"/>
  <c r="AD407" i="5"/>
  <c r="X401" i="4"/>
  <c r="AI407" i="5"/>
  <c r="Y401" i="4"/>
  <c r="AJ407" i="5"/>
  <c r="AL407" i="5"/>
  <c r="F407" i="5"/>
  <c r="E407" i="5"/>
  <c r="H407" i="5"/>
  <c r="I407" i="5"/>
  <c r="R407" i="5"/>
  <c r="T407" i="5"/>
  <c r="AN407" i="5"/>
  <c r="AA408" i="5"/>
  <c r="B402" i="4"/>
  <c r="P402" i="4"/>
  <c r="W408" i="5"/>
  <c r="O408" i="5"/>
  <c r="K408" i="5"/>
  <c r="AG408" i="5"/>
  <c r="AF408" i="5"/>
  <c r="C408" i="5"/>
  <c r="L408" i="5"/>
  <c r="N408" i="5"/>
  <c r="L402" i="4"/>
  <c r="Q408" i="5"/>
  <c r="U408" i="5"/>
  <c r="Q402" i="4"/>
  <c r="X408" i="5"/>
  <c r="R402" i="4"/>
  <c r="Z408" i="5"/>
  <c r="AC408" i="5"/>
  <c r="AD408" i="5"/>
  <c r="X402" i="4"/>
  <c r="AI408" i="5"/>
  <c r="Y402" i="4"/>
  <c r="AJ408" i="5"/>
  <c r="AL408" i="5"/>
  <c r="F408" i="5"/>
  <c r="E408" i="5"/>
  <c r="H408" i="5"/>
  <c r="I408" i="5"/>
  <c r="R408" i="5"/>
  <c r="T408" i="5"/>
  <c r="AN408" i="5"/>
  <c r="AA409" i="5"/>
  <c r="B403" i="4"/>
  <c r="P403" i="4"/>
  <c r="W409" i="5"/>
  <c r="O409" i="5"/>
  <c r="K409" i="5"/>
  <c r="AG409" i="5"/>
  <c r="AF409" i="5"/>
  <c r="C409" i="5"/>
  <c r="L409" i="5"/>
  <c r="N409" i="5"/>
  <c r="L403" i="4"/>
  <c r="Q409" i="5"/>
  <c r="U409" i="5"/>
  <c r="Q403" i="4"/>
  <c r="X409" i="5"/>
  <c r="R403" i="4"/>
  <c r="Z409" i="5"/>
  <c r="AC409" i="5"/>
  <c r="AD409" i="5"/>
  <c r="X403" i="4"/>
  <c r="AI409" i="5"/>
  <c r="Y403" i="4"/>
  <c r="AJ409" i="5"/>
  <c r="AL409" i="5"/>
  <c r="F409" i="5"/>
  <c r="E409" i="5"/>
  <c r="H409" i="5"/>
  <c r="I409" i="5"/>
  <c r="R409" i="5"/>
  <c r="T409" i="5"/>
  <c r="AN409" i="5"/>
  <c r="AA410" i="5"/>
  <c r="B412" i="4"/>
  <c r="P412" i="4"/>
  <c r="W410" i="5"/>
  <c r="O410" i="5"/>
  <c r="K410" i="5"/>
  <c r="AG410" i="5"/>
  <c r="AF410" i="5"/>
  <c r="C410" i="5"/>
  <c r="L410" i="5"/>
  <c r="N410" i="5"/>
  <c r="L412" i="4"/>
  <c r="Q410" i="5"/>
  <c r="U410" i="5"/>
  <c r="Q412" i="4"/>
  <c r="X410" i="5"/>
  <c r="R412" i="4"/>
  <c r="Z410" i="5"/>
  <c r="AC410" i="5"/>
  <c r="AD410" i="5"/>
  <c r="X412" i="4"/>
  <c r="AI410" i="5"/>
  <c r="Y412" i="4"/>
  <c r="AJ410" i="5"/>
  <c r="AL410" i="5"/>
  <c r="F410" i="5"/>
  <c r="E410" i="5"/>
  <c r="H410" i="5"/>
  <c r="I410" i="5"/>
  <c r="R410" i="5"/>
  <c r="T410" i="5"/>
  <c r="AN410" i="5"/>
  <c r="AA411" i="5"/>
  <c r="B394" i="4"/>
  <c r="P394" i="4"/>
  <c r="W411" i="5"/>
  <c r="O411" i="5"/>
  <c r="K411" i="5"/>
  <c r="AG411" i="5"/>
  <c r="AF411" i="5"/>
  <c r="C411" i="5"/>
  <c r="L411" i="5"/>
  <c r="N411" i="5"/>
  <c r="L394" i="4"/>
  <c r="Q411" i="5"/>
  <c r="U411" i="5"/>
  <c r="Q394" i="4"/>
  <c r="X411" i="5"/>
  <c r="R394" i="4"/>
  <c r="Z411" i="5"/>
  <c r="AC411" i="5"/>
  <c r="AD411" i="5"/>
  <c r="X394" i="4"/>
  <c r="AI411" i="5"/>
  <c r="Y394" i="4"/>
  <c r="AJ411" i="5"/>
  <c r="AL411" i="5"/>
  <c r="F411" i="5"/>
  <c r="E411" i="5"/>
  <c r="H411" i="5"/>
  <c r="I411" i="5"/>
  <c r="R411" i="5"/>
  <c r="T411" i="5"/>
  <c r="AN411" i="5"/>
  <c r="AA412" i="5"/>
  <c r="B413" i="4"/>
  <c r="P413" i="4"/>
  <c r="W412" i="5"/>
  <c r="O412" i="5"/>
  <c r="K412" i="5"/>
  <c r="AG412" i="5"/>
  <c r="AF412" i="5"/>
  <c r="C412" i="5"/>
  <c r="L412" i="5"/>
  <c r="N412" i="5"/>
  <c r="L413" i="4"/>
  <c r="Q412" i="5"/>
  <c r="U412" i="5"/>
  <c r="Q413" i="4"/>
  <c r="X412" i="5"/>
  <c r="R413" i="4"/>
  <c r="Z412" i="5"/>
  <c r="AC412" i="5"/>
  <c r="AD412" i="5"/>
  <c r="X413" i="4"/>
  <c r="AI412" i="5"/>
  <c r="Y413" i="4"/>
  <c r="AJ412" i="5"/>
  <c r="AL412" i="5"/>
  <c r="F412" i="5"/>
  <c r="E412" i="5"/>
  <c r="H412" i="5"/>
  <c r="I412" i="5"/>
  <c r="R412" i="5"/>
  <c r="T412" i="5"/>
  <c r="AN412" i="5"/>
  <c r="AA413" i="5"/>
  <c r="B404" i="4"/>
  <c r="P404" i="4"/>
  <c r="W413" i="5"/>
  <c r="O413" i="5"/>
  <c r="K413" i="5"/>
  <c r="AG413" i="5"/>
  <c r="AF413" i="5"/>
  <c r="C413" i="5"/>
  <c r="L413" i="5"/>
  <c r="N413" i="5"/>
  <c r="L404" i="4"/>
  <c r="Q413" i="5"/>
  <c r="U413" i="5"/>
  <c r="Q404" i="4"/>
  <c r="X413" i="5"/>
  <c r="R404" i="4"/>
  <c r="Z413" i="5"/>
  <c r="AC413" i="5"/>
  <c r="AD413" i="5"/>
  <c r="X404" i="4"/>
  <c r="AI413" i="5"/>
  <c r="Y404" i="4"/>
  <c r="AJ413" i="5"/>
  <c r="AL413" i="5"/>
  <c r="F413" i="5"/>
  <c r="E413" i="5"/>
  <c r="H413" i="5"/>
  <c r="I413" i="5"/>
  <c r="R413" i="5"/>
  <c r="T413" i="5"/>
  <c r="AN413" i="5"/>
  <c r="AA414" i="5"/>
  <c r="B395" i="4"/>
  <c r="P395" i="4"/>
  <c r="W414" i="5"/>
  <c r="O414" i="5"/>
  <c r="K414" i="5"/>
  <c r="AG414" i="5"/>
  <c r="AF414" i="5"/>
  <c r="C414" i="5"/>
  <c r="L414" i="5"/>
  <c r="N414" i="5"/>
  <c r="L395" i="4"/>
  <c r="Q414" i="5"/>
  <c r="U414" i="5"/>
  <c r="Q395" i="4"/>
  <c r="X414" i="5"/>
  <c r="R395" i="4"/>
  <c r="Z414" i="5"/>
  <c r="AC414" i="5"/>
  <c r="AD414" i="5"/>
  <c r="X395" i="4"/>
  <c r="AI414" i="5"/>
  <c r="Y395" i="4"/>
  <c r="AJ414" i="5"/>
  <c r="AL414" i="5"/>
  <c r="F414" i="5"/>
  <c r="E414" i="5"/>
  <c r="H414" i="5"/>
  <c r="I414" i="5"/>
  <c r="R414" i="5"/>
  <c r="T414" i="5"/>
  <c r="AN414" i="5"/>
  <c r="AA415" i="5"/>
  <c r="B414" i="4"/>
  <c r="P414" i="4"/>
  <c r="W415" i="5"/>
  <c r="O415" i="5"/>
  <c r="K415" i="5"/>
  <c r="AG415" i="5"/>
  <c r="AF415" i="5"/>
  <c r="C415" i="5"/>
  <c r="L415" i="5"/>
  <c r="N415" i="5"/>
  <c r="L414" i="4"/>
  <c r="Q415" i="5"/>
  <c r="U415" i="5"/>
  <c r="Q414" i="4"/>
  <c r="X415" i="5"/>
  <c r="R414" i="4"/>
  <c r="Z415" i="5"/>
  <c r="AC415" i="5"/>
  <c r="AD415" i="5"/>
  <c r="X414" i="4"/>
  <c r="AI415" i="5"/>
  <c r="Y414" i="4"/>
  <c r="AJ415" i="5"/>
  <c r="AL415" i="5"/>
  <c r="F415" i="5"/>
  <c r="E415" i="5"/>
  <c r="H415" i="5"/>
  <c r="I415" i="5"/>
  <c r="R415" i="5"/>
  <c r="T415" i="5"/>
  <c r="AN415" i="5"/>
  <c r="AA416" i="5"/>
  <c r="B415" i="4"/>
  <c r="P415" i="4"/>
  <c r="W416" i="5"/>
  <c r="O416" i="5"/>
  <c r="K416" i="5"/>
  <c r="AG416" i="5"/>
  <c r="AF416" i="5"/>
  <c r="C416" i="5"/>
  <c r="L416" i="5"/>
  <c r="N416" i="5"/>
  <c r="L415" i="4"/>
  <c r="Q416" i="5"/>
  <c r="U416" i="5"/>
  <c r="Q415" i="4"/>
  <c r="X416" i="5"/>
  <c r="R415" i="4"/>
  <c r="Z416" i="5"/>
  <c r="AC416" i="5"/>
  <c r="AD416" i="5"/>
  <c r="X415" i="4"/>
  <c r="AI416" i="5"/>
  <c r="Y415" i="4"/>
  <c r="AJ416" i="5"/>
  <c r="AL416" i="5"/>
  <c r="F416" i="5"/>
  <c r="E416" i="5"/>
  <c r="H416" i="5"/>
  <c r="I416" i="5"/>
  <c r="R416" i="5"/>
  <c r="T416" i="5"/>
  <c r="AN416" i="5"/>
  <c r="AA417" i="5"/>
  <c r="B416" i="4"/>
  <c r="P416" i="4"/>
  <c r="W417" i="5"/>
  <c r="O417" i="5"/>
  <c r="K417" i="5"/>
  <c r="AG417" i="5"/>
  <c r="AF417" i="5"/>
  <c r="C417" i="5"/>
  <c r="L417" i="5"/>
  <c r="N417" i="5"/>
  <c r="L416" i="4"/>
  <c r="Q417" i="5"/>
  <c r="U417" i="5"/>
  <c r="Q416" i="4"/>
  <c r="X417" i="5"/>
  <c r="R416" i="4"/>
  <c r="Z417" i="5"/>
  <c r="AC417" i="5"/>
  <c r="AD417" i="5"/>
  <c r="X416" i="4"/>
  <c r="AI417" i="5"/>
  <c r="Y416" i="4"/>
  <c r="AJ417" i="5"/>
  <c r="AL417" i="5"/>
  <c r="F417" i="5"/>
  <c r="E417" i="5"/>
  <c r="H417" i="5"/>
  <c r="I417" i="5"/>
  <c r="R417" i="5"/>
  <c r="T417" i="5"/>
  <c r="AN417" i="5"/>
  <c r="AG2" i="5"/>
  <c r="AF2" i="5"/>
  <c r="B139" i="4"/>
  <c r="C139" i="4"/>
  <c r="C2" i="5"/>
  <c r="D139" i="4"/>
  <c r="E2" i="5"/>
  <c r="K2" i="5"/>
  <c r="L139" i="4"/>
  <c r="Q2" i="5"/>
  <c r="M139" i="4"/>
  <c r="R2" i="5"/>
  <c r="T2" i="5"/>
  <c r="U2" i="5"/>
  <c r="P139" i="4"/>
  <c r="W2" i="5"/>
  <c r="Q139" i="4"/>
  <c r="X2" i="5"/>
  <c r="S139" i="4"/>
  <c r="AA2" i="5"/>
  <c r="AI139" i="4"/>
  <c r="T139" i="4" a="1"/>
  <c r="T139" i="4"/>
  <c r="AC2" i="5"/>
  <c r="U139" i="4" a="1"/>
  <c r="U139" i="4"/>
  <c r="AD2" i="5"/>
  <c r="X139" i="4"/>
  <c r="AI2" i="5"/>
  <c r="Y139" i="4"/>
  <c r="AJ2" i="5"/>
  <c r="Z139" i="4"/>
  <c r="AL2" i="5"/>
  <c r="F2" i="5"/>
  <c r="L2" i="5"/>
  <c r="N2" i="5"/>
  <c r="O2" i="5"/>
  <c r="H2" i="5"/>
  <c r="I2" i="5"/>
  <c r="Z2" i="5"/>
  <c r="AN2" i="5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AZ186" i="1"/>
  <c r="BA186" i="1"/>
  <c r="BB186" i="1"/>
  <c r="CT186" i="1"/>
  <c r="AI308" i="4"/>
  <c r="AI313" i="4"/>
  <c r="AZ449" i="1"/>
  <c r="BA449" i="1"/>
  <c r="BB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BC449" i="1"/>
  <c r="CT449" i="1"/>
  <c r="AZ450" i="1"/>
  <c r="BA450" i="1"/>
  <c r="BB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BC450" i="1"/>
  <c r="CT450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4" i="4"/>
  <c r="F314" i="4"/>
  <c r="R314" i="4"/>
  <c r="AA314" i="4"/>
  <c r="AC314" i="4"/>
  <c r="AD314" i="4"/>
  <c r="AE314" i="4"/>
  <c r="AF314" i="4"/>
  <c r="AG314" i="4"/>
  <c r="AH314" i="4"/>
  <c r="AI314" i="4"/>
  <c r="AJ314" i="4"/>
  <c r="AL314" i="4"/>
  <c r="B308" i="5"/>
  <c r="AM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19" i="6"/>
  <c r="C319" i="6"/>
  <c r="D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D412" i="9"/>
  <c r="E412" i="9"/>
  <c r="F412" i="9"/>
  <c r="G412" i="9"/>
  <c r="C115" i="7"/>
  <c r="D115" i="7"/>
  <c r="E115" i="7"/>
  <c r="AZ443" i="1"/>
  <c r="BA443" i="1"/>
  <c r="BB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BC443" i="1"/>
  <c r="CT443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11" i="9"/>
  <c r="F411" i="9"/>
  <c r="G411" i="9"/>
  <c r="E411" i="9"/>
  <c r="D410" i="9"/>
  <c r="F410" i="9"/>
  <c r="G410" i="9"/>
  <c r="E410" i="9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36" i="1"/>
  <c r="BA436" i="1"/>
  <c r="BB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BC436" i="1"/>
  <c r="CT436" i="1"/>
  <c r="AZ435" i="1"/>
  <c r="BA435" i="1"/>
  <c r="BB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BC435" i="1"/>
  <c r="CT435" i="1"/>
  <c r="AZ441" i="1"/>
  <c r="BA441" i="1"/>
  <c r="BB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BC441" i="1"/>
  <c r="CT441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40" i="1"/>
  <c r="BA440" i="1"/>
  <c r="BB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BC440" i="1"/>
  <c r="CT440" i="1"/>
  <c r="AZ442" i="1"/>
  <c r="BA442" i="1"/>
  <c r="BB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BC442" i="1"/>
  <c r="CT442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416" i="1"/>
  <c r="BA416" i="1"/>
  <c r="BB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BC416" i="1"/>
  <c r="CT416" i="1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BC417" i="1"/>
  <c r="CT417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385" i="1"/>
  <c r="BA385" i="1"/>
  <c r="BB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BC385" i="1"/>
  <c r="CT385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BC384" i="1"/>
  <c r="CT384" i="1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BC382" i="1"/>
  <c r="CT382" i="1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BC383" i="1"/>
  <c r="CT383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B15" i="3"/>
  <c r="C15" i="3"/>
  <c r="E15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H4" i="4"/>
  <c r="AH3" i="4"/>
  <c r="AH2" i="4"/>
  <c r="AH183" i="4"/>
  <c r="AH11" i="4"/>
  <c r="AH9" i="4"/>
  <c r="AH178" i="4"/>
  <c r="AH261" i="4"/>
  <c r="AH10" i="4"/>
  <c r="AH181" i="4"/>
  <c r="AH228" i="4"/>
  <c r="AH229" i="4"/>
  <c r="AH283" i="4"/>
  <c r="AH60" i="4"/>
  <c r="AH119" i="4"/>
  <c r="AH147" i="4"/>
  <c r="AH158" i="4"/>
  <c r="AH149" i="4"/>
  <c r="AH124" i="4"/>
  <c r="AH95" i="4"/>
  <c r="AH30" i="4"/>
  <c r="AH31" i="4"/>
  <c r="AH20" i="4"/>
  <c r="AH29" i="4"/>
  <c r="AH24" i="4"/>
  <c r="AH27" i="4"/>
  <c r="AH40" i="4"/>
  <c r="AH35" i="4"/>
  <c r="AH26" i="4"/>
  <c r="AH21" i="4"/>
  <c r="AH22" i="4"/>
  <c r="AH41" i="4"/>
  <c r="AH42" i="4"/>
  <c r="AH43" i="4"/>
  <c r="AH28" i="4"/>
  <c r="AH33" i="4"/>
  <c r="AH32" i="4"/>
  <c r="AH131" i="4"/>
  <c r="AH132" i="4"/>
  <c r="AH133" i="4"/>
  <c r="AH230" i="4"/>
  <c r="AH52" i="4"/>
  <c r="AH182" i="4"/>
  <c r="AH39" i="4"/>
  <c r="AH23" i="4"/>
  <c r="AH25" i="4"/>
  <c r="AH34" i="4"/>
  <c r="AH118" i="4"/>
  <c r="AH49" i="4"/>
  <c r="AH62" i="4"/>
  <c r="AH130" i="4"/>
  <c r="AH162" i="4"/>
  <c r="AH295" i="4"/>
  <c r="AH155" i="4"/>
  <c r="AH236" i="4"/>
  <c r="AH294" i="4"/>
  <c r="AH128" i="4"/>
  <c r="AH296" i="4"/>
  <c r="AH293" i="4"/>
  <c r="AH297" i="4"/>
  <c r="AH300" i="4"/>
  <c r="AH201" i="4"/>
  <c r="AH61" i="4"/>
  <c r="AH129" i="4"/>
  <c r="AH214" i="4"/>
  <c r="AH58" i="4"/>
  <c r="AH217" i="4"/>
  <c r="AH151" i="4"/>
  <c r="AH161" i="4"/>
  <c r="AH172" i="4"/>
  <c r="AH173" i="4"/>
  <c r="AH215" i="4"/>
  <c r="AH222" i="4"/>
  <c r="AH232" i="4"/>
  <c r="AH142" i="4"/>
  <c r="AH226" i="4"/>
  <c r="AH257" i="4"/>
  <c r="AH122" i="4"/>
  <c r="AH171" i="4"/>
  <c r="AH146" i="4"/>
  <c r="AH221" i="4"/>
  <c r="AH76" i="4"/>
  <c r="AH37" i="4"/>
  <c r="AH113" i="4"/>
  <c r="AH112" i="4"/>
  <c r="AH144" i="4"/>
  <c r="AH256" i="4"/>
  <c r="AH50" i="4"/>
  <c r="AH71" i="4"/>
  <c r="AH85" i="4"/>
  <c r="AH59" i="4"/>
  <c r="AH57" i="4"/>
  <c r="AH51" i="4"/>
  <c r="AH219" i="4"/>
  <c r="AH157" i="4"/>
  <c r="AH14" i="4"/>
  <c r="AH15" i="4"/>
  <c r="AH227" i="4"/>
  <c r="AH116" i="4"/>
  <c r="AH150" i="4"/>
  <c r="AH12" i="4"/>
  <c r="AH123" i="4"/>
  <c r="AH233" i="4"/>
  <c r="AH169" i="4"/>
  <c r="AH7" i="4"/>
  <c r="AH288" i="4"/>
  <c r="AH114" i="4"/>
  <c r="AH84" i="4"/>
  <c r="AH134" i="4"/>
  <c r="AH87" i="4"/>
  <c r="AH218" i="4"/>
  <c r="AH220" i="4"/>
  <c r="AH223" i="4"/>
  <c r="AH225" i="4"/>
  <c r="AH224" i="4"/>
  <c r="AH282" i="4"/>
  <c r="AH115" i="4"/>
  <c r="AH65" i="4"/>
  <c r="AH66" i="4"/>
  <c r="AH83" i="4"/>
  <c r="AH64" i="4"/>
  <c r="AH279" i="4"/>
  <c r="AH67" i="4"/>
  <c r="AH69" i="4"/>
  <c r="AH80" i="4"/>
  <c r="AH68" i="4"/>
  <c r="AH81" i="4"/>
  <c r="AH70" i="4"/>
  <c r="AH63" i="4"/>
  <c r="AH179" i="4"/>
  <c r="AH143" i="4"/>
  <c r="AH148" i="4"/>
  <c r="AH159" i="4"/>
  <c r="AH77" i="4"/>
  <c r="AH78" i="4"/>
  <c r="AH299" i="4"/>
  <c r="AH298" i="4"/>
  <c r="AH135" i="4"/>
  <c r="AH206" i="4"/>
  <c r="AH207" i="4"/>
  <c r="AH205" i="4"/>
  <c r="AH209" i="4"/>
  <c r="AH208" i="4"/>
  <c r="AH196" i="4"/>
  <c r="AH187" i="4"/>
  <c r="AH126" i="4"/>
  <c r="AH127" i="4"/>
  <c r="AH160" i="4"/>
  <c r="AH185" i="4"/>
  <c r="AH284" i="4"/>
  <c r="AH138" i="4"/>
  <c r="AH184" i="4"/>
  <c r="AH136" i="4"/>
  <c r="AH82" i="4"/>
  <c r="AH186" i="4"/>
  <c r="AH197" i="4"/>
  <c r="AH281" i="4"/>
  <c r="AH18" i="4"/>
  <c r="AH175" i="4"/>
  <c r="AH263" i="4"/>
  <c r="AH188" i="4"/>
  <c r="AH190" i="4"/>
  <c r="AH195" i="4"/>
  <c r="AH199" i="4"/>
  <c r="AH273" i="4"/>
  <c r="AH274" i="4"/>
  <c r="AH238" i="4"/>
  <c r="AH240" i="4"/>
  <c r="AH19" i="4"/>
  <c r="AH290" i="4"/>
  <c r="AH54" i="4"/>
  <c r="AH55" i="4"/>
  <c r="AH56" i="4"/>
  <c r="AH202" i="4"/>
  <c r="AH204" i="4"/>
  <c r="AH189" i="4"/>
  <c r="AH152" i="4"/>
  <c r="AH167" i="4"/>
  <c r="AH265" i="4"/>
  <c r="AH286" i="4"/>
  <c r="AH16" i="4"/>
  <c r="AH287" i="4"/>
  <c r="AH170" i="4"/>
  <c r="AH191" i="4"/>
  <c r="AH6" i="4"/>
  <c r="AH180" i="4"/>
  <c r="AH301" i="4"/>
  <c r="AH117" i="4"/>
  <c r="AH192" i="4"/>
  <c r="AH8" i="4"/>
  <c r="AH5" i="4"/>
  <c r="AH291" i="4"/>
  <c r="AH267" i="4"/>
  <c r="AH193" i="4"/>
  <c r="AH75" i="4"/>
  <c r="AH289" i="4"/>
  <c r="AH17" i="4"/>
  <c r="AH45" i="4"/>
  <c r="AH139" i="4"/>
  <c r="AH302" i="4"/>
  <c r="AH239" i="4"/>
  <c r="AH235" i="4"/>
  <c r="AH177" i="4"/>
  <c r="AH234" i="4"/>
  <c r="AH79" i="4"/>
  <c r="AH13" i="4"/>
  <c r="AH241" i="4"/>
  <c r="AH243" i="4"/>
  <c r="AH242" i="4"/>
  <c r="AH237" i="4"/>
  <c r="AH203" i="4"/>
  <c r="AH264" i="4"/>
  <c r="AH275" i="4"/>
  <c r="AH141" i="4"/>
  <c r="AH153" i="4"/>
  <c r="AH258" i="4"/>
  <c r="AH266" i="4"/>
  <c r="AH164" i="4"/>
  <c r="AH260" i="4"/>
  <c r="AH268" i="4"/>
  <c r="AH194" i="4"/>
  <c r="AH36" i="4"/>
  <c r="AH292" i="4"/>
  <c r="AH262" i="4"/>
  <c r="AH247" i="4"/>
  <c r="AH93" i="4"/>
  <c r="AH270" i="4"/>
  <c r="AH280" i="4"/>
  <c r="AH44" i="4"/>
  <c r="AH276" i="4"/>
  <c r="AH166" i="4"/>
  <c r="AH156" i="4"/>
  <c r="AH47" i="4"/>
  <c r="AH271" i="4"/>
  <c r="AH165" i="4"/>
  <c r="AH163" i="4"/>
  <c r="AH48" i="4"/>
  <c r="AH277" i="4"/>
  <c r="AH110" i="4"/>
  <c r="AH245" i="4"/>
  <c r="AH244" i="4"/>
  <c r="AH216" i="4"/>
  <c r="AH46" i="4"/>
  <c r="AH269" i="4"/>
  <c r="AH94" i="4"/>
  <c r="AH213" i="4"/>
  <c r="AH145" i="4"/>
  <c r="AH246" i="4"/>
  <c r="AH109" i="4"/>
  <c r="AH212" i="4"/>
  <c r="AH251" i="4"/>
  <c r="AH231" i="4"/>
  <c r="AH102" i="4"/>
  <c r="AH252" i="4"/>
  <c r="AH111" i="4"/>
  <c r="AH248" i="4"/>
  <c r="AH103" i="4"/>
  <c r="AH272" i="4"/>
  <c r="AH72" i="4"/>
  <c r="AH285" i="4"/>
  <c r="AH104" i="4"/>
  <c r="AH168" i="4"/>
  <c r="AH250" i="4"/>
  <c r="AH108" i="4"/>
  <c r="AH154" i="4"/>
  <c r="AH90" i="4"/>
  <c r="AH121" i="4"/>
  <c r="AH89" i="4"/>
  <c r="AH249" i="4"/>
  <c r="AH278" i="4"/>
  <c r="AH91" i="4"/>
  <c r="AH303" i="4"/>
  <c r="AH92" i="4"/>
  <c r="AH137" i="4"/>
  <c r="AH259" i="4"/>
  <c r="AH53" i="4"/>
  <c r="AH253" i="4"/>
  <c r="AH88" i="4"/>
  <c r="AH198" i="4"/>
  <c r="AH176" i="4"/>
  <c r="AH107" i="4"/>
  <c r="AH96" i="4"/>
  <c r="AH105" i="4"/>
  <c r="AH125" i="4"/>
  <c r="AH106" i="4"/>
  <c r="AH97" i="4"/>
  <c r="AH100" i="4"/>
  <c r="AH140" i="4"/>
  <c r="AH174" i="4"/>
  <c r="AH101" i="4"/>
  <c r="AH99" i="4"/>
  <c r="AH98" i="4"/>
  <c r="AH304" i="4"/>
  <c r="AH305" i="4"/>
  <c r="AH306" i="4"/>
  <c r="AH307" i="4"/>
  <c r="AH313" i="4"/>
  <c r="AH315" i="4"/>
  <c r="AH316" i="4"/>
  <c r="AH317" i="4"/>
  <c r="AH308" i="4"/>
  <c r="AH309" i="4"/>
  <c r="AH310" i="4"/>
  <c r="AH311" i="4"/>
  <c r="AH312" i="4"/>
  <c r="AH318" i="4"/>
  <c r="AH319" i="4"/>
  <c r="AH339" i="4"/>
  <c r="AH335" i="4"/>
  <c r="AH333" i="4"/>
  <c r="AH334" i="4"/>
  <c r="AH345" i="4"/>
  <c r="AH346" i="4"/>
  <c r="AH332" i="4"/>
  <c r="AH342" i="4"/>
  <c r="AH340" i="4"/>
  <c r="AH343" i="4"/>
  <c r="AH350" i="4"/>
  <c r="AH352" i="4"/>
  <c r="AH322" i="4"/>
  <c r="AH328" i="4"/>
  <c r="AH329" i="4"/>
  <c r="AH330" i="4"/>
  <c r="AH331" i="4"/>
  <c r="AH324" i="4"/>
  <c r="AH325" i="4"/>
  <c r="AH326" i="4"/>
  <c r="AH327" i="4"/>
  <c r="AH347" i="4"/>
  <c r="AH348" i="4"/>
  <c r="AH351" i="4"/>
  <c r="AH344" i="4"/>
  <c r="AH341" i="4"/>
  <c r="AH349" i="4"/>
  <c r="AH323" i="4"/>
  <c r="AH320" i="4"/>
  <c r="AH321" i="4"/>
  <c r="AH338" i="4"/>
  <c r="AH336" i="4"/>
  <c r="AH337" i="4"/>
  <c r="AH359" i="4"/>
  <c r="AH360" i="4"/>
  <c r="AH354" i="4"/>
  <c r="AH355" i="4"/>
  <c r="AH369" i="4"/>
  <c r="AH370" i="4"/>
  <c r="AH371" i="4"/>
  <c r="AH364" i="4"/>
  <c r="AH353" i="4"/>
  <c r="AH361" i="4"/>
  <c r="AH362" i="4"/>
  <c r="AH363" i="4"/>
  <c r="AH365" i="4"/>
  <c r="AH366" i="4"/>
  <c r="AH367" i="4"/>
  <c r="AH373" i="4"/>
  <c r="AH374" i="4"/>
  <c r="AH356" i="4"/>
  <c r="AH357" i="4"/>
  <c r="AH358" i="4"/>
  <c r="AH368" i="4"/>
  <c r="AH372" i="4"/>
  <c r="AH375" i="4"/>
  <c r="AH376" i="4"/>
  <c r="AH377" i="4"/>
  <c r="AH378" i="4"/>
  <c r="AH379" i="4"/>
  <c r="AH380" i="4"/>
  <c r="AH381" i="4"/>
  <c r="AH385" i="4"/>
  <c r="AH386" i="4"/>
  <c r="AH383" i="4"/>
  <c r="AH387" i="4"/>
  <c r="AH391" i="4"/>
  <c r="AH390" i="4"/>
  <c r="AH389" i="4"/>
  <c r="AH388" i="4"/>
  <c r="AH392" i="4"/>
  <c r="AH393" i="4"/>
  <c r="AH407" i="4"/>
  <c r="AH412" i="4"/>
  <c r="AH406" i="4"/>
  <c r="AH404" i="4"/>
  <c r="AH408" i="4"/>
  <c r="AH396" i="4"/>
  <c r="AH397" i="4"/>
  <c r="AH398" i="4"/>
  <c r="AH399" i="4"/>
  <c r="AH400" i="4"/>
  <c r="AH402" i="4"/>
  <c r="AH403" i="4"/>
  <c r="AH410" i="4"/>
  <c r="AH411" i="4"/>
  <c r="AH413" i="4"/>
  <c r="AH414" i="4"/>
  <c r="AH415" i="4"/>
  <c r="AH416" i="4"/>
  <c r="AH417" i="4"/>
  <c r="AH409" i="4"/>
  <c r="AH394" i="4"/>
  <c r="AH405" i="4"/>
  <c r="AH395" i="4"/>
  <c r="AH401" i="4"/>
  <c r="AH120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N44" i="4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5" i="6"/>
  <c r="AA130" i="6"/>
  <c r="AA135" i="6"/>
  <c r="AA137" i="6"/>
  <c r="AA150" i="6"/>
  <c r="AA153" i="6"/>
  <c r="AA157" i="6"/>
  <c r="AA164" i="6"/>
  <c r="AA171" i="6"/>
  <c r="AA181" i="6"/>
  <c r="AA190" i="6"/>
  <c r="AA193" i="6"/>
  <c r="AA196" i="6"/>
  <c r="AA205" i="6"/>
  <c r="AA227" i="6"/>
  <c r="AA253" i="6"/>
  <c r="AA267" i="6"/>
  <c r="AA280" i="6"/>
  <c r="AA292" i="6"/>
  <c r="AA299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4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7" i="6"/>
  <c r="AA160" i="6"/>
  <c r="AA70" i="6"/>
  <c r="AA106" i="6"/>
  <c r="AA208" i="6"/>
  <c r="AA89" i="6"/>
  <c r="AA90" i="6"/>
  <c r="AA91" i="6"/>
  <c r="AA92" i="6"/>
  <c r="AA94" i="6"/>
  <c r="AA95" i="6"/>
  <c r="AA96" i="6"/>
  <c r="AA97" i="6"/>
  <c r="AA233" i="6"/>
  <c r="AA234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4" i="6"/>
  <c r="AA126" i="6"/>
  <c r="AA131" i="6"/>
  <c r="AA273" i="6"/>
  <c r="AA161" i="6"/>
  <c r="AA110" i="6"/>
  <c r="AA111" i="6"/>
  <c r="AA112" i="6"/>
  <c r="AA31" i="6"/>
  <c r="AA166" i="6"/>
  <c r="AA167" i="6"/>
  <c r="AA168" i="6"/>
  <c r="AA209" i="6"/>
  <c r="AA142" i="6"/>
  <c r="AA169" i="6"/>
  <c r="AA56" i="6"/>
  <c r="AA285" i="6"/>
  <c r="AA235" i="6"/>
  <c r="AA197" i="6"/>
  <c r="AA143" i="6"/>
  <c r="AA176" i="6"/>
  <c r="AA177" i="6"/>
  <c r="AA132" i="6"/>
  <c r="AA12" i="6"/>
  <c r="AA298" i="6"/>
  <c r="AA198" i="6"/>
  <c r="AA210" i="6"/>
  <c r="AA144" i="6"/>
  <c r="AA211" i="6"/>
  <c r="AA133" i="6"/>
  <c r="AA13" i="6"/>
  <c r="AA46" i="6"/>
  <c r="AA262" i="6"/>
  <c r="AA24" i="6"/>
  <c r="AA236" i="6"/>
  <c r="AA199" i="6"/>
  <c r="AA72" i="6"/>
  <c r="AA263" i="6"/>
  <c r="AA38" i="6"/>
  <c r="AA73" i="6"/>
  <c r="AA74" i="6"/>
  <c r="AA286" i="6"/>
  <c r="AA75" i="6"/>
  <c r="AA237" i="6"/>
  <c r="AA238" i="6"/>
  <c r="AA212" i="6"/>
  <c r="AA274" i="6"/>
  <c r="AA213" i="6"/>
  <c r="AA134" i="6"/>
  <c r="AA76" i="6"/>
  <c r="AA214" i="6"/>
  <c r="AA25" i="6"/>
  <c r="AA136" i="6"/>
  <c r="AA239" i="6"/>
  <c r="AA162" i="6"/>
  <c r="AA77" i="6"/>
  <c r="AA264" i="6"/>
  <c r="AA275" i="6"/>
  <c r="AA127" i="6"/>
  <c r="AA145" i="6"/>
  <c r="AA240" i="6"/>
  <c r="AA276" i="6"/>
  <c r="AA57" i="6"/>
  <c r="AA215" i="6"/>
  <c r="AA277" i="6"/>
  <c r="AA287" i="6"/>
  <c r="AA119" i="6"/>
  <c r="AA120" i="6"/>
  <c r="AA14" i="6"/>
  <c r="AA121" i="6"/>
  <c r="AA200" i="6"/>
  <c r="AA154" i="6"/>
  <c r="AA216" i="6"/>
  <c r="AA201" i="6"/>
  <c r="AA26" i="6"/>
  <c r="AA265" i="6"/>
  <c r="AA122" i="6"/>
  <c r="AA128" i="6"/>
  <c r="AA241" i="6"/>
  <c r="AA242" i="6"/>
  <c r="AA243" i="6"/>
  <c r="AA58" i="6"/>
  <c r="AA39" i="6"/>
  <c r="AA44" i="6"/>
  <c r="AA178" i="6"/>
  <c r="AA78" i="6"/>
  <c r="AA32" i="6"/>
  <c r="AA191" i="6"/>
  <c r="AA138" i="6"/>
  <c r="AA139" i="6"/>
  <c r="AA244" i="6"/>
  <c r="AA245" i="6"/>
  <c r="AA246" i="6"/>
  <c r="AA33" i="6"/>
  <c r="AA79" i="6"/>
  <c r="AA113" i="6"/>
  <c r="AA247" i="6"/>
  <c r="AA248" i="6"/>
  <c r="AA288" i="6"/>
  <c r="AA289" i="6"/>
  <c r="AA34" i="6"/>
  <c r="AA179" i="6"/>
  <c r="AA155" i="6"/>
  <c r="AA249" i="6"/>
  <c r="AA278" i="6"/>
  <c r="AA250" i="6"/>
  <c r="AA80" i="6"/>
  <c r="AA251" i="6"/>
  <c r="AA81" i="6"/>
  <c r="AA266" i="6"/>
  <c r="AA163" i="6"/>
  <c r="AA290" i="6"/>
  <c r="AA146" i="6"/>
  <c r="AA59" i="6"/>
  <c r="AA217" i="6"/>
  <c r="AA218" i="6"/>
  <c r="AA219" i="6"/>
  <c r="AA202" i="6"/>
  <c r="AA220" i="6"/>
  <c r="AA129" i="6"/>
  <c r="AA147" i="6"/>
  <c r="AA148" i="6"/>
  <c r="AA180" i="6"/>
  <c r="AA156" i="6"/>
  <c r="AA221" i="6"/>
  <c r="AA203" i="6"/>
  <c r="AA222" i="6"/>
  <c r="AA223" i="6"/>
  <c r="AA204" i="6"/>
  <c r="AA224" i="6"/>
  <c r="AA225" i="6"/>
  <c r="AA226" i="6"/>
  <c r="AA149" i="6"/>
  <c r="AA151" i="6"/>
  <c r="AA82" i="6"/>
  <c r="AA187" i="6"/>
  <c r="AA188" i="6"/>
  <c r="AA189" i="6"/>
  <c r="AA170" i="6"/>
  <c r="AA192" i="6"/>
  <c r="AA194" i="6"/>
  <c r="AA195" i="6"/>
  <c r="AA165" i="6"/>
  <c r="AA252" i="6"/>
  <c r="AA206" i="6"/>
  <c r="AA254" i="6"/>
  <c r="AA255" i="6"/>
  <c r="AA256" i="6"/>
  <c r="AA279" i="6"/>
  <c r="AA257" i="6"/>
  <c r="AA258" i="6"/>
  <c r="AA268" i="6"/>
  <c r="AA269" i="6"/>
  <c r="AA281" i="6"/>
  <c r="AA282" i="6"/>
  <c r="AA283" i="6"/>
  <c r="AA228" i="6"/>
  <c r="AA158" i="6"/>
  <c r="AA35" i="6"/>
  <c r="AA152" i="6"/>
  <c r="AA291" i="6"/>
  <c r="AA270" i="6"/>
  <c r="AA271" i="6"/>
  <c r="AA123" i="6"/>
  <c r="AA229" i="6"/>
  <c r="AA230" i="6"/>
  <c r="AA231" i="6"/>
  <c r="AA259" i="6"/>
  <c r="AA272" i="6"/>
  <c r="AA232" i="6"/>
  <c r="AA83" i="6"/>
  <c r="AA84" i="6"/>
  <c r="AA63" i="6"/>
  <c r="AA60" i="6"/>
  <c r="AA293" i="6"/>
  <c r="AA294" i="6"/>
  <c r="AA295" i="6"/>
  <c r="AA296" i="6"/>
  <c r="AA172" i="6"/>
  <c r="AA173" i="6"/>
  <c r="AA182" i="6"/>
  <c r="AA159" i="6"/>
  <c r="AA174" i="6"/>
  <c r="AA260" i="6"/>
  <c r="AA297" i="6"/>
  <c r="AA61" i="6"/>
  <c r="AA15" i="6"/>
  <c r="AA16" i="6"/>
  <c r="AA17" i="6"/>
  <c r="AA18" i="6"/>
  <c r="AA19" i="6"/>
  <c r="AA20" i="6"/>
  <c r="AA183" i="6"/>
  <c r="AA36" i="6"/>
  <c r="AA184" i="6"/>
  <c r="AA175" i="6"/>
  <c r="AA185" i="6"/>
  <c r="AA186" i="6"/>
  <c r="AA102" i="6"/>
  <c r="AA306" i="6"/>
  <c r="AA312" i="6"/>
  <c r="AA304" i="6"/>
  <c r="AA305" i="6"/>
  <c r="AA307" i="6"/>
  <c r="AA308" i="6"/>
  <c r="AA309" i="6"/>
  <c r="AA310" i="6"/>
  <c r="AA311" i="6"/>
  <c r="AA313" i="6"/>
  <c r="AA314" i="6"/>
  <c r="AA315" i="6"/>
  <c r="AA316" i="6"/>
  <c r="AA317" i="6"/>
  <c r="AA318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51" i="6"/>
  <c r="AA347" i="6"/>
  <c r="AA348" i="6"/>
  <c r="AA352" i="6"/>
  <c r="AA349" i="6"/>
  <c r="AA350" i="6"/>
  <c r="AA361" i="6"/>
  <c r="AA371" i="6"/>
  <c r="AA366" i="6"/>
  <c r="AA353" i="6"/>
  <c r="AA367" i="6"/>
  <c r="AA354" i="6"/>
  <c r="AA355" i="6"/>
  <c r="AA356" i="6"/>
  <c r="AA357" i="6"/>
  <c r="AA358" i="6"/>
  <c r="AA359" i="6"/>
  <c r="AA360" i="6"/>
  <c r="AA368" i="6"/>
  <c r="AA369" i="6"/>
  <c r="AA370" i="6"/>
  <c r="AA372" i="6"/>
  <c r="AA373" i="6"/>
  <c r="AA374" i="6"/>
  <c r="AA362" i="6"/>
  <c r="AA363" i="6"/>
  <c r="AA364" i="6"/>
  <c r="AA365" i="6"/>
  <c r="AA385" i="6"/>
  <c r="AA375" i="6"/>
  <c r="AA376" i="6"/>
  <c r="AA377" i="6"/>
  <c r="AA378" i="6"/>
  <c r="AA379" i="6"/>
  <c r="AA380" i="6"/>
  <c r="AA381" i="6"/>
  <c r="AA382" i="6"/>
  <c r="AA383" i="6"/>
  <c r="AA384" i="6"/>
  <c r="AA389" i="6"/>
  <c r="AA392" i="6"/>
  <c r="AA388" i="6"/>
  <c r="AA391" i="6"/>
  <c r="AA390" i="6"/>
  <c r="AA416" i="6"/>
  <c r="AA394" i="6"/>
  <c r="AA415" i="6"/>
  <c r="AA414" i="6"/>
  <c r="AA397" i="6"/>
  <c r="AA398" i="6"/>
  <c r="AA399" i="6"/>
  <c r="AA400" i="6"/>
  <c r="AA401" i="6"/>
  <c r="AA396" i="6"/>
  <c r="AA412" i="6"/>
  <c r="AA402" i="6"/>
  <c r="AA403" i="6"/>
  <c r="AA404" i="6"/>
  <c r="AA405" i="6"/>
  <c r="AA406" i="6"/>
  <c r="AA407" i="6"/>
  <c r="AA393" i="6"/>
  <c r="AA413" i="6"/>
  <c r="AA408" i="6"/>
  <c r="AA395" i="6"/>
  <c r="AA417" i="6"/>
  <c r="AA409" i="6"/>
  <c r="AA410" i="6"/>
  <c r="AA411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5" i="6"/>
  <c r="Z130" i="6"/>
  <c r="Z135" i="6"/>
  <c r="Z137" i="6"/>
  <c r="Z150" i="6"/>
  <c r="Z153" i="6"/>
  <c r="Z157" i="6"/>
  <c r="Z164" i="6"/>
  <c r="Z171" i="6"/>
  <c r="Z181" i="6"/>
  <c r="Z190" i="6"/>
  <c r="Z193" i="6"/>
  <c r="Z196" i="6"/>
  <c r="Z205" i="6"/>
  <c r="Z227" i="6"/>
  <c r="Z253" i="6"/>
  <c r="Z267" i="6"/>
  <c r="Z280" i="6"/>
  <c r="Z292" i="6"/>
  <c r="Z299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4" i="6"/>
  <c r="Z9" i="6"/>
  <c r="Z49" i="6"/>
  <c r="Z50" i="6"/>
  <c r="Z10" i="6"/>
  <c r="Z114" i="6"/>
  <c r="Z11" i="6"/>
  <c r="Z51" i="6"/>
  <c r="Z53" i="6"/>
  <c r="Z66" i="6"/>
  <c r="Z67" i="6"/>
  <c r="Z68" i="6"/>
  <c r="Z69" i="6"/>
  <c r="Z207" i="6"/>
  <c r="Z160" i="6"/>
  <c r="Z70" i="6"/>
  <c r="Z106" i="6"/>
  <c r="Z208" i="6"/>
  <c r="Z89" i="6"/>
  <c r="Z90" i="6"/>
  <c r="Z91" i="6"/>
  <c r="Z92" i="6"/>
  <c r="Z94" i="6"/>
  <c r="Z95" i="6"/>
  <c r="Z96" i="6"/>
  <c r="Z97" i="6"/>
  <c r="Z233" i="6"/>
  <c r="Z234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4" i="6"/>
  <c r="Z126" i="6"/>
  <c r="Z131" i="6"/>
  <c r="Z273" i="6"/>
  <c r="Z161" i="6"/>
  <c r="Z110" i="6"/>
  <c r="Z111" i="6"/>
  <c r="Z112" i="6"/>
  <c r="Z31" i="6"/>
  <c r="Z166" i="6"/>
  <c r="Z167" i="6"/>
  <c r="Z168" i="6"/>
  <c r="Z209" i="6"/>
  <c r="Z142" i="6"/>
  <c r="Z169" i="6"/>
  <c r="Z56" i="6"/>
  <c r="Z285" i="6"/>
  <c r="Z235" i="6"/>
  <c r="Z197" i="6"/>
  <c r="Z143" i="6"/>
  <c r="Z176" i="6"/>
  <c r="Z177" i="6"/>
  <c r="Z132" i="6"/>
  <c r="Z12" i="6"/>
  <c r="Z298" i="6"/>
  <c r="Z198" i="6"/>
  <c r="Z210" i="6"/>
  <c r="Z144" i="6"/>
  <c r="Z211" i="6"/>
  <c r="Z133" i="6"/>
  <c r="Z13" i="6"/>
  <c r="Z46" i="6"/>
  <c r="Z262" i="6"/>
  <c r="Z24" i="6"/>
  <c r="Z236" i="6"/>
  <c r="Z199" i="6"/>
  <c r="Z72" i="6"/>
  <c r="Z263" i="6"/>
  <c r="Z38" i="6"/>
  <c r="Z73" i="6"/>
  <c r="Z74" i="6"/>
  <c r="Z286" i="6"/>
  <c r="Z75" i="6"/>
  <c r="Z237" i="6"/>
  <c r="Z238" i="6"/>
  <c r="Z212" i="6"/>
  <c r="Z274" i="6"/>
  <c r="Z213" i="6"/>
  <c r="Z134" i="6"/>
  <c r="Z76" i="6"/>
  <c r="Z214" i="6"/>
  <c r="Z25" i="6"/>
  <c r="Z136" i="6"/>
  <c r="Z239" i="6"/>
  <c r="Z162" i="6"/>
  <c r="Z77" i="6"/>
  <c r="Z264" i="6"/>
  <c r="Z275" i="6"/>
  <c r="Z127" i="6"/>
  <c r="Z145" i="6"/>
  <c r="Z240" i="6"/>
  <c r="Z276" i="6"/>
  <c r="Z57" i="6"/>
  <c r="Z215" i="6"/>
  <c r="Z277" i="6"/>
  <c r="Z287" i="6"/>
  <c r="Z119" i="6"/>
  <c r="Z120" i="6"/>
  <c r="Z14" i="6"/>
  <c r="Z121" i="6"/>
  <c r="Z200" i="6"/>
  <c r="Z154" i="6"/>
  <c r="Z216" i="6"/>
  <c r="Z201" i="6"/>
  <c r="Z26" i="6"/>
  <c r="Z265" i="6"/>
  <c r="Z122" i="6"/>
  <c r="Z128" i="6"/>
  <c r="Z241" i="6"/>
  <c r="Z242" i="6"/>
  <c r="Z243" i="6"/>
  <c r="Z58" i="6"/>
  <c r="Z39" i="6"/>
  <c r="Z44" i="6"/>
  <c r="Z178" i="6"/>
  <c r="Z78" i="6"/>
  <c r="Z32" i="6"/>
  <c r="Z191" i="6"/>
  <c r="Z138" i="6"/>
  <c r="Z139" i="6"/>
  <c r="Z244" i="6"/>
  <c r="Z245" i="6"/>
  <c r="Z246" i="6"/>
  <c r="Z33" i="6"/>
  <c r="Z79" i="6"/>
  <c r="Z113" i="6"/>
  <c r="Z247" i="6"/>
  <c r="Z248" i="6"/>
  <c r="Z288" i="6"/>
  <c r="Z289" i="6"/>
  <c r="Z34" i="6"/>
  <c r="Z179" i="6"/>
  <c r="Z155" i="6"/>
  <c r="Z249" i="6"/>
  <c r="Z278" i="6"/>
  <c r="Z250" i="6"/>
  <c r="Z80" i="6"/>
  <c r="Z251" i="6"/>
  <c r="Z81" i="6"/>
  <c r="Z266" i="6"/>
  <c r="Z163" i="6"/>
  <c r="Z290" i="6"/>
  <c r="Z146" i="6"/>
  <c r="Z59" i="6"/>
  <c r="Z217" i="6"/>
  <c r="Z218" i="6"/>
  <c r="Z219" i="6"/>
  <c r="Z202" i="6"/>
  <c r="Z220" i="6"/>
  <c r="Z129" i="6"/>
  <c r="Z147" i="6"/>
  <c r="Z148" i="6"/>
  <c r="Z180" i="6"/>
  <c r="Z156" i="6"/>
  <c r="Z221" i="6"/>
  <c r="Z203" i="6"/>
  <c r="Z222" i="6"/>
  <c r="Z223" i="6"/>
  <c r="Z204" i="6"/>
  <c r="Z224" i="6"/>
  <c r="Z225" i="6"/>
  <c r="Z226" i="6"/>
  <c r="Z149" i="6"/>
  <c r="Z151" i="6"/>
  <c r="Z82" i="6"/>
  <c r="Z187" i="6"/>
  <c r="Z188" i="6"/>
  <c r="Z189" i="6"/>
  <c r="Z170" i="6"/>
  <c r="Z192" i="6"/>
  <c r="Z194" i="6"/>
  <c r="Z195" i="6"/>
  <c r="Z165" i="6"/>
  <c r="Z252" i="6"/>
  <c r="Z206" i="6"/>
  <c r="Z254" i="6"/>
  <c r="Z255" i="6"/>
  <c r="Z256" i="6"/>
  <c r="Z279" i="6"/>
  <c r="Z257" i="6"/>
  <c r="Z258" i="6"/>
  <c r="Z268" i="6"/>
  <c r="Z269" i="6"/>
  <c r="Z281" i="6"/>
  <c r="Z282" i="6"/>
  <c r="Z283" i="6"/>
  <c r="Z228" i="6"/>
  <c r="Z158" i="6"/>
  <c r="Z35" i="6"/>
  <c r="Z152" i="6"/>
  <c r="Z291" i="6"/>
  <c r="Z270" i="6"/>
  <c r="Z271" i="6"/>
  <c r="Z123" i="6"/>
  <c r="Z229" i="6"/>
  <c r="Z230" i="6"/>
  <c r="Z231" i="6"/>
  <c r="Z259" i="6"/>
  <c r="Z272" i="6"/>
  <c r="Z232" i="6"/>
  <c r="Z83" i="6"/>
  <c r="Z84" i="6"/>
  <c r="Z63" i="6"/>
  <c r="Z60" i="6"/>
  <c r="Z293" i="6"/>
  <c r="Z294" i="6"/>
  <c r="Z295" i="6"/>
  <c r="Z296" i="6"/>
  <c r="Z172" i="6"/>
  <c r="Z173" i="6"/>
  <c r="Z182" i="6"/>
  <c r="Z159" i="6"/>
  <c r="Z174" i="6"/>
  <c r="Z260" i="6"/>
  <c r="Z297" i="6"/>
  <c r="Z61" i="6"/>
  <c r="Z15" i="6"/>
  <c r="Z16" i="6"/>
  <c r="Z17" i="6"/>
  <c r="Z18" i="6"/>
  <c r="Z19" i="6"/>
  <c r="Z20" i="6"/>
  <c r="Z183" i="6"/>
  <c r="Z36" i="6"/>
  <c r="Z184" i="6"/>
  <c r="Z175" i="6"/>
  <c r="Z185" i="6"/>
  <c r="Z186" i="6"/>
  <c r="Z102" i="6"/>
  <c r="Z306" i="6"/>
  <c r="Z312" i="6"/>
  <c r="Z304" i="6"/>
  <c r="Z305" i="6"/>
  <c r="Z307" i="6"/>
  <c r="Z308" i="6"/>
  <c r="Z309" i="6"/>
  <c r="Z310" i="6"/>
  <c r="Z311" i="6"/>
  <c r="Z313" i="6"/>
  <c r="Z314" i="6"/>
  <c r="Z315" i="6"/>
  <c r="Z316" i="6"/>
  <c r="Z317" i="6"/>
  <c r="Z318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51" i="6"/>
  <c r="Z347" i="6"/>
  <c r="Z348" i="6"/>
  <c r="Z352" i="6"/>
  <c r="Z349" i="6"/>
  <c r="Z350" i="6"/>
  <c r="Z361" i="6"/>
  <c r="Z371" i="6"/>
  <c r="Z366" i="6"/>
  <c r="Z353" i="6"/>
  <c r="Z367" i="6"/>
  <c r="Z354" i="6"/>
  <c r="Z355" i="6"/>
  <c r="Z356" i="6"/>
  <c r="Z357" i="6"/>
  <c r="Z358" i="6"/>
  <c r="Z359" i="6"/>
  <c r="Z360" i="6"/>
  <c r="Z368" i="6"/>
  <c r="Z369" i="6"/>
  <c r="Z370" i="6"/>
  <c r="Z372" i="6"/>
  <c r="Z373" i="6"/>
  <c r="Z374" i="6"/>
  <c r="Z362" i="6"/>
  <c r="Z363" i="6"/>
  <c r="Z364" i="6"/>
  <c r="Z365" i="6"/>
  <c r="Z385" i="6"/>
  <c r="Z375" i="6"/>
  <c r="Z376" i="6"/>
  <c r="Z377" i="6"/>
  <c r="Z378" i="6"/>
  <c r="Z379" i="6"/>
  <c r="Z380" i="6"/>
  <c r="Z381" i="6"/>
  <c r="Z382" i="6"/>
  <c r="Z383" i="6"/>
  <c r="Z384" i="6"/>
  <c r="Z389" i="6"/>
  <c r="Z392" i="6"/>
  <c r="Z388" i="6"/>
  <c r="Z391" i="6"/>
  <c r="Z390" i="6"/>
  <c r="Z416" i="6"/>
  <c r="Z394" i="6"/>
  <c r="Z415" i="6"/>
  <c r="Z414" i="6"/>
  <c r="Z397" i="6"/>
  <c r="Z398" i="6"/>
  <c r="Z399" i="6"/>
  <c r="Z400" i="6"/>
  <c r="Z401" i="6"/>
  <c r="Z396" i="6"/>
  <c r="Z412" i="6"/>
  <c r="Z402" i="6"/>
  <c r="Z403" i="6"/>
  <c r="Z404" i="6"/>
  <c r="Z405" i="6"/>
  <c r="Z406" i="6"/>
  <c r="Z407" i="6"/>
  <c r="Z393" i="6"/>
  <c r="Z413" i="6"/>
  <c r="Z408" i="6"/>
  <c r="Z395" i="6"/>
  <c r="Z417" i="6"/>
  <c r="Z409" i="6"/>
  <c r="Z410" i="6"/>
  <c r="Z411" i="6"/>
  <c r="Z3" i="6"/>
  <c r="AO29" i="5"/>
  <c r="AO9" i="5"/>
  <c r="AO11" i="5"/>
  <c r="AO10" i="5"/>
  <c r="AO271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8" i="5"/>
  <c r="AO270" i="5"/>
  <c r="AO290" i="5"/>
  <c r="AO275" i="5"/>
  <c r="AO295" i="5"/>
  <c r="AO283" i="5"/>
  <c r="AO293" i="5"/>
  <c r="AO284" i="5"/>
  <c r="AO281" i="5"/>
  <c r="AO296" i="5"/>
  <c r="AO8" i="5"/>
  <c r="AO3" i="5"/>
  <c r="AO297" i="5"/>
  <c r="AO287" i="5"/>
  <c r="AO291" i="5"/>
  <c r="AO289" i="5"/>
  <c r="AO292" i="5"/>
  <c r="AO5" i="5"/>
  <c r="AO14" i="5"/>
  <c r="AO282" i="5"/>
  <c r="AO27" i="5"/>
  <c r="AO15" i="5"/>
  <c r="AO28" i="5"/>
  <c r="AO32" i="5"/>
  <c r="AO33" i="5"/>
  <c r="AO119" i="5"/>
  <c r="AO410" i="5"/>
  <c r="AO49" i="5"/>
  <c r="AO279" i="5"/>
  <c r="AO67" i="5"/>
  <c r="AO244" i="5"/>
  <c r="AO39" i="5"/>
  <c r="AO47" i="5"/>
  <c r="AO246" i="5"/>
  <c r="AO247" i="5"/>
  <c r="AO249" i="5"/>
  <c r="AO245" i="5"/>
  <c r="AO248" i="5"/>
  <c r="AO40" i="5"/>
  <c r="AO65" i="5"/>
  <c r="AO38" i="5"/>
  <c r="AO122" i="5"/>
  <c r="AO62" i="5"/>
  <c r="AO41" i="5"/>
  <c r="AO42" i="5"/>
  <c r="AO394" i="5"/>
  <c r="AO43" i="5"/>
  <c r="AO44" i="5"/>
  <c r="AO45" i="5"/>
  <c r="AO125" i="5"/>
  <c r="AO155" i="5"/>
  <c r="AO256" i="5"/>
  <c r="AO178" i="5"/>
  <c r="AO166" i="5"/>
  <c r="AO251" i="5"/>
  <c r="AO110" i="5"/>
  <c r="AO171" i="5"/>
  <c r="AO224" i="5"/>
  <c r="AO52" i="5"/>
  <c r="AO50" i="5"/>
  <c r="AO51" i="5"/>
  <c r="AO53" i="5"/>
  <c r="AO257" i="5"/>
  <c r="AO55" i="5"/>
  <c r="AO276" i="5"/>
  <c r="AO413" i="5"/>
  <c r="AO56" i="5"/>
  <c r="AO402" i="5"/>
  <c r="AO57" i="5"/>
  <c r="AO58" i="5"/>
  <c r="AO60" i="5"/>
  <c r="AO258" i="5"/>
  <c r="AO59" i="5"/>
  <c r="AO123" i="5"/>
  <c r="AO64" i="5"/>
  <c r="AO99" i="5"/>
  <c r="AO68" i="5"/>
  <c r="AO69" i="5"/>
  <c r="AO71" i="5"/>
  <c r="AO63" i="5"/>
  <c r="AO96" i="5"/>
  <c r="AO46" i="5"/>
  <c r="AO116" i="5"/>
  <c r="AO277" i="5"/>
  <c r="AO243" i="5"/>
  <c r="AO48" i="5"/>
  <c r="AO191" i="5"/>
  <c r="AO163" i="5"/>
  <c r="AO70" i="5"/>
  <c r="AO184" i="5"/>
  <c r="AO186" i="5"/>
  <c r="AO390" i="5"/>
  <c r="AO397" i="5"/>
  <c r="AO398" i="5"/>
  <c r="AO399" i="5"/>
  <c r="AO400" i="5"/>
  <c r="AO401" i="5"/>
  <c r="AO404" i="5"/>
  <c r="AO405" i="5"/>
  <c r="AO406" i="5"/>
  <c r="AO407" i="5"/>
  <c r="AO408" i="5"/>
  <c r="AO409" i="5"/>
  <c r="AO412" i="5"/>
  <c r="AO415" i="5"/>
  <c r="AO416" i="5"/>
  <c r="AO417" i="5"/>
  <c r="AO165" i="5"/>
  <c r="AO298" i="5"/>
  <c r="AO75" i="5"/>
  <c r="AO128" i="5"/>
  <c r="AO126" i="5"/>
  <c r="AO266" i="5"/>
  <c r="AO136" i="5"/>
  <c r="AO233" i="5"/>
  <c r="AO74" i="5"/>
  <c r="AO89" i="5"/>
  <c r="AO78" i="5"/>
  <c r="AO129" i="5"/>
  <c r="AO131" i="5"/>
  <c r="AO73" i="5"/>
  <c r="AO72" i="5"/>
  <c r="AO141" i="5"/>
  <c r="AO200" i="5"/>
  <c r="AO172" i="5"/>
  <c r="AO261" i="5"/>
  <c r="AO262" i="5"/>
  <c r="AO260" i="5"/>
  <c r="AO265" i="5"/>
  <c r="AO54" i="5"/>
  <c r="AO268" i="5"/>
  <c r="AO82" i="5"/>
  <c r="AO84" i="5"/>
  <c r="AO267" i="5"/>
  <c r="AO81" i="5"/>
  <c r="AO83" i="5"/>
  <c r="AO86" i="5"/>
  <c r="AO254" i="5"/>
  <c r="AO263" i="5"/>
  <c r="AO85" i="5"/>
  <c r="AO92" i="5"/>
  <c r="AO253" i="5"/>
  <c r="AO352" i="5"/>
  <c r="AO339" i="5"/>
  <c r="AO349" i="5"/>
  <c r="AO350" i="5"/>
  <c r="AO335" i="5"/>
  <c r="AO347" i="5"/>
  <c r="AO323" i="5"/>
  <c r="AO324" i="5"/>
  <c r="AO341" i="5"/>
  <c r="AO345" i="5"/>
  <c r="AO343" i="5"/>
  <c r="AO344" i="5"/>
  <c r="AO321" i="5"/>
  <c r="AO333" i="5"/>
  <c r="AO322" i="5"/>
  <c r="AO326" i="5"/>
  <c r="AO337" i="5"/>
  <c r="AO327" i="5"/>
  <c r="AO331" i="5"/>
  <c r="AO325" i="5"/>
  <c r="AO328" i="5"/>
  <c r="AO342" i="5"/>
  <c r="AO332" i="5"/>
  <c r="AO336" i="5"/>
  <c r="AO346" i="5"/>
  <c r="AO334" i="5"/>
  <c r="AO329" i="5"/>
  <c r="AO338" i="5"/>
  <c r="AO340" i="5"/>
  <c r="AO330" i="5"/>
  <c r="AO304" i="5"/>
  <c r="AO305" i="5"/>
  <c r="AO306" i="5"/>
  <c r="AO307" i="5"/>
  <c r="AO320" i="5"/>
  <c r="AO388" i="5"/>
  <c r="AO392" i="5"/>
  <c r="AO93" i="5"/>
  <c r="AO95" i="5"/>
  <c r="AO173" i="5"/>
  <c r="AO79" i="5"/>
  <c r="AO94" i="5"/>
  <c r="AO107" i="5"/>
  <c r="AO108" i="5"/>
  <c r="AO109" i="5"/>
  <c r="AO157" i="5"/>
  <c r="AO151" i="5"/>
  <c r="AO280" i="5"/>
  <c r="AO97" i="5"/>
  <c r="AO255" i="5"/>
  <c r="AO264" i="5"/>
  <c r="AO229" i="5"/>
  <c r="AO66" i="5"/>
  <c r="AO278" i="5"/>
  <c r="AO144" i="5"/>
  <c r="AO102" i="5"/>
  <c r="AO101" i="5"/>
  <c r="AO100" i="5"/>
  <c r="AO194" i="5"/>
  <c r="AO158" i="5"/>
  <c r="AO103" i="5"/>
  <c r="AO104" i="5"/>
  <c r="AO351" i="5"/>
  <c r="AO348" i="5"/>
  <c r="AO315" i="5"/>
  <c r="AO312" i="5"/>
  <c r="AO316" i="5"/>
  <c r="AO311" i="5"/>
  <c r="AO314" i="5"/>
  <c r="AO313" i="5"/>
  <c r="AO310" i="5"/>
  <c r="AO317" i="5"/>
  <c r="AO318" i="5"/>
  <c r="AO309" i="5"/>
  <c r="AO319" i="5"/>
  <c r="AO356" i="5"/>
  <c r="AO361" i="5"/>
  <c r="AO371" i="5"/>
  <c r="AO391" i="5"/>
  <c r="AO354" i="5"/>
  <c r="AO363" i="5"/>
  <c r="AO362" i="5"/>
  <c r="AO374" i="5"/>
  <c r="AO372" i="5"/>
  <c r="AO373" i="5"/>
  <c r="AO357" i="5"/>
  <c r="AO358" i="5"/>
  <c r="AO360" i="5"/>
  <c r="AO359" i="5"/>
  <c r="AO353" i="5"/>
  <c r="AO369" i="5"/>
  <c r="AO366" i="5"/>
  <c r="AO368" i="5"/>
  <c r="AO370" i="5"/>
  <c r="AO367" i="5"/>
  <c r="AO365" i="5"/>
  <c r="AO364" i="5"/>
  <c r="AO355" i="5"/>
  <c r="AO162" i="5"/>
  <c r="AO274" i="5"/>
  <c r="AO90" i="5"/>
  <c r="AO91" i="5"/>
  <c r="AO138" i="5"/>
  <c r="AO16" i="5"/>
  <c r="AO190" i="5"/>
  <c r="AO198" i="5"/>
  <c r="AO197" i="5"/>
  <c r="AO195" i="5"/>
  <c r="AO145" i="5"/>
  <c r="AO196" i="5"/>
  <c r="AO115" i="5"/>
  <c r="AO199" i="5"/>
  <c r="AO225" i="5"/>
  <c r="AO120" i="5"/>
  <c r="AO153" i="5"/>
  <c r="AO202" i="5"/>
  <c r="AO203" i="5"/>
  <c r="AO238" i="5"/>
  <c r="AO286" i="5"/>
  <c r="AO180" i="5"/>
  <c r="AO223" i="5"/>
  <c r="AO188" i="5"/>
  <c r="AO209" i="5"/>
  <c r="AO204" i="5"/>
  <c r="AO106" i="5"/>
  <c r="AO140" i="5"/>
  <c r="AO77" i="5"/>
  <c r="AO403" i="5"/>
  <c r="AO205" i="5"/>
  <c r="AO206" i="5"/>
  <c r="AO235" i="5"/>
  <c r="AO236" i="5"/>
  <c r="AO111" i="5"/>
  <c r="AO239" i="5"/>
  <c r="AO112" i="5"/>
  <c r="AO113" i="5"/>
  <c r="AO179" i="5"/>
  <c r="AO207" i="5"/>
  <c r="AO252" i="5"/>
  <c r="AO164" i="5"/>
  <c r="AO237" i="5"/>
  <c r="AO285" i="5"/>
  <c r="AO250" i="5"/>
  <c r="AO118" i="5"/>
  <c r="AO201" i="5"/>
  <c r="AO294" i="5"/>
  <c r="AO23" i="5"/>
  <c r="AO411" i="5"/>
  <c r="AO167" i="5"/>
  <c r="AO24" i="5"/>
  <c r="AO208" i="5"/>
  <c r="AO273" i="5"/>
  <c r="AO6" i="5"/>
  <c r="AO154" i="5"/>
  <c r="AO152" i="5"/>
  <c r="AO396" i="5"/>
  <c r="AO7" i="5"/>
  <c r="AO114" i="5"/>
  <c r="AO76" i="5"/>
  <c r="AO232" i="5"/>
  <c r="AO80" i="5"/>
  <c r="AO148" i="5"/>
  <c r="AO192" i="5"/>
  <c r="AO222" i="5"/>
  <c r="AO135" i="5"/>
  <c r="AO193" i="5"/>
  <c r="AO121" i="5"/>
  <c r="AO137" i="5"/>
  <c r="AO174" i="5"/>
  <c r="AO175" i="5"/>
  <c r="AO181" i="5"/>
  <c r="AO183" i="5"/>
  <c r="AO185" i="5"/>
  <c r="AO395" i="5"/>
  <c r="AO132" i="5"/>
  <c r="AO211" i="5"/>
  <c r="AO215" i="5"/>
  <c r="AO168" i="5"/>
  <c r="AO88" i="5"/>
  <c r="AO269" i="5"/>
  <c r="AO213" i="5"/>
  <c r="AO210" i="5"/>
  <c r="AO212" i="5"/>
  <c r="AO160" i="5"/>
  <c r="AO161" i="5"/>
  <c r="AO259" i="5"/>
  <c r="AO169" i="5"/>
  <c r="AO87" i="5"/>
  <c r="AO133" i="5"/>
  <c r="AO240" i="5"/>
  <c r="AO230" i="5"/>
  <c r="AO146" i="5"/>
  <c r="AO170" i="5"/>
  <c r="AO159" i="5"/>
  <c r="AO139" i="5"/>
  <c r="AO187" i="5"/>
  <c r="AO227" i="5"/>
  <c r="AO389" i="5"/>
  <c r="AO142" i="5"/>
  <c r="AO217" i="5"/>
  <c r="AO156" i="5"/>
  <c r="AO228" i="5"/>
  <c r="AO127" i="5"/>
  <c r="AO216" i="5"/>
  <c r="AO231" i="5"/>
  <c r="AO218" i="5"/>
  <c r="AO124" i="5"/>
  <c r="AO134" i="5"/>
  <c r="AO182" i="5"/>
  <c r="AO219" i="5"/>
  <c r="AO220" i="5"/>
  <c r="AO221" i="5"/>
  <c r="AO214" i="5"/>
  <c r="AO105" i="5"/>
  <c r="AO147" i="5"/>
  <c r="AO149" i="5"/>
  <c r="AO143" i="5"/>
  <c r="AO61" i="5"/>
  <c r="AO117" i="5"/>
  <c r="AO130" i="5"/>
  <c r="AO150" i="5"/>
  <c r="AO176" i="5"/>
  <c r="AO177" i="5"/>
  <c r="AO189" i="5"/>
  <c r="AO226" i="5"/>
  <c r="AO31" i="5"/>
  <c r="AO234" i="5"/>
  <c r="AO34" i="5"/>
  <c r="AO242" i="5"/>
  <c r="AO393" i="5"/>
  <c r="AO375" i="5"/>
  <c r="AO383" i="5"/>
  <c r="AO382" i="5"/>
  <c r="AO377" i="5"/>
  <c r="AO380" i="5"/>
  <c r="AO385" i="5"/>
  <c r="AO384" i="5"/>
  <c r="AO376" i="5"/>
  <c r="AO379" i="5"/>
  <c r="AO378" i="5"/>
  <c r="AO381" i="5"/>
  <c r="AO272" i="5"/>
  <c r="AO414" i="5"/>
  <c r="AO299" i="5"/>
  <c r="AO30" i="5"/>
  <c r="C2" i="7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82" i="1"/>
  <c r="BA81" i="1"/>
  <c r="BA137" i="1"/>
  <c r="BA135" i="1"/>
  <c r="BA139" i="1"/>
  <c r="BA140" i="1"/>
  <c r="BA141" i="1"/>
  <c r="BA142" i="1"/>
  <c r="BA307" i="1"/>
  <c r="BA318" i="1"/>
  <c r="BA319" i="1"/>
  <c r="BA408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5" i="1"/>
  <c r="BA76" i="1"/>
  <c r="BA79" i="1"/>
  <c r="BA80" i="1"/>
  <c r="BA90" i="1"/>
  <c r="BA91" i="1"/>
  <c r="BA92" i="1"/>
  <c r="BA94" i="1"/>
  <c r="BA95" i="1"/>
  <c r="BA107" i="1"/>
  <c r="BA108" i="1"/>
  <c r="BA109" i="1"/>
  <c r="BA110" i="1"/>
  <c r="BA111" i="1"/>
  <c r="BA114" i="1"/>
  <c r="BA115" i="1"/>
  <c r="BA117" i="1"/>
  <c r="BA118" i="1"/>
  <c r="BA113" i="1"/>
  <c r="BA120" i="1"/>
  <c r="BA116" i="1"/>
  <c r="BA112" i="1"/>
  <c r="BA121" i="1"/>
  <c r="BA119" i="1"/>
  <c r="BA129" i="1"/>
  <c r="BA144" i="1"/>
  <c r="BA136" i="1"/>
  <c r="BA130" i="1"/>
  <c r="BA143" i="1"/>
  <c r="BA131" i="1"/>
  <c r="BA132" i="1"/>
  <c r="BA133" i="1"/>
  <c r="BA134" i="1"/>
  <c r="BA159" i="1"/>
  <c r="BA161" i="1"/>
  <c r="BA162" i="1"/>
  <c r="BA160" i="1"/>
  <c r="BA180" i="1"/>
  <c r="BA181" i="1"/>
  <c r="BA184" i="1"/>
  <c r="BA185" i="1"/>
  <c r="BA196" i="1"/>
  <c r="BA206" i="1"/>
  <c r="BA207" i="1"/>
  <c r="BA208" i="1"/>
  <c r="BA424" i="1"/>
  <c r="BA428" i="1"/>
  <c r="BA427" i="1"/>
  <c r="BA426" i="1"/>
  <c r="BA425" i="1"/>
  <c r="BA219" i="1"/>
  <c r="BA220" i="1"/>
  <c r="BA222" i="1"/>
  <c r="BA221" i="1"/>
  <c r="BA227" i="1"/>
  <c r="BA228" i="1"/>
  <c r="BA236" i="1"/>
  <c r="BA235" i="1"/>
  <c r="BA234" i="1"/>
  <c r="BA243" i="1"/>
  <c r="BA244" i="1"/>
  <c r="BA433" i="1"/>
  <c r="BA432" i="1"/>
  <c r="BA434" i="1"/>
  <c r="BA459" i="1"/>
  <c r="BA460" i="1"/>
  <c r="BA461" i="1"/>
  <c r="BA462" i="1"/>
  <c r="BA463" i="1"/>
  <c r="BA464" i="1"/>
  <c r="BA256" i="1"/>
  <c r="BA257" i="1"/>
  <c r="BA258" i="1"/>
  <c r="BA259" i="1"/>
  <c r="BA260" i="1"/>
  <c r="BA261" i="1"/>
  <c r="BA290" i="1"/>
  <c r="BA291" i="1"/>
  <c r="BA294" i="1"/>
  <c r="BA293" i="1"/>
  <c r="BA292" i="1"/>
  <c r="BA296" i="1"/>
  <c r="BA297" i="1"/>
  <c r="BA298" i="1"/>
  <c r="BA299" i="1"/>
  <c r="BA300" i="1"/>
  <c r="BA301" i="1"/>
  <c r="BA302" i="1"/>
  <c r="BA305" i="1"/>
  <c r="BA306" i="1"/>
  <c r="BA310" i="1"/>
  <c r="BA312" i="1"/>
  <c r="BA311" i="1"/>
  <c r="BA313" i="1"/>
  <c r="BA314" i="1"/>
  <c r="BA321" i="1"/>
  <c r="BA322" i="1"/>
  <c r="BA323" i="1"/>
  <c r="BA315" i="1"/>
  <c r="BA316" i="1"/>
  <c r="BA344" i="1"/>
  <c r="BA345" i="1"/>
  <c r="BA349" i="1"/>
  <c r="BA350" i="1"/>
  <c r="BA351" i="1"/>
  <c r="BA352" i="1"/>
  <c r="BA353" i="1"/>
  <c r="BA366" i="1"/>
  <c r="BA367" i="1"/>
  <c r="BA373" i="1"/>
  <c r="BA375" i="1"/>
  <c r="BA374" i="1"/>
  <c r="BA376" i="1"/>
  <c r="BA377" i="1"/>
  <c r="BA378" i="1"/>
  <c r="BA379" i="1"/>
  <c r="BA380" i="1"/>
  <c r="BA381" i="1"/>
  <c r="BA402" i="1"/>
  <c r="BA403" i="1"/>
  <c r="BA471" i="1"/>
  <c r="BA473" i="1"/>
  <c r="BA472" i="1"/>
  <c r="BA475" i="1"/>
  <c r="BA476" i="1"/>
  <c r="BA477" i="1"/>
  <c r="BA478" i="1"/>
  <c r="BA474" i="1"/>
  <c r="BA407" i="1"/>
  <c r="BA29" i="1"/>
  <c r="AZ29" i="1"/>
  <c r="AA3" i="2"/>
  <c r="AD3" i="2"/>
  <c r="AE3" i="2"/>
  <c r="AF3" i="2"/>
  <c r="AG3" i="2"/>
  <c r="AH3" i="2"/>
  <c r="AI3" i="2"/>
  <c r="AJ3" i="2"/>
  <c r="AK3" i="2"/>
  <c r="AL3" i="2"/>
  <c r="AM3" i="2"/>
  <c r="AZ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C180" i="1"/>
  <c r="BB180" i="1"/>
  <c r="AZ180" i="1"/>
  <c r="BB319" i="1"/>
  <c r="BB4" i="1"/>
  <c r="BB13" i="1"/>
  <c r="BB316" i="1"/>
  <c r="BB318" i="1"/>
  <c r="BB321" i="1"/>
  <c r="BB322" i="1"/>
  <c r="BB323" i="1"/>
  <c r="BB344" i="1"/>
  <c r="BB42" i="1"/>
  <c r="BB43" i="1"/>
  <c r="BB44" i="1"/>
  <c r="BB45" i="1"/>
  <c r="BB46" i="1"/>
  <c r="BB47" i="1"/>
  <c r="BB75" i="1"/>
  <c r="BB76" i="1"/>
  <c r="BB79" i="1"/>
  <c r="BB80" i="1"/>
  <c r="BB81" i="1"/>
  <c r="BB82" i="1"/>
  <c r="BB90" i="1"/>
  <c r="BB91" i="1"/>
  <c r="BB92" i="1"/>
  <c r="BB94" i="1"/>
  <c r="BB95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9" i="1"/>
  <c r="BB130" i="1"/>
  <c r="BB131" i="1"/>
  <c r="BB132" i="1"/>
  <c r="BB133" i="1"/>
  <c r="BB134" i="1"/>
  <c r="BB135" i="1"/>
  <c r="BB136" i="1"/>
  <c r="BB137" i="1"/>
  <c r="BB139" i="1"/>
  <c r="BB140" i="1"/>
  <c r="BB141" i="1"/>
  <c r="BB142" i="1"/>
  <c r="BB143" i="1"/>
  <c r="BB144" i="1"/>
  <c r="BB159" i="1"/>
  <c r="BB160" i="1"/>
  <c r="BB161" i="1"/>
  <c r="BB162" i="1"/>
  <c r="BB184" i="1"/>
  <c r="BB185" i="1"/>
  <c r="BB196" i="1"/>
  <c r="BB206" i="1"/>
  <c r="BB207" i="1"/>
  <c r="BB208" i="1"/>
  <c r="BB424" i="1"/>
  <c r="BB425" i="1"/>
  <c r="BB426" i="1"/>
  <c r="BB427" i="1"/>
  <c r="BB428" i="1"/>
  <c r="BB219" i="1"/>
  <c r="BB220" i="1"/>
  <c r="BB221" i="1"/>
  <c r="BB222" i="1"/>
  <c r="BB227" i="1"/>
  <c r="BB228" i="1"/>
  <c r="BB234" i="1"/>
  <c r="BB235" i="1"/>
  <c r="BB236" i="1"/>
  <c r="BB243" i="1"/>
  <c r="BB244" i="1"/>
  <c r="BB432" i="1"/>
  <c r="BB433" i="1"/>
  <c r="BB434" i="1"/>
  <c r="BB459" i="1"/>
  <c r="BB460" i="1"/>
  <c r="BB461" i="1"/>
  <c r="BB462" i="1"/>
  <c r="BB463" i="1"/>
  <c r="BB464" i="1"/>
  <c r="BB256" i="1"/>
  <c r="BB257" i="1"/>
  <c r="BB258" i="1"/>
  <c r="BB259" i="1"/>
  <c r="BB260" i="1"/>
  <c r="BB261" i="1"/>
  <c r="BB290" i="1"/>
  <c r="BB291" i="1"/>
  <c r="BB292" i="1"/>
  <c r="BB293" i="1"/>
  <c r="BB294" i="1"/>
  <c r="BB296" i="1"/>
  <c r="BB297" i="1"/>
  <c r="BB298" i="1"/>
  <c r="BB299" i="1"/>
  <c r="BB300" i="1"/>
  <c r="BB301" i="1"/>
  <c r="BB302" i="1"/>
  <c r="BB305" i="1"/>
  <c r="BB306" i="1"/>
  <c r="BB307" i="1"/>
  <c r="BB310" i="1"/>
  <c r="BB311" i="1"/>
  <c r="BB312" i="1"/>
  <c r="BB313" i="1"/>
  <c r="BB314" i="1"/>
  <c r="BB315" i="1"/>
  <c r="BB39" i="1"/>
  <c r="BB40" i="1"/>
  <c r="BB41" i="1"/>
  <c r="AZ39" i="1"/>
  <c r="AZ318" i="1"/>
  <c r="AZ319" i="1"/>
  <c r="AZ321" i="1"/>
  <c r="AZ322" i="1"/>
  <c r="AZ323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BC236" i="1"/>
  <c r="BC235" i="1"/>
  <c r="BC38" i="1"/>
  <c r="BC121" i="1"/>
  <c r="BC323" i="1"/>
  <c r="BC434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5" i="4"/>
  <c r="AF13" i="4"/>
  <c r="AF266" i="4"/>
  <c r="AF202" i="4"/>
  <c r="AF39" i="4"/>
  <c r="AF163" i="4"/>
  <c r="AF165" i="4"/>
  <c r="AF216" i="4"/>
  <c r="AF276" i="4"/>
  <c r="AF12" i="4"/>
  <c r="AF21" i="4"/>
  <c r="AF139" i="4"/>
  <c r="AF197" i="4"/>
  <c r="AF188" i="4"/>
  <c r="AF190" i="4"/>
  <c r="AF195" i="4"/>
  <c r="AF199" i="4"/>
  <c r="AF152" i="4"/>
  <c r="AF167" i="4"/>
  <c r="AF189" i="4"/>
  <c r="AF192" i="4"/>
  <c r="AF193" i="4"/>
  <c r="AF194" i="4"/>
  <c r="AF154" i="4"/>
  <c r="AF198" i="4"/>
  <c r="AF196" i="4"/>
  <c r="AF265" i="4"/>
  <c r="AF273" i="4"/>
  <c r="AF274" i="4"/>
  <c r="AF275" i="4"/>
  <c r="AF301" i="4"/>
  <c r="AF213" i="4"/>
  <c r="AF212" i="4"/>
  <c r="AF30" i="4"/>
  <c r="AF31" i="4"/>
  <c r="AF76" i="4"/>
  <c r="AF87" i="4"/>
  <c r="AF55" i="4"/>
  <c r="AF56" i="4"/>
  <c r="AF79" i="4"/>
  <c r="AF77" i="4"/>
  <c r="AF50" i="4"/>
  <c r="AF71" i="4"/>
  <c r="AF113" i="4"/>
  <c r="AF227" i="4"/>
  <c r="AF205" i="4"/>
  <c r="AF209" i="4"/>
  <c r="AF204" i="4"/>
  <c r="AF246" i="4"/>
  <c r="AF245" i="4"/>
  <c r="AF143" i="4"/>
  <c r="AF208" i="4"/>
  <c r="AF256" i="4"/>
  <c r="AF259" i="4"/>
  <c r="AF257" i="4"/>
  <c r="AF298" i="4"/>
  <c r="AF299" i="4"/>
  <c r="AF75" i="4"/>
  <c r="AF54" i="4"/>
  <c r="AF206" i="4"/>
  <c r="AF207" i="4"/>
  <c r="AF3" i="4"/>
  <c r="AF9" i="4"/>
  <c r="AF10" i="4"/>
  <c r="AF11" i="4"/>
  <c r="AF7" i="4"/>
  <c r="AF6" i="4"/>
  <c r="AF8" i="4"/>
  <c r="AF5" i="4"/>
  <c r="AF14" i="4"/>
  <c r="AF15" i="4"/>
  <c r="AF20" i="4"/>
  <c r="AF29" i="4"/>
  <c r="AF18" i="4"/>
  <c r="AF36" i="4"/>
  <c r="AF34" i="4"/>
  <c r="AF37" i="4"/>
  <c r="AF32" i="4"/>
  <c r="AF24" i="4"/>
  <c r="AF27" i="4"/>
  <c r="AF40" i="4"/>
  <c r="AF23" i="4"/>
  <c r="AF19" i="4"/>
  <c r="AF16" i="4"/>
  <c r="AF60" i="4"/>
  <c r="AF61" i="4"/>
  <c r="AF80" i="4"/>
  <c r="AF45" i="4"/>
  <c r="AF47" i="4"/>
  <c r="AF48" i="4"/>
  <c r="AF46" i="4"/>
  <c r="AF72" i="4"/>
  <c r="AF41" i="4"/>
  <c r="AF42" i="4"/>
  <c r="AF78" i="4"/>
  <c r="AF82" i="4"/>
  <c r="AF85" i="4"/>
  <c r="AF68" i="4"/>
  <c r="AF81" i="4"/>
  <c r="AF58" i="4"/>
  <c r="AF59" i="4"/>
  <c r="AF84" i="4"/>
  <c r="AF62" i="4"/>
  <c r="AF52" i="4"/>
  <c r="AF49" i="4"/>
  <c r="AF57" i="4"/>
  <c r="AF83" i="4"/>
  <c r="AF51" i="4"/>
  <c r="AF119" i="4"/>
  <c r="AF131" i="4"/>
  <c r="AF147" i="4"/>
  <c r="AF158" i="4"/>
  <c r="AF182" i="4"/>
  <c r="AF118" i="4"/>
  <c r="AF130" i="4"/>
  <c r="AF155" i="4"/>
  <c r="AF236" i="4"/>
  <c r="AF129" i="4"/>
  <c r="AF142" i="4"/>
  <c r="AF151" i="4"/>
  <c r="AF161" i="4"/>
  <c r="AF172" i="4"/>
  <c r="AF173" i="4"/>
  <c r="AF201" i="4"/>
  <c r="AF214" i="4"/>
  <c r="AF215" i="4"/>
  <c r="AF222" i="4"/>
  <c r="AF232" i="4"/>
  <c r="AF122" i="4"/>
  <c r="AF146" i="4"/>
  <c r="AF171" i="4"/>
  <c r="AF221" i="4"/>
  <c r="AF144" i="4"/>
  <c r="AF219" i="4"/>
  <c r="AF116" i="4"/>
  <c r="AF150" i="4"/>
  <c r="AF233" i="4"/>
  <c r="AF134" i="4"/>
  <c r="AF218" i="4"/>
  <c r="AF225" i="4"/>
  <c r="AF115" i="4"/>
  <c r="AF148" i="4"/>
  <c r="AF159" i="4"/>
  <c r="AF179" i="4"/>
  <c r="AF135" i="4"/>
  <c r="AF136" i="4"/>
  <c r="AF138" i="4"/>
  <c r="AF184" i="4"/>
  <c r="AF185" i="4"/>
  <c r="AF186" i="4"/>
  <c r="AF175" i="4"/>
  <c r="AF238" i="4"/>
  <c r="AF240" i="4"/>
  <c r="AF117" i="4"/>
  <c r="AF170" i="4"/>
  <c r="AF180" i="4"/>
  <c r="AF177" i="4"/>
  <c r="AF239" i="4"/>
  <c r="AF203" i="4"/>
  <c r="AF237" i="4"/>
  <c r="AF241" i="4"/>
  <c r="AF243" i="4"/>
  <c r="AF153" i="4"/>
  <c r="AF247" i="4"/>
  <c r="AF166" i="4"/>
  <c r="AF244" i="4"/>
  <c r="AF145" i="4"/>
  <c r="AF231" i="4"/>
  <c r="AF111" i="4"/>
  <c r="AF103" i="4"/>
  <c r="AF104" i="4"/>
  <c r="AF168" i="4"/>
  <c r="AF108" i="4"/>
  <c r="AF90" i="4"/>
  <c r="AF91" i="4"/>
  <c r="AF92" i="4"/>
  <c r="AF137" i="4"/>
  <c r="AF88" i="4"/>
  <c r="AF105" i="4"/>
  <c r="AF106" i="4"/>
  <c r="AF140" i="4"/>
  <c r="AF101" i="4"/>
  <c r="AF98" i="4"/>
  <c r="AF120" i="4"/>
  <c r="AF181" i="4"/>
  <c r="AF132" i="4"/>
  <c r="AF157" i="4"/>
  <c r="AF191" i="4"/>
  <c r="AF234" i="4"/>
  <c r="AF178" i="4"/>
  <c r="AF228" i="4"/>
  <c r="AF149" i="4"/>
  <c r="AF123" i="4"/>
  <c r="AF141" i="4"/>
  <c r="AF242" i="4"/>
  <c r="AF102" i="4"/>
  <c r="AF183" i="4"/>
  <c r="AF95" i="4"/>
  <c r="AF230" i="4"/>
  <c r="AF114" i="4"/>
  <c r="AF187" i="4"/>
  <c r="AF164" i="4"/>
  <c r="AF156" i="4"/>
  <c r="AF121" i="4"/>
  <c r="AF229" i="4"/>
  <c r="AF124" i="4"/>
  <c r="AF162" i="4"/>
  <c r="AF224" i="4"/>
  <c r="AF94" i="4"/>
  <c r="AF107" i="4"/>
  <c r="AF133" i="4"/>
  <c r="AF169" i="4"/>
  <c r="AF261" i="4"/>
  <c r="AF263" i="4"/>
  <c r="AF258" i="4"/>
  <c r="AF260" i="4"/>
  <c r="AF262" i="4"/>
  <c r="AF251" i="4"/>
  <c r="AF252" i="4"/>
  <c r="AF248" i="4"/>
  <c r="AF250" i="4"/>
  <c r="AF267" i="4"/>
  <c r="AF268" i="4"/>
  <c r="AF270" i="4"/>
  <c r="AF269" i="4"/>
  <c r="AF272" i="4"/>
  <c r="AF277" i="4"/>
  <c r="AF283" i="4"/>
  <c r="AF282" i="4"/>
  <c r="AF281" i="4"/>
  <c r="AF280" i="4"/>
  <c r="AF285" i="4"/>
  <c r="AF286" i="4"/>
  <c r="AF287" i="4"/>
  <c r="AF284" i="4"/>
  <c r="AF288" i="4"/>
  <c r="AF290" i="4"/>
  <c r="AF291" i="4"/>
  <c r="AF289" i="4"/>
  <c r="AF292" i="4"/>
  <c r="AF294" i="4"/>
  <c r="AF295" i="4"/>
  <c r="AF296" i="4"/>
  <c r="AF293" i="4"/>
  <c r="AF297" i="4"/>
  <c r="AF300" i="4"/>
  <c r="AF303" i="4"/>
  <c r="AF25" i="4"/>
  <c r="AF33" i="4"/>
  <c r="AF17" i="4"/>
  <c r="AF44" i="4"/>
  <c r="AF65" i="4"/>
  <c r="AF69" i="4"/>
  <c r="AF70" i="4"/>
  <c r="AF66" i="4"/>
  <c r="AF67" i="4"/>
  <c r="AF128" i="4"/>
  <c r="AF217" i="4"/>
  <c r="AF226" i="4"/>
  <c r="AF112" i="4"/>
  <c r="AF223" i="4"/>
  <c r="AF110" i="4"/>
  <c r="AF109" i="4"/>
  <c r="AF89" i="4"/>
  <c r="AF96" i="4"/>
  <c r="AF97" i="4"/>
  <c r="AF100" i="4"/>
  <c r="AF174" i="4"/>
  <c r="AF99" i="4"/>
  <c r="AF126" i="4"/>
  <c r="AF264" i="4"/>
  <c r="AF249" i="4"/>
  <c r="AF271" i="4"/>
  <c r="AF2" i="4"/>
  <c r="AF22" i="4"/>
  <c r="AF53" i="4"/>
  <c r="AF127" i="4"/>
  <c r="AF160" i="4"/>
  <c r="AF125" i="4"/>
  <c r="AF220" i="4"/>
  <c r="AF93" i="4"/>
  <c r="AF176" i="4"/>
  <c r="AF278" i="4"/>
  <c r="AF302" i="4"/>
  <c r="AF26" i="4"/>
  <c r="AF63" i="4"/>
  <c r="AF64" i="4"/>
  <c r="AF43" i="4"/>
  <c r="AF28" i="4"/>
  <c r="AF253" i="4"/>
  <c r="AF235" i="4"/>
  <c r="AF279" i="4"/>
  <c r="AF312" i="4"/>
  <c r="AF304" i="4"/>
  <c r="AF306" i="4"/>
  <c r="AF307" i="4"/>
  <c r="AF308" i="4"/>
  <c r="AF309" i="4"/>
  <c r="AF310" i="4"/>
  <c r="AF311" i="4"/>
  <c r="AF313" i="4"/>
  <c r="AF315" i="4"/>
  <c r="AF316" i="4"/>
  <c r="AF318" i="4"/>
  <c r="AF319" i="4"/>
  <c r="AF305" i="4"/>
  <c r="AF317" i="4"/>
  <c r="AF332" i="4"/>
  <c r="AF320" i="4"/>
  <c r="AF321" i="4"/>
  <c r="AF335" i="4"/>
  <c r="AF333" i="4"/>
  <c r="AF334" i="4"/>
  <c r="AF322" i="4"/>
  <c r="AF328" i="4"/>
  <c r="AF329" i="4"/>
  <c r="AF330" i="4"/>
  <c r="AF331" i="4"/>
  <c r="AF323" i="4"/>
  <c r="AF345" i="4"/>
  <c r="AF344" i="4"/>
  <c r="AF339" i="4"/>
  <c r="AF342" i="4"/>
  <c r="AF340" i="4"/>
  <c r="AF343" i="4"/>
  <c r="AF341" i="4"/>
  <c r="AF346" i="4"/>
  <c r="AF352" i="4"/>
  <c r="AF347" i="4"/>
  <c r="AF350" i="4"/>
  <c r="AF348" i="4"/>
  <c r="AF349" i="4"/>
  <c r="AF351" i="4"/>
  <c r="AF324" i="4"/>
  <c r="AF325" i="4"/>
  <c r="AF326" i="4"/>
  <c r="AF327" i="4"/>
  <c r="AF338" i="4"/>
  <c r="AF336" i="4"/>
  <c r="AF337" i="4"/>
  <c r="AF354" i="4"/>
  <c r="AF355" i="4"/>
  <c r="AF356" i="4"/>
  <c r="AF357" i="4"/>
  <c r="AF358" i="4"/>
  <c r="AF368" i="4"/>
  <c r="AF374" i="4"/>
  <c r="AF359" i="4"/>
  <c r="AF372" i="4"/>
  <c r="AF353" i="4"/>
  <c r="AF361" i="4"/>
  <c r="AF362" i="4"/>
  <c r="AF363" i="4"/>
  <c r="AF365" i="4"/>
  <c r="AF366" i="4"/>
  <c r="AF367" i="4"/>
  <c r="AF373" i="4"/>
  <c r="AF369" i="4"/>
  <c r="AF370" i="4"/>
  <c r="AF371" i="4"/>
  <c r="AF360" i="4"/>
  <c r="AF364" i="4"/>
  <c r="AF375" i="4"/>
  <c r="AF376" i="4"/>
  <c r="AF377" i="4"/>
  <c r="AF378" i="4"/>
  <c r="AF379" i="4"/>
  <c r="AF380" i="4"/>
  <c r="AF381" i="4"/>
  <c r="AF385" i="4"/>
  <c r="AF386" i="4"/>
  <c r="AF387" i="4"/>
  <c r="AF383" i="4"/>
  <c r="AF390" i="4"/>
  <c r="AF388" i="4"/>
  <c r="AF389" i="4"/>
  <c r="AF392" i="4"/>
  <c r="AF391" i="4"/>
  <c r="AF393" i="4"/>
  <c r="AF394" i="4"/>
  <c r="AF395" i="4"/>
  <c r="AF396" i="4"/>
  <c r="AF397" i="4"/>
  <c r="AF398" i="4"/>
  <c r="AF399" i="4"/>
  <c r="AF400" i="4"/>
  <c r="AF402" i="4"/>
  <c r="AF403" i="4"/>
  <c r="AF404" i="4"/>
  <c r="AF401" i="4"/>
  <c r="AF407" i="4"/>
  <c r="AF405" i="4"/>
  <c r="AF406" i="4"/>
  <c r="AF408" i="4"/>
  <c r="AF409" i="4"/>
  <c r="AF410" i="4"/>
  <c r="AF411" i="4"/>
  <c r="AF412" i="4"/>
  <c r="AF413" i="4"/>
  <c r="AF414" i="4"/>
  <c r="AF415" i="4"/>
  <c r="AF416" i="4"/>
  <c r="AF417" i="4"/>
  <c r="AF4" i="4"/>
  <c r="AE2" i="4"/>
  <c r="BC119" i="5"/>
  <c r="B8" i="3"/>
  <c r="C8" i="3"/>
  <c r="E8" i="3"/>
  <c r="B10" i="3"/>
  <c r="C10" i="3"/>
  <c r="E10" i="3"/>
  <c r="I10" i="3"/>
  <c r="J10" i="3"/>
  <c r="AA2" i="2"/>
  <c r="AD2" i="2"/>
  <c r="AE2" i="2"/>
  <c r="AF2" i="2"/>
  <c r="AG2" i="2"/>
  <c r="AH2" i="2"/>
  <c r="AI2" i="2"/>
  <c r="AK2" i="2"/>
  <c r="AL2" i="2"/>
  <c r="AM2" i="2"/>
  <c r="D67" i="6"/>
  <c r="D207" i="6"/>
  <c r="D90" i="6"/>
  <c r="D91" i="6"/>
  <c r="D98" i="6"/>
  <c r="D100" i="6"/>
  <c r="D107" i="6"/>
  <c r="D109" i="6"/>
  <c r="D117" i="6"/>
  <c r="D124" i="6"/>
  <c r="D125" i="6"/>
  <c r="D126" i="6"/>
  <c r="D161" i="6"/>
  <c r="D166" i="6"/>
  <c r="D142" i="6"/>
  <c r="D169" i="6"/>
  <c r="D127" i="6"/>
  <c r="D145" i="6"/>
  <c r="D57" i="6"/>
  <c r="D14" i="6"/>
  <c r="D128" i="6"/>
  <c r="D245" i="6"/>
  <c r="D79" i="6"/>
  <c r="D113" i="6"/>
  <c r="D155" i="6"/>
  <c r="D146" i="6"/>
  <c r="D219" i="6"/>
  <c r="D202" i="6"/>
  <c r="D220" i="6"/>
  <c r="D129" i="6"/>
  <c r="D204" i="6"/>
  <c r="D149" i="6"/>
  <c r="D150" i="6"/>
  <c r="D151" i="6"/>
  <c r="D283" i="6"/>
  <c r="D229" i="6"/>
  <c r="D230" i="6"/>
  <c r="D231" i="6"/>
  <c r="D299" i="6"/>
  <c r="D160" i="6"/>
  <c r="D103" i="6"/>
  <c r="D225" i="6"/>
  <c r="D213" i="6"/>
  <c r="D215" i="6"/>
  <c r="D201" i="6"/>
  <c r="D235" i="6"/>
  <c r="D154" i="6"/>
  <c r="D179" i="6"/>
  <c r="D172" i="6"/>
  <c r="D173" i="6"/>
  <c r="D217" i="6"/>
  <c r="D260" i="6"/>
  <c r="D208" i="6"/>
  <c r="D209" i="6"/>
  <c r="D262" i="6"/>
  <c r="D237" i="6"/>
  <c r="D221" i="6"/>
  <c r="D203" i="6"/>
  <c r="D205" i="6"/>
  <c r="D227" i="6"/>
  <c r="D282" i="6"/>
  <c r="D44" i="6"/>
  <c r="D210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3" i="6"/>
  <c r="D71" i="6"/>
  <c r="D99" i="6"/>
  <c r="D101" i="6"/>
  <c r="D115" i="6"/>
  <c r="D116" i="6"/>
  <c r="D167" i="6"/>
  <c r="D168" i="6"/>
  <c r="D197" i="6"/>
  <c r="D144" i="6"/>
  <c r="D199" i="6"/>
  <c r="D77" i="6"/>
  <c r="D277" i="6"/>
  <c r="D216" i="6"/>
  <c r="D265" i="6"/>
  <c r="D178" i="6"/>
  <c r="D246" i="6"/>
  <c r="D147" i="6"/>
  <c r="D148" i="6"/>
  <c r="D222" i="6"/>
  <c r="D223" i="6"/>
  <c r="D224" i="6"/>
  <c r="D226" i="6"/>
  <c r="D206" i="6"/>
  <c r="D83" i="6"/>
  <c r="D174" i="6"/>
  <c r="D175" i="6"/>
  <c r="D185" i="6"/>
  <c r="D186" i="6"/>
  <c r="D86" i="6"/>
  <c r="D70" i="6"/>
  <c r="D106" i="6"/>
  <c r="D96" i="6"/>
  <c r="D97" i="6"/>
  <c r="D108" i="6"/>
  <c r="D110" i="6"/>
  <c r="D111" i="6"/>
  <c r="D112" i="6"/>
  <c r="D263" i="6"/>
  <c r="D238" i="6"/>
  <c r="D239" i="6"/>
  <c r="D281" i="6"/>
  <c r="D158" i="6"/>
  <c r="D84" i="6"/>
  <c r="D159" i="6"/>
  <c r="D184" i="6"/>
  <c r="D176" i="6"/>
  <c r="D212" i="6"/>
  <c r="D135" i="6"/>
  <c r="D59" i="6"/>
  <c r="D218" i="6"/>
  <c r="D180" i="6"/>
  <c r="D156" i="6"/>
  <c r="D252" i="6"/>
  <c r="D280" i="6"/>
  <c r="D182" i="6"/>
  <c r="D39" i="6"/>
  <c r="D104" i="6"/>
  <c r="D31" i="6"/>
  <c r="D198" i="6"/>
  <c r="D24" i="6"/>
  <c r="D38" i="6"/>
  <c r="D25" i="6"/>
  <c r="D119" i="6"/>
  <c r="D121" i="6"/>
  <c r="D26" i="6"/>
  <c r="D32" i="6"/>
  <c r="D191" i="6"/>
  <c r="D33" i="6"/>
  <c r="D187" i="6"/>
  <c r="D190" i="6"/>
  <c r="D193" i="6"/>
  <c r="D196" i="6"/>
  <c r="D258" i="6"/>
  <c r="D269" i="6"/>
  <c r="D35" i="6"/>
  <c r="D291" i="6"/>
  <c r="D271" i="6"/>
  <c r="D272" i="6"/>
  <c r="D63" i="6"/>
  <c r="D60" i="6"/>
  <c r="D61" i="6"/>
  <c r="D15" i="6"/>
  <c r="D36" i="6"/>
  <c r="D131" i="6"/>
  <c r="D273" i="6"/>
  <c r="D13" i="6"/>
  <c r="D236" i="6"/>
  <c r="D162" i="6"/>
  <c r="D276" i="6"/>
  <c r="D256" i="6"/>
  <c r="D257" i="6"/>
  <c r="D228" i="6"/>
  <c r="D152" i="6"/>
  <c r="D270" i="6"/>
  <c r="D123" i="6"/>
  <c r="D183" i="6"/>
  <c r="D134" i="6"/>
  <c r="D264" i="6"/>
  <c r="D27" i="6"/>
  <c r="D28" i="6"/>
  <c r="D29" i="6"/>
  <c r="D30" i="6"/>
  <c r="D284" i="6"/>
  <c r="D285" i="6"/>
  <c r="D74" i="6"/>
  <c r="D286" i="6"/>
  <c r="D75" i="6"/>
  <c r="D76" i="6"/>
  <c r="D136" i="6"/>
  <c r="D287" i="6"/>
  <c r="D120" i="6"/>
  <c r="D78" i="6"/>
  <c r="D137" i="6"/>
  <c r="D138" i="6"/>
  <c r="D139" i="6"/>
  <c r="D244" i="6"/>
  <c r="D288" i="6"/>
  <c r="D289" i="6"/>
  <c r="D34" i="6"/>
  <c r="D153" i="6"/>
  <c r="D157" i="6"/>
  <c r="D164" i="6"/>
  <c r="D170" i="6"/>
  <c r="D171" i="6"/>
  <c r="D181" i="6"/>
  <c r="D232" i="6"/>
  <c r="D292" i="6"/>
  <c r="D293" i="6"/>
  <c r="D294" i="6"/>
  <c r="D296" i="6"/>
  <c r="D297" i="6"/>
  <c r="D278" i="6"/>
  <c r="D253" i="6"/>
  <c r="D130" i="6"/>
  <c r="D275" i="6"/>
  <c r="D255" i="6"/>
  <c r="D279" i="6"/>
  <c r="D240" i="6"/>
  <c r="D248" i="6"/>
  <c r="D249" i="6"/>
  <c r="D165" i="6"/>
  <c r="D259" i="6"/>
  <c r="D12" i="6"/>
  <c r="D214" i="6"/>
  <c r="D254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4" i="6"/>
  <c r="D105" i="6"/>
  <c r="D54" i="6"/>
  <c r="D55" i="6"/>
  <c r="D56" i="6"/>
  <c r="D132" i="6"/>
  <c r="D298" i="6"/>
  <c r="D211" i="6"/>
  <c r="D46" i="6"/>
  <c r="D200" i="6"/>
  <c r="D58" i="6"/>
  <c r="D251" i="6"/>
  <c r="D81" i="6"/>
  <c r="D266" i="6"/>
  <c r="D163" i="6"/>
  <c r="D290" i="6"/>
  <c r="D82" i="6"/>
  <c r="D188" i="6"/>
  <c r="D192" i="6"/>
  <c r="D267" i="6"/>
  <c r="D268" i="6"/>
  <c r="D16" i="6"/>
  <c r="D18" i="6"/>
  <c r="D19" i="6"/>
  <c r="D20" i="6"/>
  <c r="D102" i="6"/>
  <c r="D8" i="6"/>
  <c r="D143" i="6"/>
  <c r="D177" i="6"/>
  <c r="D73" i="6"/>
  <c r="D274" i="6"/>
  <c r="D241" i="6"/>
  <c r="D242" i="6"/>
  <c r="D243" i="6"/>
  <c r="D247" i="6"/>
  <c r="D250" i="6"/>
  <c r="D189" i="6"/>
  <c r="D194" i="6"/>
  <c r="D195" i="6"/>
  <c r="D17" i="6"/>
  <c r="D133" i="6"/>
  <c r="D122" i="6"/>
  <c r="D80" i="6"/>
  <c r="D37" i="6"/>
  <c r="D40" i="6"/>
  <c r="D41" i="6"/>
  <c r="D42" i="6"/>
  <c r="D45" i="6"/>
  <c r="D43" i="6"/>
  <c r="D309" i="6"/>
  <c r="D310" i="6"/>
  <c r="D311" i="6"/>
  <c r="D312" i="6"/>
  <c r="D305" i="6"/>
  <c r="D306" i="6"/>
  <c r="D307" i="6"/>
  <c r="D318" i="6"/>
  <c r="D304" i="6"/>
  <c r="D308" i="6"/>
  <c r="D317" i="6"/>
  <c r="D313" i="6"/>
  <c r="D314" i="6"/>
  <c r="D315" i="6"/>
  <c r="D316" i="6"/>
  <c r="D332" i="6"/>
  <c r="D333" i="6"/>
  <c r="D334" i="6"/>
  <c r="D320" i="6"/>
  <c r="D321" i="6"/>
  <c r="D322" i="6"/>
  <c r="D325" i="6"/>
  <c r="D330" i="6"/>
  <c r="D352" i="6"/>
  <c r="D331" i="6"/>
  <c r="D335" i="6"/>
  <c r="D347" i="6"/>
  <c r="D348" i="6"/>
  <c r="D323" i="6"/>
  <c r="D324" i="6"/>
  <c r="D326" i="6"/>
  <c r="D327" i="6"/>
  <c r="D328" i="6"/>
  <c r="D329" i="6"/>
  <c r="D336" i="6"/>
  <c r="D337" i="6"/>
  <c r="D338" i="6"/>
  <c r="D339" i="6"/>
  <c r="D340" i="6"/>
  <c r="D341" i="6"/>
  <c r="D342" i="6"/>
  <c r="D343" i="6"/>
  <c r="D344" i="6"/>
  <c r="D345" i="6"/>
  <c r="D346" i="6"/>
  <c r="D351" i="6"/>
  <c r="D349" i="6"/>
  <c r="D350" i="6"/>
  <c r="D355" i="6"/>
  <c r="D357" i="6"/>
  <c r="D359" i="6"/>
  <c r="D362" i="6"/>
  <c r="D366" i="6"/>
  <c r="D360" i="6"/>
  <c r="D363" i="6"/>
  <c r="D365" i="6"/>
  <c r="D356" i="6"/>
  <c r="D370" i="6"/>
  <c r="D371" i="6"/>
  <c r="D353" i="6"/>
  <c r="D367" i="6"/>
  <c r="D354" i="6"/>
  <c r="D372" i="6"/>
  <c r="D358" i="6"/>
  <c r="D361" i="6"/>
  <c r="D368" i="6"/>
  <c r="D369" i="6"/>
  <c r="D373" i="6"/>
  <c r="D374" i="6"/>
  <c r="D364" i="6"/>
  <c r="D380" i="6"/>
  <c r="D383" i="6"/>
  <c r="D375" i="6"/>
  <c r="D376" i="6"/>
  <c r="D377" i="6"/>
  <c r="D378" i="6"/>
  <c r="D379" i="6"/>
  <c r="D381" i="6"/>
  <c r="D382" i="6"/>
  <c r="D384" i="6"/>
  <c r="D385" i="6"/>
  <c r="D389" i="6"/>
  <c r="D388" i="6"/>
  <c r="D392" i="6"/>
  <c r="D391" i="6"/>
  <c r="D390" i="6"/>
  <c r="D397" i="6"/>
  <c r="D398" i="6"/>
  <c r="D399" i="6"/>
  <c r="D400" i="6"/>
  <c r="D404" i="6"/>
  <c r="D405" i="6"/>
  <c r="D406" i="6"/>
  <c r="D407" i="6"/>
  <c r="D403" i="6"/>
  <c r="D393" i="6"/>
  <c r="D395" i="6"/>
  <c r="D409" i="6"/>
  <c r="D408" i="6"/>
  <c r="D401" i="6"/>
  <c r="D402" i="6"/>
  <c r="D411" i="6"/>
  <c r="D416" i="6"/>
  <c r="D394" i="6"/>
  <c r="D415" i="6"/>
  <c r="D417" i="6"/>
  <c r="D410" i="6"/>
  <c r="D413" i="6"/>
  <c r="D396" i="6"/>
  <c r="D412" i="6"/>
  <c r="D414" i="6"/>
  <c r="D22" i="6"/>
  <c r="A171" i="8"/>
  <c r="C171" i="8"/>
  <c r="AZ196" i="1"/>
  <c r="BC196" i="1"/>
  <c r="AZ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K65" i="4"/>
  <c r="K69" i="4"/>
  <c r="K70" i="4"/>
  <c r="K66" i="4"/>
  <c r="K67" i="4"/>
  <c r="K54" i="4"/>
  <c r="K75" i="4"/>
  <c r="AL3" i="4"/>
  <c r="AL4" i="4"/>
  <c r="AL9" i="4"/>
  <c r="AL10" i="4"/>
  <c r="AL11" i="4"/>
  <c r="AL7" i="4"/>
  <c r="AL6" i="4"/>
  <c r="AL8" i="4"/>
  <c r="AL14" i="4"/>
  <c r="AL15" i="4"/>
  <c r="AL12" i="4"/>
  <c r="AL13" i="4"/>
  <c r="AL20" i="4"/>
  <c r="AL21" i="4"/>
  <c r="AL29" i="4"/>
  <c r="AL30" i="4"/>
  <c r="AL35" i="4"/>
  <c r="AL18" i="4"/>
  <c r="AL36" i="4"/>
  <c r="AL25" i="4"/>
  <c r="AL34" i="4"/>
  <c r="AL37" i="4"/>
  <c r="AL22" i="4"/>
  <c r="AL32" i="4"/>
  <c r="AL33" i="4"/>
  <c r="AL31" i="4"/>
  <c r="AL24" i="4"/>
  <c r="AL26" i="4"/>
  <c r="AL17" i="4"/>
  <c r="AL28" i="4"/>
  <c r="AL60" i="4"/>
  <c r="AL61" i="4"/>
  <c r="AL76" i="4"/>
  <c r="AL87" i="4"/>
  <c r="AL63" i="4"/>
  <c r="AL80" i="4"/>
  <c r="AL55" i="4"/>
  <c r="AL56" i="4"/>
  <c r="AL75" i="4"/>
  <c r="AL45" i="4"/>
  <c r="AL79" i="4"/>
  <c r="AL47" i="4"/>
  <c r="AL48" i="4"/>
  <c r="AL46" i="4"/>
  <c r="AL72" i="4"/>
  <c r="AL53" i="4"/>
  <c r="AL44" i="4"/>
  <c r="AL41" i="4"/>
  <c r="AL42" i="4"/>
  <c r="AL65" i="4"/>
  <c r="AL69" i="4"/>
  <c r="AL70" i="4"/>
  <c r="AL78" i="4"/>
  <c r="AL82" i="4"/>
  <c r="AL139" i="4"/>
  <c r="AL85" i="4"/>
  <c r="AL64" i="4"/>
  <c r="AL66" i="4"/>
  <c r="AL68" i="4"/>
  <c r="AL81" i="4"/>
  <c r="AL58" i="4"/>
  <c r="AL59" i="4"/>
  <c r="AL84" i="4"/>
  <c r="AL67" i="4"/>
  <c r="AL77" i="4"/>
  <c r="AL62" i="4"/>
  <c r="AL43" i="4"/>
  <c r="AL52" i="4"/>
  <c r="AL49" i="4"/>
  <c r="AL50" i="4"/>
  <c r="AL71" i="4"/>
  <c r="AL57" i="4"/>
  <c r="AL119" i="4"/>
  <c r="AL131" i="4"/>
  <c r="AL147" i="4"/>
  <c r="AL158" i="4"/>
  <c r="AL182" i="4"/>
  <c r="AL118" i="4"/>
  <c r="AL130" i="4"/>
  <c r="AL128" i="4"/>
  <c r="AL155" i="4"/>
  <c r="AL236" i="4"/>
  <c r="AL129" i="4"/>
  <c r="AL142" i="4"/>
  <c r="AL151" i="4"/>
  <c r="AL161" i="4"/>
  <c r="AL172" i="4"/>
  <c r="AL173" i="4"/>
  <c r="AL201" i="4"/>
  <c r="AL214" i="4"/>
  <c r="AL215" i="4"/>
  <c r="AL217" i="4"/>
  <c r="AL222" i="4"/>
  <c r="AL226" i="4"/>
  <c r="AL232" i="4"/>
  <c r="AL122" i="4"/>
  <c r="AL146" i="4"/>
  <c r="AL171" i="4"/>
  <c r="AL221" i="4"/>
  <c r="AL112" i="4"/>
  <c r="AL113" i="4"/>
  <c r="AL144" i="4"/>
  <c r="AL219" i="4"/>
  <c r="AL227" i="4"/>
  <c r="AL116" i="4"/>
  <c r="AL150" i="4"/>
  <c r="AL233" i="4"/>
  <c r="AL134" i="4"/>
  <c r="AL218" i="4"/>
  <c r="AL223" i="4"/>
  <c r="AL225" i="4"/>
  <c r="AL115" i="4"/>
  <c r="AL148" i="4"/>
  <c r="AL159" i="4"/>
  <c r="AL179" i="4"/>
  <c r="AL135" i="4"/>
  <c r="AL205" i="4"/>
  <c r="AL206" i="4"/>
  <c r="AL207" i="4"/>
  <c r="AL209" i="4"/>
  <c r="AL127" i="4"/>
  <c r="AL160" i="4"/>
  <c r="AL136" i="4"/>
  <c r="AL138" i="4"/>
  <c r="AL184" i="4"/>
  <c r="AL185" i="4"/>
  <c r="AL186" i="4"/>
  <c r="AL197" i="4"/>
  <c r="AL175" i="4"/>
  <c r="AL188" i="4"/>
  <c r="AL190" i="4"/>
  <c r="AL195" i="4"/>
  <c r="AL199" i="4"/>
  <c r="AL152" i="4"/>
  <c r="AL167" i="4"/>
  <c r="AL189" i="4"/>
  <c r="AL202" i="4"/>
  <c r="AL204" i="4"/>
  <c r="AL238" i="4"/>
  <c r="AL240" i="4"/>
  <c r="AL117" i="4"/>
  <c r="AL170" i="4"/>
  <c r="AL180" i="4"/>
  <c r="AL192" i="4"/>
  <c r="AL193" i="4"/>
  <c r="AL177" i="4"/>
  <c r="AL235" i="4"/>
  <c r="AL239" i="4"/>
  <c r="AL203" i="4"/>
  <c r="AL237" i="4"/>
  <c r="AL241" i="4"/>
  <c r="AL243" i="4"/>
  <c r="AL153" i="4"/>
  <c r="AL194" i="4"/>
  <c r="AL247" i="4"/>
  <c r="AL166" i="4"/>
  <c r="AL163" i="4"/>
  <c r="AL110" i="4"/>
  <c r="AL244" i="4"/>
  <c r="AL213" i="4"/>
  <c r="AL145" i="4"/>
  <c r="AL246" i="4"/>
  <c r="AL109" i="4"/>
  <c r="AL212" i="4"/>
  <c r="AL231" i="4"/>
  <c r="AL111" i="4"/>
  <c r="AL103" i="4"/>
  <c r="AL104" i="4"/>
  <c r="AL168" i="4"/>
  <c r="AL108" i="4"/>
  <c r="AL154" i="4"/>
  <c r="AL90" i="4"/>
  <c r="AL89" i="4"/>
  <c r="AL91" i="4"/>
  <c r="AL92" i="4"/>
  <c r="AL137" i="4"/>
  <c r="AL88" i="4"/>
  <c r="AL198" i="4"/>
  <c r="AL96" i="4"/>
  <c r="AL105" i="4"/>
  <c r="AL125" i="4"/>
  <c r="AL106" i="4"/>
  <c r="AL97" i="4"/>
  <c r="AL100" i="4"/>
  <c r="AL140" i="4"/>
  <c r="AL174" i="4"/>
  <c r="AL101" i="4"/>
  <c r="AL98" i="4"/>
  <c r="AL126" i="4"/>
  <c r="AL120" i="4"/>
  <c r="AL181" i="4"/>
  <c r="AL132" i="4"/>
  <c r="AL157" i="4"/>
  <c r="AL220" i="4"/>
  <c r="AL191" i="4"/>
  <c r="AL234" i="4"/>
  <c r="AL245" i="4"/>
  <c r="AL178" i="4"/>
  <c r="AL228" i="4"/>
  <c r="AL149" i="4"/>
  <c r="AL123" i="4"/>
  <c r="AL143" i="4"/>
  <c r="AL141" i="4"/>
  <c r="AL242" i="4"/>
  <c r="AL102" i="4"/>
  <c r="AL183" i="4"/>
  <c r="AL95" i="4"/>
  <c r="AL230" i="4"/>
  <c r="AL114" i="4"/>
  <c r="AL187" i="4"/>
  <c r="AL164" i="4"/>
  <c r="AL156" i="4"/>
  <c r="AL121" i="4"/>
  <c r="AL229" i="4"/>
  <c r="AL124" i="4"/>
  <c r="AL162" i="4"/>
  <c r="AL224" i="4"/>
  <c r="AL208" i="4"/>
  <c r="AL165" i="4"/>
  <c r="AL94" i="4"/>
  <c r="AL107" i="4"/>
  <c r="AL261" i="4"/>
  <c r="AL256" i="4"/>
  <c r="AL263" i="4"/>
  <c r="AL265" i="4"/>
  <c r="AL264" i="4"/>
  <c r="AL258" i="4"/>
  <c r="AL260" i="4"/>
  <c r="AL262" i="4"/>
  <c r="AL251" i="4"/>
  <c r="AL252" i="4"/>
  <c r="AL248" i="4"/>
  <c r="AL250" i="4"/>
  <c r="AL249" i="4"/>
  <c r="AL259" i="4"/>
  <c r="AL253" i="4"/>
  <c r="AL273" i="4"/>
  <c r="AL274" i="4"/>
  <c r="AL267" i="4"/>
  <c r="AL266" i="4"/>
  <c r="AL268" i="4"/>
  <c r="AL270" i="4"/>
  <c r="AL271" i="4"/>
  <c r="AL269" i="4"/>
  <c r="AL272" i="4"/>
  <c r="AL275" i="4"/>
  <c r="AL276" i="4"/>
  <c r="AL277" i="4"/>
  <c r="AL283" i="4"/>
  <c r="AL282" i="4"/>
  <c r="AL279" i="4"/>
  <c r="AL281" i="4"/>
  <c r="AL280" i="4"/>
  <c r="AL285" i="4"/>
  <c r="AL278" i="4"/>
  <c r="AL286" i="4"/>
  <c r="AL287" i="4"/>
  <c r="AL284" i="4"/>
  <c r="AL288" i="4"/>
  <c r="AL290" i="4"/>
  <c r="AL291" i="4"/>
  <c r="AL289" i="4"/>
  <c r="AL292" i="4"/>
  <c r="AL294" i="4"/>
  <c r="AL295" i="4"/>
  <c r="AL296" i="4"/>
  <c r="AL293" i="4"/>
  <c r="AL297" i="4"/>
  <c r="AL300" i="4"/>
  <c r="AL298" i="4"/>
  <c r="AL299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5" i="4"/>
  <c r="AL316" i="4"/>
  <c r="AL317" i="4"/>
  <c r="AL318" i="4"/>
  <c r="AL319" i="4"/>
  <c r="AL335" i="4"/>
  <c r="AL333" i="4"/>
  <c r="AL334" i="4"/>
  <c r="AL332" i="4"/>
  <c r="AL322" i="4"/>
  <c r="AL324" i="4"/>
  <c r="AL325" i="4"/>
  <c r="AL326" i="4"/>
  <c r="AL327" i="4"/>
  <c r="AL328" i="4"/>
  <c r="AL329" i="4"/>
  <c r="AL330" i="4"/>
  <c r="AL331" i="4"/>
  <c r="AL323" i="4"/>
  <c r="AL320" i="4"/>
  <c r="AL321" i="4"/>
  <c r="AL339" i="4"/>
  <c r="AL345" i="4"/>
  <c r="AL342" i="4"/>
  <c r="AL340" i="4"/>
  <c r="AL343" i="4"/>
  <c r="AL344" i="4"/>
  <c r="AL341" i="4"/>
  <c r="AL338" i="4"/>
  <c r="AL336" i="4"/>
  <c r="AL337" i="4"/>
  <c r="AL346" i="4"/>
  <c r="AL347" i="4"/>
  <c r="AL350" i="4"/>
  <c r="AL348" i="4"/>
  <c r="AL349" i="4"/>
  <c r="AL351" i="4"/>
  <c r="AL352" i="4"/>
  <c r="AL359" i="4"/>
  <c r="AL353" i="4"/>
  <c r="AL354" i="4"/>
  <c r="AL355" i="4"/>
  <c r="AL360" i="4"/>
  <c r="AL361" i="4"/>
  <c r="AL362" i="4"/>
  <c r="AL363" i="4"/>
  <c r="AL364" i="4"/>
  <c r="AL365" i="4"/>
  <c r="AL366" i="4"/>
  <c r="AL367" i="4"/>
  <c r="AL369" i="4"/>
  <c r="AL370" i="4"/>
  <c r="AL371" i="4"/>
  <c r="AL356" i="4"/>
  <c r="AL357" i="4"/>
  <c r="AL358" i="4"/>
  <c r="AL368" i="4"/>
  <c r="AL372" i="4"/>
  <c r="AL373" i="4"/>
  <c r="AL374" i="4"/>
  <c r="AL375" i="4"/>
  <c r="AL376" i="4"/>
  <c r="AL377" i="4"/>
  <c r="AL378" i="4"/>
  <c r="AL379" i="4"/>
  <c r="AL380" i="4"/>
  <c r="AL381" i="4"/>
  <c r="AL383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2" i="4"/>
  <c r="AL403" i="4"/>
  <c r="AL404" i="4"/>
  <c r="AL401" i="4"/>
  <c r="AL407" i="4"/>
  <c r="AL405" i="4"/>
  <c r="AL406" i="4"/>
  <c r="AL408" i="4"/>
  <c r="AL409" i="4"/>
  <c r="AL410" i="4"/>
  <c r="AL411" i="4"/>
  <c r="AL412" i="4"/>
  <c r="AL413" i="4"/>
  <c r="AL414" i="4"/>
  <c r="AL415" i="4"/>
  <c r="AL416" i="4"/>
  <c r="AL417" i="4"/>
  <c r="AL5" i="4"/>
  <c r="AL27" i="4"/>
  <c r="AL40" i="4"/>
  <c r="AL23" i="4"/>
  <c r="AL19" i="4"/>
  <c r="AL16" i="4"/>
  <c r="AL39" i="4"/>
  <c r="AL83" i="4"/>
  <c r="AL54" i="4"/>
  <c r="AL51" i="4"/>
  <c r="AL133" i="4"/>
  <c r="AL169" i="4"/>
  <c r="AL196" i="4"/>
  <c r="AL93" i="4"/>
  <c r="AL216" i="4"/>
  <c r="AL176" i="4"/>
  <c r="AL257" i="4"/>
  <c r="AL2" i="4"/>
  <c r="F44" i="4"/>
  <c r="F45" i="4"/>
  <c r="E45" i="4"/>
  <c r="E44" i="4"/>
  <c r="M44" i="4"/>
  <c r="AA21" i="2"/>
  <c r="AD21" i="2"/>
  <c r="AE21" i="2"/>
  <c r="AF21" i="2"/>
  <c r="AG21" i="2"/>
  <c r="AH21" i="2"/>
  <c r="AI21" i="2"/>
  <c r="AK21" i="2"/>
  <c r="AL21" i="2"/>
  <c r="AM21" i="2"/>
  <c r="AZ206" i="1"/>
  <c r="BC206" i="1"/>
  <c r="AZ207" i="1"/>
  <c r="BC207" i="1"/>
  <c r="BC322" i="1"/>
  <c r="AZ313" i="1"/>
  <c r="BC313" i="1"/>
  <c r="AZ312" i="1"/>
  <c r="BC312" i="1"/>
  <c r="AZ121" i="1"/>
  <c r="AZ478" i="1"/>
  <c r="BC478" i="1"/>
  <c r="BB478" i="1"/>
  <c r="AZ477" i="1"/>
  <c r="BC477" i="1"/>
  <c r="BB477" i="1"/>
  <c r="AZ294" i="1"/>
  <c r="BC294" i="1"/>
  <c r="AZ293" i="1"/>
  <c r="BC293" i="1"/>
  <c r="AZ43" i="1"/>
  <c r="BC43" i="1"/>
  <c r="AZ42" i="1"/>
  <c r="BC42" i="1"/>
  <c r="AZ41" i="1"/>
  <c r="BC41" i="1"/>
  <c r="AZ40" i="1"/>
  <c r="BC40" i="1"/>
  <c r="BC39" i="1"/>
  <c r="AZ144" i="1"/>
  <c r="BC144" i="1"/>
  <c r="AZ143" i="1"/>
  <c r="BC143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5" i="1"/>
  <c r="AZ76" i="1"/>
  <c r="AZ79" i="1"/>
  <c r="AZ80" i="1"/>
  <c r="AZ81" i="1"/>
  <c r="AZ82" i="1"/>
  <c r="AZ90" i="1"/>
  <c r="AZ91" i="1"/>
  <c r="AZ92" i="1"/>
  <c r="AZ94" i="1"/>
  <c r="AZ95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9" i="1"/>
  <c r="AZ130" i="1"/>
  <c r="AZ131" i="1"/>
  <c r="AZ132" i="1"/>
  <c r="AZ133" i="1"/>
  <c r="AZ134" i="1"/>
  <c r="AZ135" i="1"/>
  <c r="AZ136" i="1"/>
  <c r="AZ137" i="1"/>
  <c r="AZ139" i="1"/>
  <c r="AZ140" i="1"/>
  <c r="AZ141" i="1"/>
  <c r="AZ142" i="1"/>
  <c r="AZ159" i="1"/>
  <c r="AZ160" i="1"/>
  <c r="AZ161" i="1"/>
  <c r="AZ162" i="1"/>
  <c r="AZ184" i="1"/>
  <c r="AZ185" i="1"/>
  <c r="AZ219" i="1"/>
  <c r="AZ220" i="1"/>
  <c r="AZ221" i="1"/>
  <c r="AZ222" i="1"/>
  <c r="AZ227" i="1"/>
  <c r="AZ228" i="1"/>
  <c r="AZ234" i="1"/>
  <c r="AZ235" i="1"/>
  <c r="AZ236" i="1"/>
  <c r="AZ243" i="1"/>
  <c r="AZ244" i="1"/>
  <c r="AZ256" i="1"/>
  <c r="AZ257" i="1"/>
  <c r="AZ258" i="1"/>
  <c r="AZ259" i="1"/>
  <c r="AZ260" i="1"/>
  <c r="AZ261" i="1"/>
  <c r="AZ290" i="1"/>
  <c r="AZ291" i="1"/>
  <c r="AZ292" i="1"/>
  <c r="AZ296" i="1"/>
  <c r="AZ297" i="1"/>
  <c r="AZ298" i="1"/>
  <c r="AZ299" i="1"/>
  <c r="AZ300" i="1"/>
  <c r="AZ301" i="1"/>
  <c r="AZ302" i="1"/>
  <c r="AZ305" i="1"/>
  <c r="AZ306" i="1"/>
  <c r="AZ307" i="1"/>
  <c r="AZ310" i="1"/>
  <c r="AZ311" i="1"/>
  <c r="AZ314" i="1"/>
  <c r="AZ315" i="1"/>
  <c r="AZ316" i="1"/>
  <c r="AZ344" i="1"/>
  <c r="AZ345" i="1"/>
  <c r="AZ349" i="1"/>
  <c r="AZ350" i="1"/>
  <c r="AZ351" i="1"/>
  <c r="AZ352" i="1"/>
  <c r="AZ353" i="1"/>
  <c r="AZ366" i="1"/>
  <c r="AZ367" i="1"/>
  <c r="AZ373" i="1"/>
  <c r="AZ374" i="1"/>
  <c r="AZ375" i="1"/>
  <c r="AZ376" i="1"/>
  <c r="AZ377" i="1"/>
  <c r="AZ378" i="1"/>
  <c r="AZ379" i="1"/>
  <c r="AZ380" i="1"/>
  <c r="AZ381" i="1"/>
  <c r="AZ402" i="1"/>
  <c r="AZ403" i="1"/>
  <c r="AZ407" i="1"/>
  <c r="AZ408" i="1"/>
  <c r="AZ424" i="1"/>
  <c r="AZ425" i="1"/>
  <c r="AZ426" i="1"/>
  <c r="AZ427" i="1"/>
  <c r="AZ428" i="1"/>
  <c r="AZ432" i="1"/>
  <c r="AZ433" i="1"/>
  <c r="AZ434" i="1"/>
  <c r="AZ459" i="1"/>
  <c r="AZ460" i="1"/>
  <c r="AZ461" i="1"/>
  <c r="AZ462" i="1"/>
  <c r="AZ463" i="1"/>
  <c r="AZ464" i="1"/>
  <c r="AZ471" i="1"/>
  <c r="AZ472" i="1"/>
  <c r="AZ473" i="1"/>
  <c r="AZ474" i="1"/>
  <c r="AZ475" i="1"/>
  <c r="AZ476" i="1"/>
  <c r="AZ2" i="1"/>
  <c r="BC45" i="1"/>
  <c r="BC44" i="1"/>
  <c r="BC298" i="1"/>
  <c r="BB476" i="1"/>
  <c r="BC476" i="1"/>
  <c r="BB475" i="1"/>
  <c r="BC475" i="1"/>
  <c r="BB474" i="1"/>
  <c r="BC474" i="1"/>
  <c r="BB473" i="1"/>
  <c r="BC473" i="1"/>
  <c r="BB472" i="1"/>
  <c r="BC472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B471" i="1"/>
  <c r="BC471" i="1"/>
  <c r="BC464" i="1"/>
  <c r="BC463" i="1"/>
  <c r="BC462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C461" i="1"/>
  <c r="BC460" i="1"/>
  <c r="CT459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C459" i="1"/>
  <c r="BC433" i="1"/>
  <c r="BC432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C428" i="1"/>
  <c r="BC427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C426" i="1"/>
  <c r="BC425" i="1"/>
  <c r="BC424" i="1"/>
  <c r="BB408" i="1"/>
  <c r="BC408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B407" i="1"/>
  <c r="BC407" i="1"/>
  <c r="BB403" i="1"/>
  <c r="BC403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B402" i="1"/>
  <c r="BC402" i="1"/>
  <c r="BB381" i="1"/>
  <c r="BC381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B380" i="1"/>
  <c r="BC380" i="1"/>
  <c r="BB379" i="1"/>
  <c r="BC379" i="1"/>
  <c r="BB378" i="1"/>
  <c r="BC378" i="1"/>
  <c r="BB377" i="1"/>
  <c r="BC377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B376" i="1"/>
  <c r="BC376" i="1"/>
  <c r="BB375" i="1"/>
  <c r="BC375" i="1"/>
  <c r="BB374" i="1"/>
  <c r="BC374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B373" i="1"/>
  <c r="BC373" i="1"/>
  <c r="BB367" i="1"/>
  <c r="BC367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B366" i="1"/>
  <c r="BC366" i="1"/>
  <c r="BB353" i="1"/>
  <c r="BC353" i="1"/>
  <c r="BB352" i="1"/>
  <c r="BC352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B351" i="1"/>
  <c r="BC351" i="1"/>
  <c r="BB350" i="1"/>
  <c r="BC350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B349" i="1"/>
  <c r="BC349" i="1"/>
  <c r="BB345" i="1"/>
  <c r="BC345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C344" i="1"/>
  <c r="BC321" i="1"/>
  <c r="BC319" i="1"/>
  <c r="BC318" i="1"/>
  <c r="BC316" i="1"/>
  <c r="BC315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C314" i="1"/>
  <c r="BC311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C310" i="1"/>
  <c r="BC307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C305" i="1"/>
  <c r="BC302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C301" i="1"/>
  <c r="BC300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C299" i="1"/>
  <c r="BC297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C296" i="1"/>
  <c r="BC292" i="1"/>
  <c r="BC291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C290" i="1"/>
  <c r="BC261" i="1"/>
  <c r="BC260" i="1"/>
  <c r="BC259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C258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C256" i="1"/>
  <c r="BC244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C243" i="1"/>
  <c r="BC228" i="1"/>
  <c r="BC227" i="1"/>
  <c r="BC222" i="1"/>
  <c r="BC221" i="1"/>
  <c r="BC220" i="1"/>
  <c r="BC219" i="1"/>
  <c r="BC185" i="1"/>
  <c r="BC184" i="1"/>
  <c r="BC162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C161" i="1"/>
  <c r="BC160" i="1"/>
  <c r="BC159" i="1"/>
  <c r="BC142" i="1"/>
  <c r="BC141" i="1"/>
  <c r="BC140" i="1"/>
  <c r="BC139" i="1"/>
  <c r="BC137" i="1"/>
  <c r="BC136" i="1"/>
  <c r="BC135" i="1"/>
  <c r="BC134" i="1"/>
  <c r="BC133" i="1"/>
  <c r="BC132" i="1"/>
  <c r="BC131" i="1"/>
  <c r="BC130" i="1"/>
  <c r="BC129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107" i="1"/>
  <c r="BC95" i="1"/>
  <c r="BC94" i="1"/>
  <c r="BC92" i="1"/>
  <c r="BC91" i="1"/>
  <c r="BC90" i="1"/>
  <c r="BC82" i="1"/>
  <c r="BC81" i="1"/>
  <c r="BC80" i="1"/>
  <c r="BC79" i="1"/>
  <c r="BC76" i="1"/>
  <c r="BC75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2" i="6"/>
  <c r="F40" i="3"/>
  <c r="A40" i="3"/>
  <c r="G40" i="3"/>
  <c r="H40" i="3"/>
  <c r="F41" i="3"/>
  <c r="F42" i="3"/>
  <c r="F43" i="3"/>
  <c r="A41" i="3"/>
  <c r="H41" i="3"/>
  <c r="A42" i="3"/>
  <c r="H42" i="3"/>
  <c r="A43" i="3"/>
  <c r="H43" i="3"/>
  <c r="AI217" i="4"/>
  <c r="AI264" i="4"/>
  <c r="U264" i="4" a="1"/>
  <c r="U264" i="4"/>
  <c r="AI213" i="4"/>
  <c r="AI212" i="4"/>
  <c r="G41" i="3"/>
  <c r="G42" i="3"/>
  <c r="G43" i="3"/>
  <c r="T264" i="4" a="1"/>
  <c r="T264" i="4"/>
  <c r="T213" i="4" a="1"/>
  <c r="T213" i="4"/>
  <c r="T212" i="4" a="1"/>
  <c r="T212" i="4"/>
  <c r="B25" i="3"/>
  <c r="C25" i="3"/>
  <c r="E25" i="3"/>
  <c r="AA25" i="2"/>
  <c r="AD25" i="2"/>
  <c r="AE25" i="2"/>
  <c r="AF25" i="2"/>
  <c r="AG25" i="2"/>
  <c r="AH25" i="2"/>
  <c r="AI25" i="2"/>
  <c r="AK25" i="2"/>
  <c r="AL25" i="2"/>
  <c r="R342" i="4"/>
  <c r="R335" i="4"/>
  <c r="R333" i="4"/>
  <c r="R334" i="4"/>
  <c r="R351" i="4"/>
  <c r="R332" i="4"/>
  <c r="R320" i="4"/>
  <c r="R321" i="4"/>
  <c r="R343" i="4"/>
  <c r="R330" i="4"/>
  <c r="R328" i="4"/>
  <c r="R329" i="4"/>
  <c r="R337" i="4"/>
  <c r="R347" i="4"/>
  <c r="R338" i="4"/>
  <c r="R323" i="4"/>
  <c r="R340" i="4"/>
  <c r="R324" i="4"/>
  <c r="R353" i="4"/>
  <c r="R348" i="4"/>
  <c r="R373" i="4"/>
  <c r="R366" i="4"/>
  <c r="R360" i="4"/>
  <c r="R363" i="4"/>
  <c r="R359" i="4"/>
  <c r="R365" i="4"/>
  <c r="R367" i="4"/>
  <c r="R322" i="4"/>
  <c r="R364" i="4"/>
  <c r="R362" i="4"/>
  <c r="R371" i="4"/>
  <c r="R361" i="4"/>
  <c r="R369" i="4"/>
  <c r="R370" i="4"/>
  <c r="R296" i="4"/>
  <c r="R295" i="4"/>
  <c r="R325" i="4"/>
  <c r="R294" i="4"/>
  <c r="R344" i="4"/>
  <c r="R374" i="4"/>
  <c r="R352" i="4"/>
  <c r="R349" i="4"/>
  <c r="R339" i="4"/>
  <c r="R331" i="4"/>
  <c r="R350" i="4"/>
  <c r="R299" i="4"/>
  <c r="R354" i="4"/>
  <c r="R300" i="4"/>
  <c r="R298" i="4"/>
  <c r="R355" i="4"/>
  <c r="R326" i="4"/>
  <c r="R293" i="4"/>
  <c r="R297" i="4"/>
  <c r="R378" i="4"/>
  <c r="R387" i="4"/>
  <c r="R341" i="4"/>
  <c r="R346" i="4"/>
  <c r="R160" i="4"/>
  <c r="R381" i="4"/>
  <c r="R379" i="4"/>
  <c r="R375" i="4"/>
  <c r="R383" i="4"/>
  <c r="R377" i="4"/>
  <c r="R376" i="4"/>
  <c r="R380" i="4"/>
  <c r="R385" i="4"/>
  <c r="R327" i="4"/>
  <c r="R386" i="4"/>
  <c r="R306" i="4"/>
  <c r="R319" i="4"/>
  <c r="R316" i="4"/>
  <c r="R307" i="4"/>
  <c r="R193" i="4"/>
  <c r="R318" i="4"/>
  <c r="R315" i="4"/>
  <c r="R309" i="4"/>
  <c r="R317" i="4"/>
  <c r="R305" i="4"/>
  <c r="R127" i="4"/>
  <c r="R313" i="4"/>
  <c r="R310" i="4"/>
  <c r="R311" i="4"/>
  <c r="R304" i="4"/>
  <c r="R308" i="4"/>
  <c r="R312" i="4"/>
  <c r="R179" i="4"/>
  <c r="R301" i="4"/>
  <c r="R126" i="4"/>
  <c r="R226" i="4"/>
  <c r="R228" i="4"/>
  <c r="R235" i="4"/>
  <c r="R104" i="4"/>
  <c r="R284" i="4"/>
  <c r="R214" i="4"/>
  <c r="R184" i="4"/>
  <c r="R190" i="4"/>
  <c r="R252" i="4"/>
  <c r="R165" i="4"/>
  <c r="R229" i="4"/>
  <c r="R248" i="4"/>
  <c r="R227" i="4"/>
  <c r="R271" i="4"/>
  <c r="R167" i="4"/>
  <c r="R270" i="4"/>
  <c r="R98" i="4"/>
  <c r="R203" i="4"/>
  <c r="R99" i="4"/>
  <c r="R262" i="4"/>
  <c r="R68" i="4"/>
  <c r="R47" i="4"/>
  <c r="R266" i="4"/>
  <c r="R69" i="4"/>
  <c r="R273" i="4"/>
  <c r="R108" i="4"/>
  <c r="R116" i="4"/>
  <c r="R265" i="4"/>
  <c r="R26" i="4"/>
  <c r="R152" i="4"/>
  <c r="R268" i="4"/>
  <c r="R67" i="4"/>
  <c r="R213" i="4"/>
  <c r="R151" i="4"/>
  <c r="R274" i="4"/>
  <c r="R80" i="4"/>
  <c r="R249" i="4"/>
  <c r="R250" i="4"/>
  <c r="R137" i="4"/>
  <c r="R37" i="4"/>
  <c r="R159" i="4"/>
  <c r="R263" i="4"/>
  <c r="R117" i="4"/>
  <c r="R32" i="4"/>
  <c r="R192" i="4"/>
  <c r="R196" i="4"/>
  <c r="R208" i="4"/>
  <c r="R209" i="4"/>
  <c r="R245" i="4"/>
  <c r="R107" i="4"/>
  <c r="R34" i="4"/>
  <c r="R147" i="4"/>
  <c r="R61" i="4"/>
  <c r="R212" i="4"/>
  <c r="R217" i="4"/>
  <c r="R357" i="4"/>
  <c r="R197" i="4"/>
  <c r="R234" i="4"/>
  <c r="R238" i="4"/>
  <c r="R139" i="4"/>
  <c r="R70" i="4"/>
  <c r="R89" i="4"/>
  <c r="R109" i="4"/>
  <c r="R87" i="4"/>
  <c r="R28" i="4"/>
  <c r="R138" i="4"/>
  <c r="R191" i="4"/>
  <c r="R195" i="4"/>
  <c r="R198" i="4"/>
  <c r="R65" i="4"/>
  <c r="R66" i="4"/>
  <c r="R83" i="4"/>
  <c r="R43" i="4"/>
  <c r="R154" i="4"/>
  <c r="R64" i="4"/>
  <c r="R194" i="4"/>
  <c r="R336" i="4"/>
  <c r="R95" i="4"/>
  <c r="R111" i="4"/>
  <c r="R121" i="4"/>
  <c r="R31" i="4"/>
  <c r="R170" i="4"/>
  <c r="R4" i="4"/>
  <c r="R20" i="4"/>
  <c r="R103" i="4"/>
  <c r="R113" i="4"/>
  <c r="R269" i="4"/>
  <c r="R247" i="4"/>
  <c r="R48" i="4"/>
  <c r="R272" i="4"/>
  <c r="R224" i="4"/>
  <c r="R164" i="4"/>
  <c r="R81" i="4"/>
  <c r="R356" i="4"/>
  <c r="R251" i="4"/>
  <c r="R275" i="4"/>
  <c r="R169" i="4"/>
  <c r="R240" i="4"/>
  <c r="R110" i="4"/>
  <c r="R22" i="4"/>
  <c r="R155" i="4"/>
  <c r="R52" i="4"/>
  <c r="R177" i="4"/>
  <c r="R222" i="4"/>
  <c r="R236" i="4"/>
  <c r="R82" i="4"/>
  <c r="R23" i="4"/>
  <c r="R186" i="4"/>
  <c r="R241" i="4"/>
  <c r="R243" i="4"/>
  <c r="R115" i="4"/>
  <c r="R124" i="4"/>
  <c r="R259" i="4"/>
  <c r="R239" i="4"/>
  <c r="R242" i="4"/>
  <c r="R90" i="4"/>
  <c r="R105" i="4"/>
  <c r="R119" i="4"/>
  <c r="R176" i="4"/>
  <c r="R57" i="4"/>
  <c r="R63" i="4"/>
  <c r="R202" i="4"/>
  <c r="R88" i="4"/>
  <c r="R24" i="4"/>
  <c r="R123" i="4"/>
  <c r="R30" i="4"/>
  <c r="R134" i="4"/>
  <c r="R143" i="4"/>
  <c r="R149" i="4"/>
  <c r="R206" i="4"/>
  <c r="R207" i="4"/>
  <c r="R216" i="4"/>
  <c r="R280" i="4"/>
  <c r="R120" i="4"/>
  <c r="R33" i="4"/>
  <c r="R46" i="4"/>
  <c r="R142" i="4"/>
  <c r="R264" i="4"/>
  <c r="R84" i="4"/>
  <c r="R246" i="4"/>
  <c r="R100" i="4"/>
  <c r="R219" i="4"/>
  <c r="R93" i="4"/>
  <c r="R21" i="4"/>
  <c r="R180" i="4"/>
  <c r="R205" i="4"/>
  <c r="R101" i="4"/>
  <c r="R41" i="4"/>
  <c r="R42" i="4"/>
  <c r="R27" i="4"/>
  <c r="R150" i="4"/>
  <c r="R204" i="4"/>
  <c r="R215" i="4"/>
  <c r="R218" i="4"/>
  <c r="R292" i="4"/>
  <c r="R125" i="4"/>
  <c r="R140" i="4"/>
  <c r="R144" i="4"/>
  <c r="R163" i="4"/>
  <c r="R230" i="4"/>
  <c r="R237" i="4"/>
  <c r="R114" i="4"/>
  <c r="R2" i="4"/>
  <c r="R253" i="4"/>
  <c r="R148" i="4"/>
  <c r="R153" i="4"/>
  <c r="R189" i="4"/>
  <c r="R71" i="4"/>
  <c r="R94" i="4"/>
  <c r="R112" i="4"/>
  <c r="R35" i="4"/>
  <c r="R174" i="4"/>
  <c r="R188" i="4"/>
  <c r="R158" i="4"/>
  <c r="R244" i="4"/>
  <c r="R96" i="4"/>
  <c r="R25" i="4"/>
  <c r="R145" i="4"/>
  <c r="R187" i="4"/>
  <c r="R172" i="4"/>
  <c r="R173" i="4"/>
  <c r="R185" i="4"/>
  <c r="R220" i="4"/>
  <c r="R97" i="4"/>
  <c r="R102" i="4"/>
  <c r="R131" i="4"/>
  <c r="R132" i="4"/>
  <c r="R133" i="4"/>
  <c r="R29" i="4"/>
  <c r="R135" i="4"/>
  <c r="R58" i="4"/>
  <c r="R221" i="4"/>
  <c r="R223" i="4"/>
  <c r="R40" i="4"/>
  <c r="R267" i="4"/>
  <c r="R258" i="4"/>
  <c r="R175" i="4"/>
  <c r="R91" i="4"/>
  <c r="R122" i="4"/>
  <c r="R233" i="4"/>
  <c r="R39" i="4"/>
  <c r="R92" i="4"/>
  <c r="R118" i="4"/>
  <c r="R136" i="4"/>
  <c r="R51" i="4"/>
  <c r="R260" i="4"/>
  <c r="R201" i="4"/>
  <c r="R225" i="4"/>
  <c r="R85" i="4"/>
  <c r="R18" i="4"/>
  <c r="R278" i="4"/>
  <c r="R128" i="4"/>
  <c r="R287" i="4"/>
  <c r="R232" i="4"/>
  <c r="R16" i="4"/>
  <c r="R130" i="4"/>
  <c r="R162" i="4"/>
  <c r="R285" i="4"/>
  <c r="R50" i="4"/>
  <c r="R161" i="4"/>
  <c r="R15" i="4"/>
  <c r="R168" i="4"/>
  <c r="R59" i="4"/>
  <c r="R60" i="4"/>
  <c r="R17" i="4"/>
  <c r="R19" i="4"/>
  <c r="R49" i="4"/>
  <c r="R146" i="4"/>
  <c r="R171" i="4"/>
  <c r="R106" i="4"/>
  <c r="R129" i="4"/>
  <c r="R53" i="4"/>
  <c r="R157" i="4"/>
  <c r="R7" i="4"/>
  <c r="R276" i="4"/>
  <c r="R277" i="4"/>
  <c r="R156" i="4"/>
  <c r="R166" i="4"/>
  <c r="Z357" i="4"/>
  <c r="Z358" i="4"/>
  <c r="Z368" i="4"/>
  <c r="U2" i="12"/>
  <c r="R283" i="4"/>
  <c r="R281" i="4"/>
  <c r="R141" i="4"/>
  <c r="R345" i="4"/>
  <c r="Q2" i="12"/>
  <c r="O2" i="12"/>
  <c r="N405" i="4"/>
  <c r="N395" i="4"/>
  <c r="M2" i="12"/>
  <c r="K2" i="12"/>
  <c r="J120" i="4"/>
  <c r="J261" i="4"/>
  <c r="J228" i="4"/>
  <c r="J229" i="4"/>
  <c r="J283" i="4"/>
  <c r="J119" i="4"/>
  <c r="J41" i="4"/>
  <c r="J22" i="4"/>
  <c r="J42" i="4"/>
  <c r="J24" i="4"/>
  <c r="J43" i="4"/>
  <c r="J26" i="4"/>
  <c r="J27" i="4"/>
  <c r="J28" i="4"/>
  <c r="J124" i="4"/>
  <c r="J30" i="4"/>
  <c r="J31" i="4"/>
  <c r="J32" i="4"/>
  <c r="J33" i="4"/>
  <c r="J35" i="4"/>
  <c r="J131" i="4"/>
  <c r="J132" i="4"/>
  <c r="J133" i="4"/>
  <c r="J147" i="4"/>
  <c r="J149" i="4"/>
  <c r="J52" i="4"/>
  <c r="J158" i="4"/>
  <c r="J60" i="4"/>
  <c r="J230" i="4"/>
  <c r="J40" i="4"/>
  <c r="J118" i="4"/>
  <c r="J23" i="4"/>
  <c r="J25" i="4"/>
  <c r="J34" i="4"/>
  <c r="J130" i="4"/>
  <c r="J49" i="4"/>
  <c r="J162" i="4"/>
  <c r="J128" i="4"/>
  <c r="J155" i="4"/>
  <c r="J236" i="4"/>
  <c r="J129" i="4"/>
  <c r="J293" i="4"/>
  <c r="J142" i="4"/>
  <c r="J151" i="4"/>
  <c r="J161" i="4"/>
  <c r="J172" i="4"/>
  <c r="J173" i="4"/>
  <c r="J58" i="4"/>
  <c r="J297" i="4"/>
  <c r="J61" i="4"/>
  <c r="J201" i="4"/>
  <c r="J214" i="4"/>
  <c r="J215" i="4"/>
  <c r="J217" i="4"/>
  <c r="J222" i="4"/>
  <c r="J226" i="4"/>
  <c r="J232" i="4"/>
  <c r="J300" i="4"/>
  <c r="J122" i="4"/>
  <c r="J171" i="4"/>
  <c r="J221" i="4"/>
  <c r="J76" i="4"/>
  <c r="J112" i="4"/>
  <c r="J113" i="4"/>
  <c r="J256" i="4"/>
  <c r="J144" i="4"/>
  <c r="J50" i="4"/>
  <c r="J37" i="4"/>
  <c r="J51" i="4"/>
  <c r="J157" i="4"/>
  <c r="J57" i="4"/>
  <c r="J59" i="4"/>
  <c r="J219" i="4"/>
  <c r="J71" i="4"/>
  <c r="J85" i="4"/>
  <c r="J116" i="4"/>
  <c r="J123" i="4"/>
  <c r="J12" i="4"/>
  <c r="J150" i="4"/>
  <c r="J169" i="4"/>
  <c r="J233" i="4"/>
  <c r="J114" i="4"/>
  <c r="J134" i="4"/>
  <c r="J218" i="4"/>
  <c r="J220" i="4"/>
  <c r="J224" i="4"/>
  <c r="J282" i="4"/>
  <c r="J84" i="4"/>
  <c r="J87" i="4"/>
  <c r="J115" i="4"/>
  <c r="J143" i="4"/>
  <c r="J148" i="4"/>
  <c r="J159" i="4"/>
  <c r="J279" i="4"/>
  <c r="J179" i="4"/>
  <c r="J63" i="4"/>
  <c r="J64" i="4"/>
  <c r="J65" i="4"/>
  <c r="J67" i="4"/>
  <c r="J68" i="4"/>
  <c r="J70" i="4"/>
  <c r="J77" i="4"/>
  <c r="J78" i="4"/>
  <c r="J80" i="4"/>
  <c r="J81" i="4"/>
  <c r="J83" i="4"/>
  <c r="J135" i="4"/>
  <c r="J187" i="4"/>
  <c r="J196" i="4"/>
  <c r="J205" i="4"/>
  <c r="J207" i="4"/>
  <c r="J208" i="4"/>
  <c r="J209" i="4"/>
  <c r="J299" i="4"/>
  <c r="J126" i="4"/>
  <c r="J160" i="4"/>
  <c r="J284" i="4"/>
  <c r="J136" i="4"/>
  <c r="J138" i="4"/>
  <c r="J184" i="4"/>
  <c r="J185" i="4"/>
  <c r="J186" i="4"/>
  <c r="J197" i="4"/>
  <c r="J281" i="4"/>
  <c r="J82" i="4"/>
  <c r="J18" i="4"/>
  <c r="J175" i="4"/>
  <c r="J188" i="4"/>
  <c r="J190" i="4"/>
  <c r="J263" i="4"/>
  <c r="J195" i="4"/>
  <c r="J199" i="4"/>
  <c r="J273" i="4"/>
  <c r="J274" i="4"/>
  <c r="J19" i="4"/>
  <c r="J152" i="4"/>
  <c r="J167" i="4"/>
  <c r="J54" i="4"/>
  <c r="J55" i="4"/>
  <c r="J56" i="4"/>
  <c r="J189" i="4"/>
  <c r="J202" i="4"/>
  <c r="J204" i="4"/>
  <c r="J265" i="4"/>
  <c r="J238" i="4"/>
  <c r="J240" i="4"/>
  <c r="J16" i="4"/>
  <c r="J117" i="4"/>
  <c r="J170" i="4"/>
  <c r="J180" i="4"/>
  <c r="J191" i="4"/>
  <c r="J192" i="4"/>
  <c r="J193" i="4"/>
  <c r="J75" i="4"/>
  <c r="J17" i="4"/>
  <c r="J139" i="4"/>
  <c r="J177" i="4"/>
  <c r="J234" i="4"/>
  <c r="J235" i="4"/>
  <c r="J79" i="4"/>
  <c r="J239" i="4"/>
  <c r="J275" i="4"/>
  <c r="J203" i="4"/>
  <c r="J237" i="4"/>
  <c r="J241" i="4"/>
  <c r="J242" i="4"/>
  <c r="J243" i="4"/>
  <c r="J258" i="4"/>
  <c r="J260" i="4"/>
  <c r="J194" i="4"/>
  <c r="J36" i="4"/>
  <c r="J262" i="4"/>
  <c r="J247" i="4"/>
  <c r="J93" i="4"/>
  <c r="J270" i="4"/>
  <c r="J47" i="4"/>
  <c r="J163" i="4"/>
  <c r="J165" i="4"/>
  <c r="J48" i="4"/>
  <c r="J277" i="4"/>
  <c r="J110" i="4"/>
  <c r="J216" i="4"/>
  <c r="J244" i="4"/>
  <c r="J245" i="4"/>
  <c r="J46" i="4"/>
  <c r="J269" i="4"/>
  <c r="J94" i="4"/>
  <c r="J213" i="4"/>
  <c r="J145" i="4"/>
  <c r="J246" i="4"/>
  <c r="J212" i="4"/>
  <c r="J251" i="4"/>
  <c r="J252" i="4"/>
  <c r="J102" i="4"/>
  <c r="J111" i="4"/>
  <c r="J248" i="4"/>
  <c r="J103" i="4"/>
  <c r="J272" i="4"/>
  <c r="J285" i="4"/>
  <c r="J72" i="4"/>
  <c r="J104" i="4"/>
  <c r="J250" i="4"/>
  <c r="J108" i="4"/>
  <c r="J90" i="4"/>
  <c r="J121" i="4"/>
  <c r="J89" i="4"/>
  <c r="J249" i="4"/>
  <c r="J91" i="4"/>
  <c r="J303" i="4"/>
  <c r="J92" i="4"/>
  <c r="J137" i="4"/>
  <c r="J53" i="4"/>
  <c r="J253" i="4"/>
  <c r="J88" i="4"/>
  <c r="J198" i="4"/>
  <c r="J176" i="4"/>
  <c r="J107" i="4"/>
  <c r="J96" i="4"/>
  <c r="J105" i="4"/>
  <c r="J125" i="4"/>
  <c r="J106" i="4"/>
  <c r="J97" i="4"/>
  <c r="J100" i="4"/>
  <c r="J140" i="4"/>
  <c r="J174" i="4"/>
  <c r="J101" i="4"/>
  <c r="J98" i="4"/>
  <c r="I2" i="12"/>
  <c r="H204" i="4"/>
  <c r="H203" i="4"/>
  <c r="G2" i="12"/>
  <c r="F2" i="4"/>
  <c r="F20" i="4"/>
  <c r="F95" i="4"/>
  <c r="F21" i="4"/>
  <c r="F41" i="4"/>
  <c r="F22" i="4"/>
  <c r="F42" i="4"/>
  <c r="F24" i="4"/>
  <c r="F43" i="4"/>
  <c r="F26" i="4"/>
  <c r="F27" i="4"/>
  <c r="F28" i="4"/>
  <c r="F29" i="4"/>
  <c r="F30" i="4"/>
  <c r="F31" i="4"/>
  <c r="F32" i="4"/>
  <c r="F33" i="4"/>
  <c r="F35" i="4"/>
  <c r="F147" i="4"/>
  <c r="F60" i="4"/>
  <c r="F39" i="4"/>
  <c r="F40" i="4"/>
  <c r="F23" i="4"/>
  <c r="F25" i="4"/>
  <c r="F34" i="4"/>
  <c r="F49" i="4"/>
  <c r="F155" i="4"/>
  <c r="F236" i="4"/>
  <c r="F293" i="4"/>
  <c r="F58" i="4"/>
  <c r="F297" i="4"/>
  <c r="F61" i="4"/>
  <c r="F214" i="4"/>
  <c r="F226" i="4"/>
  <c r="F300" i="4"/>
  <c r="F76" i="4"/>
  <c r="F112" i="4"/>
  <c r="F37" i="4"/>
  <c r="F14" i="4"/>
  <c r="F157" i="4"/>
  <c r="F57" i="4"/>
  <c r="F59" i="4"/>
  <c r="F288" i="4"/>
  <c r="F116" i="4"/>
  <c r="F220" i="4"/>
  <c r="F282" i="4"/>
  <c r="F84" i="4"/>
  <c r="F87" i="4"/>
  <c r="F115" i="4"/>
  <c r="F148" i="4"/>
  <c r="F179" i="4"/>
  <c r="F63" i="4"/>
  <c r="F64" i="4"/>
  <c r="F65" i="4"/>
  <c r="F66" i="4"/>
  <c r="F67" i="4"/>
  <c r="F68" i="4"/>
  <c r="F69" i="4"/>
  <c r="F70" i="4"/>
  <c r="F77" i="4"/>
  <c r="F78" i="4"/>
  <c r="F80" i="4"/>
  <c r="F81" i="4"/>
  <c r="F83" i="4"/>
  <c r="F135" i="4"/>
  <c r="F187" i="4"/>
  <c r="F196" i="4"/>
  <c r="F205" i="4"/>
  <c r="F206" i="4"/>
  <c r="F207" i="4"/>
  <c r="F208" i="4"/>
  <c r="F209" i="4"/>
  <c r="F298" i="4"/>
  <c r="F299" i="4"/>
  <c r="F126" i="4"/>
  <c r="F127" i="4"/>
  <c r="F160" i="4"/>
  <c r="F284" i="4"/>
  <c r="F136" i="4"/>
  <c r="F138" i="4"/>
  <c r="F184" i="4"/>
  <c r="F185" i="4"/>
  <c r="F186" i="4"/>
  <c r="F197" i="4"/>
  <c r="F82" i="4"/>
  <c r="F18" i="4"/>
  <c r="F175" i="4"/>
  <c r="F188" i="4"/>
  <c r="F190" i="4"/>
  <c r="F263" i="4"/>
  <c r="F195" i="4"/>
  <c r="F199" i="4"/>
  <c r="F273" i="4"/>
  <c r="F274" i="4"/>
  <c r="F19" i="4"/>
  <c r="F152" i="4"/>
  <c r="F167" i="4"/>
  <c r="F54" i="4"/>
  <c r="F55" i="4"/>
  <c r="F56" i="4"/>
  <c r="F286" i="4"/>
  <c r="F290" i="4"/>
  <c r="F189" i="4"/>
  <c r="F202" i="4"/>
  <c r="F204" i="4"/>
  <c r="F265" i="4"/>
  <c r="F238" i="4"/>
  <c r="F240" i="4"/>
  <c r="F16" i="4"/>
  <c r="F117" i="4"/>
  <c r="F301" i="4"/>
  <c r="F6" i="4"/>
  <c r="F8" i="4"/>
  <c r="F170" i="4"/>
  <c r="F291" i="4"/>
  <c r="F191" i="4"/>
  <c r="F192" i="4"/>
  <c r="F289" i="4"/>
  <c r="F193" i="4"/>
  <c r="F75" i="4"/>
  <c r="F17" i="4"/>
  <c r="F139" i="4"/>
  <c r="F302" i="4"/>
  <c r="F177" i="4"/>
  <c r="F234" i="4"/>
  <c r="F235" i="4"/>
  <c r="F79" i="4"/>
  <c r="F239" i="4"/>
  <c r="F13" i="4"/>
  <c r="F275" i="4"/>
  <c r="F203" i="4"/>
  <c r="F264" i="4"/>
  <c r="F237" i="4"/>
  <c r="F241" i="4"/>
  <c r="F242" i="4"/>
  <c r="F243" i="4"/>
  <c r="F153" i="4"/>
  <c r="F258" i="4"/>
  <c r="F164" i="4"/>
  <c r="F260" i="4"/>
  <c r="F36" i="4"/>
  <c r="F262" i="4"/>
  <c r="F247" i="4"/>
  <c r="F93" i="4"/>
  <c r="F270" i="4"/>
  <c r="F280" i="4"/>
  <c r="F156" i="4"/>
  <c r="F166" i="4"/>
  <c r="F47" i="4"/>
  <c r="F271" i="4"/>
  <c r="F163" i="4"/>
  <c r="F165" i="4"/>
  <c r="F277" i="4"/>
  <c r="F110" i="4"/>
  <c r="F216" i="4"/>
  <c r="F244" i="4"/>
  <c r="F245" i="4"/>
  <c r="F46" i="4"/>
  <c r="F94" i="4"/>
  <c r="F213" i="4"/>
  <c r="F145" i="4"/>
  <c r="F246" i="4"/>
  <c r="F109" i="4"/>
  <c r="F212" i="4"/>
  <c r="F251" i="4"/>
  <c r="F252" i="4"/>
  <c r="F102" i="4"/>
  <c r="F111" i="4"/>
  <c r="F248" i="4"/>
  <c r="F103" i="4"/>
  <c r="F285" i="4"/>
  <c r="F72" i="4"/>
  <c r="F104" i="4"/>
  <c r="F168" i="4"/>
  <c r="F250" i="4"/>
  <c r="F108" i="4"/>
  <c r="F154" i="4"/>
  <c r="F90" i="4"/>
  <c r="F121" i="4"/>
  <c r="F89" i="4"/>
  <c r="F249" i="4"/>
  <c r="F278" i="4"/>
  <c r="F91" i="4"/>
  <c r="F92" i="4"/>
  <c r="F137" i="4"/>
  <c r="F259" i="4"/>
  <c r="F53" i="4"/>
  <c r="F253" i="4"/>
  <c r="F88" i="4"/>
  <c r="F198" i="4"/>
  <c r="F176" i="4"/>
  <c r="F107" i="4"/>
  <c r="F96" i="4"/>
  <c r="F105" i="4"/>
  <c r="F125" i="4"/>
  <c r="F106" i="4"/>
  <c r="F97" i="4"/>
  <c r="F100" i="4"/>
  <c r="F140" i="4"/>
  <c r="F174" i="4"/>
  <c r="F101" i="4"/>
  <c r="F98" i="4"/>
  <c r="F99" i="4"/>
  <c r="F306" i="4"/>
  <c r="F307" i="4"/>
  <c r="F305" i="4"/>
  <c r="F304" i="4"/>
  <c r="F313" i="4"/>
  <c r="F315" i="4"/>
  <c r="F316" i="4"/>
  <c r="F317" i="4"/>
  <c r="F308" i="4"/>
  <c r="F309" i="4"/>
  <c r="F310" i="4"/>
  <c r="F311" i="4"/>
  <c r="F312" i="4"/>
  <c r="F319" i="4"/>
  <c r="F318" i="4"/>
  <c r="F339" i="4"/>
  <c r="F335" i="4"/>
  <c r="F333" i="4"/>
  <c r="F334" i="4"/>
  <c r="F346" i="4"/>
  <c r="F345" i="4"/>
  <c r="F342" i="4"/>
  <c r="F332" i="4"/>
  <c r="F349" i="4"/>
  <c r="F350" i="4"/>
  <c r="F340" i="4"/>
  <c r="F352" i="4"/>
  <c r="F343" i="4"/>
  <c r="F322" i="4"/>
  <c r="F324" i="4"/>
  <c r="F325" i="4"/>
  <c r="F326" i="4"/>
  <c r="F327" i="4"/>
  <c r="F348" i="4"/>
  <c r="F347" i="4"/>
  <c r="F351" i="4"/>
  <c r="F328" i="4"/>
  <c r="F329" i="4"/>
  <c r="F330" i="4"/>
  <c r="F331" i="4"/>
  <c r="F344" i="4"/>
  <c r="F341" i="4"/>
  <c r="F323" i="4"/>
  <c r="F320" i="4"/>
  <c r="F321" i="4"/>
  <c r="F338" i="4"/>
  <c r="F336" i="4"/>
  <c r="F337" i="4"/>
  <c r="F359" i="4"/>
  <c r="F353" i="4"/>
  <c r="F354" i="4"/>
  <c r="F355" i="4"/>
  <c r="F360" i="4"/>
  <c r="F361" i="4"/>
  <c r="F362" i="4"/>
  <c r="F363" i="4"/>
  <c r="F364" i="4"/>
  <c r="F365" i="4"/>
  <c r="F366" i="4"/>
  <c r="F367" i="4"/>
  <c r="F369" i="4"/>
  <c r="F370" i="4"/>
  <c r="F371" i="4"/>
  <c r="F373" i="4"/>
  <c r="F374" i="4"/>
  <c r="F372" i="4"/>
  <c r="F356" i="4"/>
  <c r="F357" i="4"/>
  <c r="F358" i="4"/>
  <c r="F368" i="4"/>
  <c r="F378" i="4"/>
  <c r="F376" i="4"/>
  <c r="F379" i="4"/>
  <c r="F385" i="4"/>
  <c r="F380" i="4"/>
  <c r="F375" i="4"/>
  <c r="F386" i="4"/>
  <c r="F381" i="4"/>
  <c r="F377" i="4"/>
  <c r="F387" i="4"/>
  <c r="F383" i="4"/>
  <c r="F393" i="4"/>
  <c r="F407" i="4"/>
  <c r="F405" i="4"/>
  <c r="F406" i="4"/>
  <c r="F396" i="4"/>
  <c r="F397" i="4"/>
  <c r="F398" i="4"/>
  <c r="F399" i="4"/>
  <c r="F417" i="4"/>
  <c r="F408" i="4"/>
  <c r="F409" i="4"/>
  <c r="F410" i="4"/>
  <c r="F411" i="4"/>
  <c r="F400" i="4"/>
  <c r="F402" i="4"/>
  <c r="F403" i="4"/>
  <c r="F412" i="4"/>
  <c r="F394" i="4"/>
  <c r="F413" i="4"/>
  <c r="F404" i="4"/>
  <c r="F395" i="4"/>
  <c r="F414" i="4"/>
  <c r="F415" i="4"/>
  <c r="F416" i="4"/>
  <c r="F401" i="4"/>
  <c r="E2" i="12"/>
  <c r="C2" i="12"/>
  <c r="E2" i="4"/>
  <c r="E20" i="4"/>
  <c r="E95" i="4"/>
  <c r="E21" i="4"/>
  <c r="E41" i="4"/>
  <c r="E22" i="4"/>
  <c r="E42" i="4"/>
  <c r="E24" i="4"/>
  <c r="E43" i="4"/>
  <c r="E26" i="4"/>
  <c r="E27" i="4"/>
  <c r="E28" i="4"/>
  <c r="E29" i="4"/>
  <c r="E30" i="4"/>
  <c r="E31" i="4"/>
  <c r="E32" i="4"/>
  <c r="E33" i="4"/>
  <c r="E35" i="4"/>
  <c r="E147" i="4"/>
  <c r="E60" i="4"/>
  <c r="E39" i="4"/>
  <c r="E40" i="4"/>
  <c r="E23" i="4"/>
  <c r="E25" i="4"/>
  <c r="E34" i="4"/>
  <c r="E49" i="4"/>
  <c r="E155" i="4"/>
  <c r="E236" i="4"/>
  <c r="E293" i="4"/>
  <c r="E58" i="4"/>
  <c r="E297" i="4"/>
  <c r="E61" i="4"/>
  <c r="E214" i="4"/>
  <c r="E226" i="4"/>
  <c r="E300" i="4"/>
  <c r="E76" i="4"/>
  <c r="E112" i="4"/>
  <c r="E37" i="4"/>
  <c r="E14" i="4"/>
  <c r="E157" i="4"/>
  <c r="E57" i="4"/>
  <c r="E59" i="4"/>
  <c r="E288" i="4"/>
  <c r="E116" i="4"/>
  <c r="E220" i="4"/>
  <c r="E282" i="4"/>
  <c r="E84" i="4"/>
  <c r="E87" i="4"/>
  <c r="E115" i="4"/>
  <c r="E148" i="4"/>
  <c r="E179" i="4"/>
  <c r="E63" i="4"/>
  <c r="E64" i="4"/>
  <c r="E65" i="4"/>
  <c r="E66" i="4"/>
  <c r="E67" i="4"/>
  <c r="E68" i="4"/>
  <c r="E69" i="4"/>
  <c r="E70" i="4"/>
  <c r="E77" i="4"/>
  <c r="E78" i="4"/>
  <c r="E80" i="4"/>
  <c r="E81" i="4"/>
  <c r="E83" i="4"/>
  <c r="E135" i="4"/>
  <c r="E187" i="4"/>
  <c r="E196" i="4"/>
  <c r="E205" i="4"/>
  <c r="E206" i="4"/>
  <c r="E207" i="4"/>
  <c r="E208" i="4"/>
  <c r="E209" i="4"/>
  <c r="E298" i="4"/>
  <c r="E299" i="4"/>
  <c r="E126" i="4"/>
  <c r="E127" i="4"/>
  <c r="E160" i="4"/>
  <c r="E284" i="4"/>
  <c r="E136" i="4"/>
  <c r="E138" i="4"/>
  <c r="E184" i="4"/>
  <c r="E185" i="4"/>
  <c r="E186" i="4"/>
  <c r="E197" i="4"/>
  <c r="E82" i="4"/>
  <c r="E18" i="4"/>
  <c r="E175" i="4"/>
  <c r="E188" i="4"/>
  <c r="E190" i="4"/>
  <c r="E263" i="4"/>
  <c r="E195" i="4"/>
  <c r="E199" i="4"/>
  <c r="E273" i="4"/>
  <c r="E274" i="4"/>
  <c r="E19" i="4"/>
  <c r="E152" i="4"/>
  <c r="E167" i="4"/>
  <c r="E54" i="4"/>
  <c r="E55" i="4"/>
  <c r="E56" i="4"/>
  <c r="E286" i="4"/>
  <c r="E290" i="4"/>
  <c r="E189" i="4"/>
  <c r="E202" i="4"/>
  <c r="E204" i="4"/>
  <c r="E265" i="4"/>
  <c r="E238" i="4"/>
  <c r="E240" i="4"/>
  <c r="E16" i="4"/>
  <c r="E117" i="4"/>
  <c r="E301" i="4"/>
  <c r="E6" i="4"/>
  <c r="E8" i="4"/>
  <c r="E170" i="4"/>
  <c r="E291" i="4"/>
  <c r="E191" i="4"/>
  <c r="E192" i="4"/>
  <c r="E289" i="4"/>
  <c r="E193" i="4"/>
  <c r="E75" i="4"/>
  <c r="E17" i="4"/>
  <c r="E139" i="4"/>
  <c r="E302" i="4"/>
  <c r="E177" i="4"/>
  <c r="E234" i="4"/>
  <c r="E235" i="4"/>
  <c r="E79" i="4"/>
  <c r="E239" i="4"/>
  <c r="E13" i="4"/>
  <c r="E275" i="4"/>
  <c r="E203" i="4"/>
  <c r="E264" i="4"/>
  <c r="E237" i="4"/>
  <c r="E241" i="4"/>
  <c r="E242" i="4"/>
  <c r="E243" i="4"/>
  <c r="E153" i="4"/>
  <c r="E258" i="4"/>
  <c r="E164" i="4"/>
  <c r="E260" i="4"/>
  <c r="E36" i="4"/>
  <c r="E262" i="4"/>
  <c r="E247" i="4"/>
  <c r="E93" i="4"/>
  <c r="E270" i="4"/>
  <c r="E280" i="4"/>
  <c r="E156" i="4"/>
  <c r="E166" i="4"/>
  <c r="E47" i="4"/>
  <c r="E271" i="4"/>
  <c r="E163" i="4"/>
  <c r="E165" i="4"/>
  <c r="E277" i="4"/>
  <c r="E110" i="4"/>
  <c r="E216" i="4"/>
  <c r="E244" i="4"/>
  <c r="E245" i="4"/>
  <c r="E46" i="4"/>
  <c r="E94" i="4"/>
  <c r="E213" i="4"/>
  <c r="E145" i="4"/>
  <c r="E246" i="4"/>
  <c r="E109" i="4"/>
  <c r="E212" i="4"/>
  <c r="E251" i="4"/>
  <c r="E252" i="4"/>
  <c r="E102" i="4"/>
  <c r="E111" i="4"/>
  <c r="E248" i="4"/>
  <c r="E103" i="4"/>
  <c r="E285" i="4"/>
  <c r="E72" i="4"/>
  <c r="E104" i="4"/>
  <c r="E168" i="4"/>
  <c r="E250" i="4"/>
  <c r="E108" i="4"/>
  <c r="E154" i="4"/>
  <c r="E90" i="4"/>
  <c r="E121" i="4"/>
  <c r="E89" i="4"/>
  <c r="E249" i="4"/>
  <c r="E278" i="4"/>
  <c r="E91" i="4"/>
  <c r="E92" i="4"/>
  <c r="E137" i="4"/>
  <c r="E259" i="4"/>
  <c r="E53" i="4"/>
  <c r="E253" i="4"/>
  <c r="E88" i="4"/>
  <c r="E198" i="4"/>
  <c r="E176" i="4"/>
  <c r="E107" i="4"/>
  <c r="E96" i="4"/>
  <c r="E105" i="4"/>
  <c r="E125" i="4"/>
  <c r="E106" i="4"/>
  <c r="E97" i="4"/>
  <c r="E100" i="4"/>
  <c r="E140" i="4"/>
  <c r="E174" i="4"/>
  <c r="E101" i="4"/>
  <c r="E98" i="4"/>
  <c r="E99" i="4"/>
  <c r="E306" i="4"/>
  <c r="E307" i="4"/>
  <c r="E305" i="4"/>
  <c r="E304" i="4"/>
  <c r="E313" i="4"/>
  <c r="E315" i="4"/>
  <c r="E316" i="4"/>
  <c r="E317" i="4"/>
  <c r="E308" i="4"/>
  <c r="E309" i="4"/>
  <c r="E310" i="4"/>
  <c r="E311" i="4"/>
  <c r="E312" i="4"/>
  <c r="E319" i="4"/>
  <c r="E318" i="4"/>
  <c r="E339" i="4"/>
  <c r="E335" i="4"/>
  <c r="E333" i="4"/>
  <c r="E334" i="4"/>
  <c r="E346" i="4"/>
  <c r="E345" i="4"/>
  <c r="E342" i="4"/>
  <c r="E332" i="4"/>
  <c r="E349" i="4"/>
  <c r="E350" i="4"/>
  <c r="E340" i="4"/>
  <c r="E352" i="4"/>
  <c r="E343" i="4"/>
  <c r="E322" i="4"/>
  <c r="E324" i="4"/>
  <c r="E325" i="4"/>
  <c r="E326" i="4"/>
  <c r="E327" i="4"/>
  <c r="E348" i="4"/>
  <c r="E347" i="4"/>
  <c r="E351" i="4"/>
  <c r="E328" i="4"/>
  <c r="E329" i="4"/>
  <c r="E330" i="4"/>
  <c r="E331" i="4"/>
  <c r="E344" i="4"/>
  <c r="E341" i="4"/>
  <c r="E323" i="4"/>
  <c r="E320" i="4"/>
  <c r="E321" i="4"/>
  <c r="E338" i="4"/>
  <c r="E336" i="4"/>
  <c r="E337" i="4"/>
  <c r="E359" i="4"/>
  <c r="E353" i="4"/>
  <c r="E354" i="4"/>
  <c r="E355" i="4"/>
  <c r="E360" i="4"/>
  <c r="E361" i="4"/>
  <c r="E362" i="4"/>
  <c r="E363" i="4"/>
  <c r="E364" i="4"/>
  <c r="E365" i="4"/>
  <c r="E366" i="4"/>
  <c r="E367" i="4"/>
  <c r="E369" i="4"/>
  <c r="E370" i="4"/>
  <c r="E371" i="4"/>
  <c r="E373" i="4"/>
  <c r="E374" i="4"/>
  <c r="E372" i="4"/>
  <c r="E356" i="4"/>
  <c r="E357" i="4"/>
  <c r="E358" i="4"/>
  <c r="E368" i="4"/>
  <c r="E378" i="4"/>
  <c r="E376" i="4"/>
  <c r="E379" i="4"/>
  <c r="E385" i="4"/>
  <c r="E380" i="4"/>
  <c r="E375" i="4"/>
  <c r="E386" i="4"/>
  <c r="E381" i="4"/>
  <c r="E377" i="4"/>
  <c r="E387" i="4"/>
  <c r="E383" i="4"/>
  <c r="E393" i="4"/>
  <c r="E407" i="4"/>
  <c r="E405" i="4"/>
  <c r="E406" i="4"/>
  <c r="E396" i="4"/>
  <c r="E397" i="4"/>
  <c r="E398" i="4"/>
  <c r="E399" i="4"/>
  <c r="E417" i="4"/>
  <c r="E408" i="4"/>
  <c r="E409" i="4"/>
  <c r="E410" i="4"/>
  <c r="E411" i="4"/>
  <c r="E400" i="4"/>
  <c r="E402" i="4"/>
  <c r="E403" i="4"/>
  <c r="E412" i="4"/>
  <c r="E394" i="4"/>
  <c r="E413" i="4"/>
  <c r="E404" i="4"/>
  <c r="E395" i="4"/>
  <c r="E414" i="4"/>
  <c r="E415" i="4"/>
  <c r="E416" i="4"/>
  <c r="E401" i="4"/>
  <c r="D2" i="12"/>
  <c r="F2" i="12"/>
  <c r="I120" i="4"/>
  <c r="I261" i="4"/>
  <c r="I228" i="4"/>
  <c r="I229" i="4"/>
  <c r="I283" i="4"/>
  <c r="I119" i="4"/>
  <c r="I41" i="4"/>
  <c r="I22" i="4"/>
  <c r="I42" i="4"/>
  <c r="I24" i="4"/>
  <c r="I43" i="4"/>
  <c r="I26" i="4"/>
  <c r="I27" i="4"/>
  <c r="I28" i="4"/>
  <c r="I124" i="4"/>
  <c r="I30" i="4"/>
  <c r="I31" i="4"/>
  <c r="I32" i="4"/>
  <c r="I33" i="4"/>
  <c r="I35" i="4"/>
  <c r="I131" i="4"/>
  <c r="I132" i="4"/>
  <c r="I133" i="4"/>
  <c r="I147" i="4"/>
  <c r="I149" i="4"/>
  <c r="I52" i="4"/>
  <c r="I158" i="4"/>
  <c r="I60" i="4"/>
  <c r="I230" i="4"/>
  <c r="I40" i="4"/>
  <c r="I118" i="4"/>
  <c r="I23" i="4"/>
  <c r="I25" i="4"/>
  <c r="I34" i="4"/>
  <c r="I130" i="4"/>
  <c r="I49" i="4"/>
  <c r="I162" i="4"/>
  <c r="I128" i="4"/>
  <c r="I155" i="4"/>
  <c r="I236" i="4"/>
  <c r="I129" i="4"/>
  <c r="I142" i="4"/>
  <c r="I151" i="4"/>
  <c r="I161" i="4"/>
  <c r="I172" i="4"/>
  <c r="I173" i="4"/>
  <c r="I58" i="4"/>
  <c r="I61" i="4"/>
  <c r="I201" i="4"/>
  <c r="I214" i="4"/>
  <c r="I215" i="4"/>
  <c r="I217" i="4"/>
  <c r="I222" i="4"/>
  <c r="I226" i="4"/>
  <c r="I232" i="4"/>
  <c r="I122" i="4"/>
  <c r="I171" i="4"/>
  <c r="I221" i="4"/>
  <c r="I76" i="4"/>
  <c r="I112" i="4"/>
  <c r="I113" i="4"/>
  <c r="I256" i="4"/>
  <c r="I144" i="4"/>
  <c r="I50" i="4"/>
  <c r="I37" i="4"/>
  <c r="I51" i="4"/>
  <c r="I157" i="4"/>
  <c r="I57" i="4"/>
  <c r="I59" i="4"/>
  <c r="I219" i="4"/>
  <c r="I71" i="4"/>
  <c r="I227" i="4"/>
  <c r="I85" i="4"/>
  <c r="I116" i="4"/>
  <c r="I123" i="4"/>
  <c r="I12" i="4"/>
  <c r="I150" i="4"/>
  <c r="I169" i="4"/>
  <c r="I233" i="4"/>
  <c r="I114" i="4"/>
  <c r="I134" i="4"/>
  <c r="I218" i="4"/>
  <c r="I220" i="4"/>
  <c r="I224" i="4"/>
  <c r="I282" i="4"/>
  <c r="I84" i="4"/>
  <c r="I87" i="4"/>
  <c r="I115" i="4"/>
  <c r="I143" i="4"/>
  <c r="I148" i="4"/>
  <c r="I159" i="4"/>
  <c r="I279" i="4"/>
  <c r="I179" i="4"/>
  <c r="I63" i="4"/>
  <c r="I64" i="4"/>
  <c r="I65" i="4"/>
  <c r="I67" i="4"/>
  <c r="I68" i="4"/>
  <c r="I70" i="4"/>
  <c r="I77" i="4"/>
  <c r="I78" i="4"/>
  <c r="I80" i="4"/>
  <c r="I81" i="4"/>
  <c r="I83" i="4"/>
  <c r="I135" i="4"/>
  <c r="I187" i="4"/>
  <c r="I196" i="4"/>
  <c r="I205" i="4"/>
  <c r="I207" i="4"/>
  <c r="I208" i="4"/>
  <c r="I209" i="4"/>
  <c r="I299" i="4"/>
  <c r="I126" i="4"/>
  <c r="I160" i="4"/>
  <c r="I284" i="4"/>
  <c r="I136" i="4"/>
  <c r="I138" i="4"/>
  <c r="I184" i="4"/>
  <c r="I185" i="4"/>
  <c r="I186" i="4"/>
  <c r="I197" i="4"/>
  <c r="I82" i="4"/>
  <c r="I18" i="4"/>
  <c r="I175" i="4"/>
  <c r="I188" i="4"/>
  <c r="I190" i="4"/>
  <c r="I263" i="4"/>
  <c r="I195" i="4"/>
  <c r="I199" i="4"/>
  <c r="I273" i="4"/>
  <c r="I274" i="4"/>
  <c r="I19" i="4"/>
  <c r="I152" i="4"/>
  <c r="I167" i="4"/>
  <c r="I54" i="4"/>
  <c r="I55" i="4"/>
  <c r="I56" i="4"/>
  <c r="I189" i="4"/>
  <c r="I202" i="4"/>
  <c r="I204" i="4"/>
  <c r="I265" i="4"/>
  <c r="I238" i="4"/>
  <c r="I240" i="4"/>
  <c r="I16" i="4"/>
  <c r="I117" i="4"/>
  <c r="I170" i="4"/>
  <c r="I180" i="4"/>
  <c r="I191" i="4"/>
  <c r="I192" i="4"/>
  <c r="I193" i="4"/>
  <c r="I75" i="4"/>
  <c r="I17" i="4"/>
  <c r="I139" i="4"/>
  <c r="I177" i="4"/>
  <c r="I234" i="4"/>
  <c r="I235" i="4"/>
  <c r="I79" i="4"/>
  <c r="I239" i="4"/>
  <c r="I275" i="4"/>
  <c r="I203" i="4"/>
  <c r="I237" i="4"/>
  <c r="I241" i="4"/>
  <c r="I242" i="4"/>
  <c r="I243" i="4"/>
  <c r="I258" i="4"/>
  <c r="I260" i="4"/>
  <c r="I194" i="4"/>
  <c r="I36" i="4"/>
  <c r="I262" i="4"/>
  <c r="I247" i="4"/>
  <c r="I93" i="4"/>
  <c r="I270" i="4"/>
  <c r="I47" i="4"/>
  <c r="I163" i="4"/>
  <c r="I165" i="4"/>
  <c r="I48" i="4"/>
  <c r="I277" i="4"/>
  <c r="I110" i="4"/>
  <c r="I216" i="4"/>
  <c r="I244" i="4"/>
  <c r="I245" i="4"/>
  <c r="I46" i="4"/>
  <c r="I269" i="4"/>
  <c r="I94" i="4"/>
  <c r="I213" i="4"/>
  <c r="I145" i="4"/>
  <c r="I246" i="4"/>
  <c r="I212" i="4"/>
  <c r="I251" i="4"/>
  <c r="I252" i="4"/>
  <c r="I102" i="4"/>
  <c r="I111" i="4"/>
  <c r="I248" i="4"/>
  <c r="I103" i="4"/>
  <c r="I272" i="4"/>
  <c r="I285" i="4"/>
  <c r="I72" i="4"/>
  <c r="I104" i="4"/>
  <c r="I250" i="4"/>
  <c r="I108" i="4"/>
  <c r="I90" i="4"/>
  <c r="I121" i="4"/>
  <c r="I89" i="4"/>
  <c r="I249" i="4"/>
  <c r="I91" i="4"/>
  <c r="I303" i="4"/>
  <c r="I92" i="4"/>
  <c r="I137" i="4"/>
  <c r="I53" i="4"/>
  <c r="I253" i="4"/>
  <c r="I88" i="4"/>
  <c r="I198" i="4"/>
  <c r="I176" i="4"/>
  <c r="I107" i="4"/>
  <c r="I96" i="4"/>
  <c r="I105" i="4"/>
  <c r="I125" i="4"/>
  <c r="I106" i="4"/>
  <c r="I97" i="4"/>
  <c r="I100" i="4"/>
  <c r="I140" i="4"/>
  <c r="I174" i="4"/>
  <c r="I101" i="4"/>
  <c r="I98" i="4"/>
  <c r="H2" i="12"/>
  <c r="J2" i="12"/>
  <c r="M288" i="4"/>
  <c r="M286" i="4"/>
  <c r="M5" i="4"/>
  <c r="M6" i="4"/>
  <c r="M8" i="4"/>
  <c r="M291" i="4"/>
  <c r="M289" i="4"/>
  <c r="M45" i="4"/>
  <c r="M393" i="4"/>
  <c r="M407" i="4"/>
  <c r="M405" i="4"/>
  <c r="M406" i="4"/>
  <c r="M396" i="4"/>
  <c r="M397" i="4"/>
  <c r="M398" i="4"/>
  <c r="M399" i="4"/>
  <c r="M417" i="4"/>
  <c r="M408" i="4"/>
  <c r="M409" i="4"/>
  <c r="M410" i="4"/>
  <c r="M411" i="4"/>
  <c r="M400" i="4"/>
  <c r="M402" i="4"/>
  <c r="M403" i="4"/>
  <c r="M412" i="4"/>
  <c r="M394" i="4"/>
  <c r="M413" i="4"/>
  <c r="M404" i="4"/>
  <c r="M395" i="4"/>
  <c r="M414" i="4"/>
  <c r="M415" i="4"/>
  <c r="M416" i="4"/>
  <c r="M401" i="4"/>
  <c r="L2" i="12"/>
  <c r="N2" i="12"/>
  <c r="Q283" i="4"/>
  <c r="Q281" i="4"/>
  <c r="Q141" i="4"/>
  <c r="P2" i="12"/>
  <c r="R2" i="12"/>
  <c r="V2" i="12"/>
  <c r="Y349" i="4"/>
  <c r="Y368" i="4"/>
  <c r="B391" i="4"/>
  <c r="C391" i="4"/>
  <c r="B390" i="4"/>
  <c r="C390" i="4"/>
  <c r="B388" i="4"/>
  <c r="C388" i="4"/>
  <c r="C39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4" i="6"/>
  <c r="AH284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7" i="6"/>
  <c r="AH207" i="6"/>
  <c r="AG160" i="6"/>
  <c r="AH160" i="6"/>
  <c r="AG70" i="6"/>
  <c r="AH70" i="6"/>
  <c r="AG106" i="6"/>
  <c r="AH106" i="6"/>
  <c r="AG208" i="6"/>
  <c r="AH208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3" i="6"/>
  <c r="AH233" i="6"/>
  <c r="AG234" i="6"/>
  <c r="AH234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4" i="6"/>
  <c r="AH124" i="6"/>
  <c r="AG125" i="6"/>
  <c r="AH125" i="6"/>
  <c r="AG126" i="6"/>
  <c r="AH126" i="6"/>
  <c r="AG130" i="6"/>
  <c r="AH130" i="6"/>
  <c r="AG131" i="6"/>
  <c r="AH131" i="6"/>
  <c r="AG273" i="6"/>
  <c r="AH273" i="6"/>
  <c r="AG161" i="6"/>
  <c r="AH161" i="6"/>
  <c r="AG110" i="6"/>
  <c r="AH110" i="6"/>
  <c r="AG111" i="6"/>
  <c r="AH111" i="6"/>
  <c r="AG112" i="6"/>
  <c r="AH112" i="6"/>
  <c r="AG31" i="6"/>
  <c r="AH31" i="6"/>
  <c r="AG166" i="6"/>
  <c r="AH166" i="6"/>
  <c r="AG167" i="6"/>
  <c r="AH167" i="6"/>
  <c r="AG168" i="6"/>
  <c r="AH168" i="6"/>
  <c r="AG209" i="6"/>
  <c r="AH209" i="6"/>
  <c r="AG142" i="6"/>
  <c r="AH142" i="6"/>
  <c r="AG169" i="6"/>
  <c r="AH169" i="6"/>
  <c r="AG56" i="6"/>
  <c r="AH56" i="6"/>
  <c r="AG285" i="6"/>
  <c r="AH285" i="6"/>
  <c r="AG235" i="6"/>
  <c r="AH235" i="6"/>
  <c r="AG197" i="6"/>
  <c r="AH197" i="6"/>
  <c r="AG143" i="6"/>
  <c r="AH143" i="6"/>
  <c r="AG176" i="6"/>
  <c r="AH176" i="6"/>
  <c r="AG177" i="6"/>
  <c r="AH177" i="6"/>
  <c r="AG132" i="6"/>
  <c r="AH132" i="6"/>
  <c r="AG12" i="6"/>
  <c r="AH12" i="6"/>
  <c r="AG298" i="6"/>
  <c r="AH298" i="6"/>
  <c r="AG198" i="6"/>
  <c r="AH198" i="6"/>
  <c r="AG210" i="6"/>
  <c r="AH210" i="6"/>
  <c r="AG144" i="6"/>
  <c r="AH144" i="6"/>
  <c r="AG211" i="6"/>
  <c r="AH211" i="6"/>
  <c r="AG133" i="6"/>
  <c r="AH133" i="6"/>
  <c r="AG13" i="6"/>
  <c r="AH13" i="6"/>
  <c r="AG46" i="6"/>
  <c r="AH46" i="6"/>
  <c r="AG262" i="6"/>
  <c r="AH262" i="6"/>
  <c r="AG24" i="6"/>
  <c r="AH24" i="6"/>
  <c r="AG236" i="6"/>
  <c r="AH236" i="6"/>
  <c r="AG199" i="6"/>
  <c r="AH199" i="6"/>
  <c r="AG72" i="6"/>
  <c r="AH72" i="6"/>
  <c r="AG263" i="6"/>
  <c r="AH263" i="6"/>
  <c r="AG38" i="6"/>
  <c r="AH38" i="6"/>
  <c r="AG73" i="6"/>
  <c r="AH73" i="6"/>
  <c r="AG74" i="6"/>
  <c r="AH74" i="6"/>
  <c r="AG286" i="6"/>
  <c r="AH286" i="6"/>
  <c r="AG75" i="6"/>
  <c r="AH75" i="6"/>
  <c r="AG237" i="6"/>
  <c r="AH237" i="6"/>
  <c r="AG238" i="6"/>
  <c r="AH238" i="6"/>
  <c r="AG212" i="6"/>
  <c r="AH212" i="6"/>
  <c r="AG274" i="6"/>
  <c r="AH274" i="6"/>
  <c r="AG213" i="6"/>
  <c r="AH213" i="6"/>
  <c r="AG134" i="6"/>
  <c r="AH134" i="6"/>
  <c r="AG76" i="6"/>
  <c r="AH76" i="6"/>
  <c r="AG214" i="6"/>
  <c r="AH214" i="6"/>
  <c r="AG25" i="6"/>
  <c r="AH25" i="6"/>
  <c r="AG136" i="6"/>
  <c r="AH136" i="6"/>
  <c r="AG239" i="6"/>
  <c r="AH239" i="6"/>
  <c r="AG162" i="6"/>
  <c r="AH162" i="6"/>
  <c r="AG77" i="6"/>
  <c r="AH77" i="6"/>
  <c r="AG264" i="6"/>
  <c r="AH264" i="6"/>
  <c r="AG275" i="6"/>
  <c r="AH275" i="6"/>
  <c r="AG127" i="6"/>
  <c r="AH127" i="6"/>
  <c r="AG145" i="6"/>
  <c r="AH145" i="6"/>
  <c r="AG240" i="6"/>
  <c r="AH240" i="6"/>
  <c r="AG276" i="6"/>
  <c r="AH276" i="6"/>
  <c r="AG57" i="6"/>
  <c r="AH57" i="6"/>
  <c r="AG215" i="6"/>
  <c r="AH215" i="6"/>
  <c r="AG277" i="6"/>
  <c r="AH277" i="6"/>
  <c r="AG287" i="6"/>
  <c r="AH287" i="6"/>
  <c r="AG119" i="6"/>
  <c r="AH119" i="6"/>
  <c r="AG120" i="6"/>
  <c r="AH120" i="6"/>
  <c r="AG14" i="6"/>
  <c r="AH14" i="6"/>
  <c r="AG121" i="6"/>
  <c r="AH121" i="6"/>
  <c r="AG200" i="6"/>
  <c r="AH200" i="6"/>
  <c r="AG154" i="6"/>
  <c r="AH154" i="6"/>
  <c r="AG216" i="6"/>
  <c r="AH216" i="6"/>
  <c r="AG201" i="6"/>
  <c r="AH201" i="6"/>
  <c r="AG26" i="6"/>
  <c r="AH26" i="6"/>
  <c r="AG265" i="6"/>
  <c r="AH265" i="6"/>
  <c r="AG122" i="6"/>
  <c r="AH122" i="6"/>
  <c r="AG128" i="6"/>
  <c r="AH128" i="6"/>
  <c r="AG241" i="6"/>
  <c r="AH241" i="6"/>
  <c r="AG242" i="6"/>
  <c r="AH242" i="6"/>
  <c r="AG243" i="6"/>
  <c r="AH243" i="6"/>
  <c r="AG135" i="6"/>
  <c r="AH135" i="6"/>
  <c r="AG58" i="6"/>
  <c r="AH58" i="6"/>
  <c r="AG39" i="6"/>
  <c r="AH39" i="6"/>
  <c r="AG44" i="6"/>
  <c r="AH44" i="6"/>
  <c r="AG178" i="6"/>
  <c r="AH178" i="6"/>
  <c r="AG78" i="6"/>
  <c r="AH78" i="6"/>
  <c r="AG32" i="6"/>
  <c r="AH32" i="6"/>
  <c r="AG191" i="6"/>
  <c r="AH191" i="6"/>
  <c r="AG137" i="6"/>
  <c r="AH137" i="6"/>
  <c r="AG138" i="6"/>
  <c r="AH138" i="6"/>
  <c r="AG139" i="6"/>
  <c r="AH139" i="6"/>
  <c r="AG244" i="6"/>
  <c r="AH244" i="6"/>
  <c r="AG245" i="6"/>
  <c r="AH245" i="6"/>
  <c r="AG246" i="6"/>
  <c r="AH246" i="6"/>
  <c r="AG33" i="6"/>
  <c r="AH33" i="6"/>
  <c r="AG79" i="6"/>
  <c r="AH79" i="6"/>
  <c r="AG113" i="6"/>
  <c r="AH113" i="6"/>
  <c r="AG247" i="6"/>
  <c r="AH247" i="6"/>
  <c r="AG248" i="6"/>
  <c r="AH248" i="6"/>
  <c r="AG288" i="6"/>
  <c r="AH288" i="6"/>
  <c r="AG289" i="6"/>
  <c r="AH289" i="6"/>
  <c r="AG34" i="6"/>
  <c r="AH34" i="6"/>
  <c r="AG179" i="6"/>
  <c r="AH179" i="6"/>
  <c r="AG155" i="6"/>
  <c r="AH155" i="6"/>
  <c r="AG249" i="6"/>
  <c r="AH249" i="6"/>
  <c r="AG278" i="6"/>
  <c r="AH278" i="6"/>
  <c r="AG250" i="6"/>
  <c r="AH250" i="6"/>
  <c r="AG80" i="6"/>
  <c r="AH80" i="6"/>
  <c r="AG251" i="6"/>
  <c r="AH251" i="6"/>
  <c r="AG81" i="6"/>
  <c r="AH81" i="6"/>
  <c r="AG266" i="6"/>
  <c r="AH266" i="6"/>
  <c r="AG163" i="6"/>
  <c r="AH163" i="6"/>
  <c r="AG290" i="6"/>
  <c r="AH290" i="6"/>
  <c r="AG146" i="6"/>
  <c r="AH146" i="6"/>
  <c r="AG59" i="6"/>
  <c r="AH59" i="6"/>
  <c r="AG217" i="6"/>
  <c r="AH217" i="6"/>
  <c r="AG218" i="6"/>
  <c r="AH218" i="6"/>
  <c r="AG219" i="6"/>
  <c r="AH219" i="6"/>
  <c r="AG202" i="6"/>
  <c r="AH202" i="6"/>
  <c r="AG220" i="6"/>
  <c r="AH220" i="6"/>
  <c r="AG129" i="6"/>
  <c r="AH129" i="6"/>
  <c r="AG147" i="6"/>
  <c r="AH147" i="6"/>
  <c r="AG148" i="6"/>
  <c r="AH148" i="6"/>
  <c r="AG180" i="6"/>
  <c r="AH180" i="6"/>
  <c r="AG156" i="6"/>
  <c r="AH156" i="6"/>
  <c r="AG221" i="6"/>
  <c r="AH221" i="6"/>
  <c r="AG203" i="6"/>
  <c r="AH203" i="6"/>
  <c r="AG222" i="6"/>
  <c r="AH222" i="6"/>
  <c r="AG223" i="6"/>
  <c r="AH223" i="6"/>
  <c r="AG204" i="6"/>
  <c r="AH204" i="6"/>
  <c r="AG224" i="6"/>
  <c r="AH224" i="6"/>
  <c r="AG225" i="6"/>
  <c r="AH225" i="6"/>
  <c r="AG226" i="6"/>
  <c r="AH226" i="6"/>
  <c r="AG149" i="6"/>
  <c r="AH149" i="6"/>
  <c r="AG150" i="6"/>
  <c r="AH150" i="6"/>
  <c r="AG151" i="6"/>
  <c r="AH151" i="6"/>
  <c r="AG82" i="6"/>
  <c r="AH82" i="6"/>
  <c r="AG187" i="6"/>
  <c r="AH187" i="6"/>
  <c r="AG188" i="6"/>
  <c r="AH188" i="6"/>
  <c r="AG189" i="6"/>
  <c r="AH189" i="6"/>
  <c r="AG153" i="6"/>
  <c r="AH153" i="6"/>
  <c r="AG157" i="6"/>
  <c r="AH157" i="6"/>
  <c r="AG164" i="6"/>
  <c r="AH164" i="6"/>
  <c r="AG170" i="6"/>
  <c r="AH170" i="6"/>
  <c r="AG171" i="6"/>
  <c r="AH171" i="6"/>
  <c r="AG181" i="6"/>
  <c r="AH181" i="6"/>
  <c r="AG192" i="6"/>
  <c r="AH192" i="6"/>
  <c r="AG190" i="6"/>
  <c r="AH190" i="6"/>
  <c r="AG193" i="6"/>
  <c r="AH193" i="6"/>
  <c r="AG196" i="6"/>
  <c r="AH196" i="6"/>
  <c r="AG194" i="6"/>
  <c r="AH194" i="6"/>
  <c r="AG195" i="6"/>
  <c r="AH195" i="6"/>
  <c r="AG205" i="6"/>
  <c r="AH205" i="6"/>
  <c r="AG227" i="6"/>
  <c r="AH227" i="6"/>
  <c r="AG165" i="6"/>
  <c r="AH165" i="6"/>
  <c r="AG252" i="6"/>
  <c r="AH252" i="6"/>
  <c r="AG206" i="6"/>
  <c r="AH206" i="6"/>
  <c r="AG253" i="6"/>
  <c r="AH253" i="6"/>
  <c r="AG254" i="6"/>
  <c r="AH254" i="6"/>
  <c r="AG255" i="6"/>
  <c r="AH255" i="6"/>
  <c r="AG256" i="6"/>
  <c r="AH256" i="6"/>
  <c r="AG279" i="6"/>
  <c r="AH279" i="6"/>
  <c r="AG257" i="6"/>
  <c r="AH257" i="6"/>
  <c r="AG258" i="6"/>
  <c r="AH258" i="6"/>
  <c r="AG267" i="6"/>
  <c r="AH267" i="6"/>
  <c r="AG268" i="6"/>
  <c r="AH268" i="6"/>
  <c r="AG269" i="6"/>
  <c r="AH269" i="6"/>
  <c r="AG280" i="6"/>
  <c r="AH280" i="6"/>
  <c r="AG281" i="6"/>
  <c r="AH281" i="6"/>
  <c r="AG282" i="6"/>
  <c r="AH282" i="6"/>
  <c r="AG283" i="6"/>
  <c r="AH283" i="6"/>
  <c r="AG228" i="6"/>
  <c r="AH228" i="6"/>
  <c r="AG158" i="6"/>
  <c r="AH158" i="6"/>
  <c r="AG35" i="6"/>
  <c r="AH35" i="6"/>
  <c r="AG152" i="6"/>
  <c r="AH152" i="6"/>
  <c r="AG291" i="6"/>
  <c r="AH291" i="6"/>
  <c r="AG270" i="6"/>
  <c r="AH270" i="6"/>
  <c r="AG271" i="6"/>
  <c r="AH271" i="6"/>
  <c r="AG123" i="6"/>
  <c r="AH123" i="6"/>
  <c r="AG229" i="6"/>
  <c r="AH229" i="6"/>
  <c r="AG230" i="6"/>
  <c r="AH230" i="6"/>
  <c r="AG231" i="6"/>
  <c r="AH231" i="6"/>
  <c r="AG259" i="6"/>
  <c r="AH259" i="6"/>
  <c r="AG272" i="6"/>
  <c r="AH272" i="6"/>
  <c r="AG232" i="6"/>
  <c r="AH232" i="6"/>
  <c r="AG83" i="6"/>
  <c r="AH83" i="6"/>
  <c r="AG84" i="6"/>
  <c r="AH84" i="6"/>
  <c r="AG63" i="6"/>
  <c r="AH63" i="6"/>
  <c r="AG60" i="6"/>
  <c r="AH60" i="6"/>
  <c r="AG292" i="6"/>
  <c r="AH292" i="6"/>
  <c r="AG293" i="6"/>
  <c r="AH293" i="6"/>
  <c r="AG294" i="6"/>
  <c r="AH294" i="6"/>
  <c r="AG295" i="6"/>
  <c r="AH295" i="6"/>
  <c r="AG296" i="6"/>
  <c r="AH296" i="6"/>
  <c r="AG172" i="6"/>
  <c r="AH172" i="6"/>
  <c r="AG173" i="6"/>
  <c r="AH173" i="6"/>
  <c r="AG182" i="6"/>
  <c r="AH182" i="6"/>
  <c r="AG159" i="6"/>
  <c r="AH159" i="6"/>
  <c r="AG174" i="6"/>
  <c r="AH174" i="6"/>
  <c r="AG260" i="6"/>
  <c r="AH260" i="6"/>
  <c r="AG297" i="6"/>
  <c r="AH297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3" i="6"/>
  <c r="AH183" i="6"/>
  <c r="AG36" i="6"/>
  <c r="AH36" i="6"/>
  <c r="AG184" i="6"/>
  <c r="AH184" i="6"/>
  <c r="AG299" i="6"/>
  <c r="AH299" i="6"/>
  <c r="AG175" i="6"/>
  <c r="AH175" i="6"/>
  <c r="AG185" i="6"/>
  <c r="AH185" i="6"/>
  <c r="AG186" i="6"/>
  <c r="AH186" i="6"/>
  <c r="AG102" i="6"/>
  <c r="AH102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8" i="6"/>
  <c r="AH318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46" i="6"/>
  <c r="AH346" i="6"/>
  <c r="AG351" i="6"/>
  <c r="AH351" i="6"/>
  <c r="AG347" i="6"/>
  <c r="AH347" i="6"/>
  <c r="AG348" i="6"/>
  <c r="AH348" i="6"/>
  <c r="AG352" i="6"/>
  <c r="AH352" i="6"/>
  <c r="AG349" i="6"/>
  <c r="AH349" i="6"/>
  <c r="AG350" i="6"/>
  <c r="AH350" i="6"/>
  <c r="AG366" i="6"/>
  <c r="AH366" i="6"/>
  <c r="AG353" i="6"/>
  <c r="AH353" i="6"/>
  <c r="AG367" i="6"/>
  <c r="AH367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1" i="6"/>
  <c r="AH361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62" i="6"/>
  <c r="AH362" i="6"/>
  <c r="AG363" i="6"/>
  <c r="AH363" i="6"/>
  <c r="AG364" i="6"/>
  <c r="AH364" i="6"/>
  <c r="AG365" i="6"/>
  <c r="AH365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5" i="6"/>
  <c r="AH385" i="6"/>
  <c r="AG389" i="6"/>
  <c r="AH389" i="6"/>
  <c r="AG392" i="6"/>
  <c r="AH392" i="6"/>
  <c r="AG388" i="6"/>
  <c r="AH388" i="6"/>
  <c r="AG391" i="6"/>
  <c r="AH391" i="6"/>
  <c r="AG390" i="6"/>
  <c r="AH390" i="6"/>
  <c r="AG416" i="6"/>
  <c r="AH416" i="6"/>
  <c r="AG394" i="6"/>
  <c r="AH394" i="6"/>
  <c r="AG415" i="6"/>
  <c r="AH415" i="6"/>
  <c r="AG414" i="6"/>
  <c r="AH414" i="6"/>
  <c r="AG397" i="6"/>
  <c r="AH397" i="6"/>
  <c r="AG398" i="6"/>
  <c r="AH398" i="6"/>
  <c r="AG399" i="6"/>
  <c r="AH399" i="6"/>
  <c r="AG400" i="6"/>
  <c r="AH400" i="6"/>
  <c r="AG401" i="6"/>
  <c r="AH401" i="6"/>
  <c r="AG396" i="6"/>
  <c r="AH396" i="6"/>
  <c r="AG412" i="6"/>
  <c r="AH412" i="6"/>
  <c r="AG402" i="6"/>
  <c r="AH402" i="6"/>
  <c r="AG403" i="6"/>
  <c r="AH403" i="6"/>
  <c r="AG404" i="6"/>
  <c r="AH404" i="6"/>
  <c r="AG405" i="6"/>
  <c r="AH405" i="6"/>
  <c r="AG406" i="6"/>
  <c r="AH406" i="6"/>
  <c r="AG407" i="6"/>
  <c r="AH407" i="6"/>
  <c r="AG393" i="6"/>
  <c r="AH393" i="6"/>
  <c r="AG413" i="6"/>
  <c r="AH413" i="6"/>
  <c r="AG408" i="6"/>
  <c r="AH408" i="6"/>
  <c r="AG395" i="6"/>
  <c r="AH395" i="6"/>
  <c r="AG417" i="6"/>
  <c r="AH417" i="6"/>
  <c r="AG409" i="6"/>
  <c r="AH409" i="6"/>
  <c r="AG410" i="6"/>
  <c r="AH410" i="6"/>
  <c r="AG411" i="6"/>
  <c r="AH411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4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7" i="6"/>
  <c r="AF160" i="6"/>
  <c r="AF70" i="6"/>
  <c r="AF106" i="6"/>
  <c r="AF208" i="6"/>
  <c r="AF89" i="6"/>
  <c r="AF90" i="6"/>
  <c r="AF85" i="6"/>
  <c r="AF91" i="6"/>
  <c r="AF92" i="6"/>
  <c r="AF93" i="6"/>
  <c r="AF94" i="6"/>
  <c r="AF95" i="6"/>
  <c r="AF96" i="6"/>
  <c r="AF103" i="6"/>
  <c r="AF97" i="6"/>
  <c r="AF233" i="6"/>
  <c r="AF234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4" i="6"/>
  <c r="AF125" i="6"/>
  <c r="AF126" i="6"/>
  <c r="AF130" i="6"/>
  <c r="AF131" i="6"/>
  <c r="AF273" i="6"/>
  <c r="AF161" i="6"/>
  <c r="AF110" i="6"/>
  <c r="AF111" i="6"/>
  <c r="AF112" i="6"/>
  <c r="AF31" i="6"/>
  <c r="AF166" i="6"/>
  <c r="AF167" i="6"/>
  <c r="AF168" i="6"/>
  <c r="AF209" i="6"/>
  <c r="AF142" i="6"/>
  <c r="AF169" i="6"/>
  <c r="AF56" i="6"/>
  <c r="AF285" i="6"/>
  <c r="AF235" i="6"/>
  <c r="AF197" i="6"/>
  <c r="AF143" i="6"/>
  <c r="AF176" i="6"/>
  <c r="AF177" i="6"/>
  <c r="AF132" i="6"/>
  <c r="AF12" i="6"/>
  <c r="AF298" i="6"/>
  <c r="AF198" i="6"/>
  <c r="AF210" i="6"/>
  <c r="AF144" i="6"/>
  <c r="AF211" i="6"/>
  <c r="AF133" i="6"/>
  <c r="AF13" i="6"/>
  <c r="AF46" i="6"/>
  <c r="AF262" i="6"/>
  <c r="AF24" i="6"/>
  <c r="AF236" i="6"/>
  <c r="AF199" i="6"/>
  <c r="AF72" i="6"/>
  <c r="AF263" i="6"/>
  <c r="AF38" i="6"/>
  <c r="AF73" i="6"/>
  <c r="AF74" i="6"/>
  <c r="AF286" i="6"/>
  <c r="AF75" i="6"/>
  <c r="AF237" i="6"/>
  <c r="AF238" i="6"/>
  <c r="AF212" i="6"/>
  <c r="AF274" i="6"/>
  <c r="AF213" i="6"/>
  <c r="AF134" i="6"/>
  <c r="AF76" i="6"/>
  <c r="AF214" i="6"/>
  <c r="AF25" i="6"/>
  <c r="AF136" i="6"/>
  <c r="AF239" i="6"/>
  <c r="AF162" i="6"/>
  <c r="AF77" i="6"/>
  <c r="AF264" i="6"/>
  <c r="AF275" i="6"/>
  <c r="AF127" i="6"/>
  <c r="AF145" i="6"/>
  <c r="AF240" i="6"/>
  <c r="AF276" i="6"/>
  <c r="AF57" i="6"/>
  <c r="AF215" i="6"/>
  <c r="AF277" i="6"/>
  <c r="AF287" i="6"/>
  <c r="AF119" i="6"/>
  <c r="AF120" i="6"/>
  <c r="AF14" i="6"/>
  <c r="AF121" i="6"/>
  <c r="AF200" i="6"/>
  <c r="AF154" i="6"/>
  <c r="AF216" i="6"/>
  <c r="AF201" i="6"/>
  <c r="AF26" i="6"/>
  <c r="AF265" i="6"/>
  <c r="AF122" i="6"/>
  <c r="AF128" i="6"/>
  <c r="AF241" i="6"/>
  <c r="AF242" i="6"/>
  <c r="AF243" i="6"/>
  <c r="AF135" i="6"/>
  <c r="AF58" i="6"/>
  <c r="AF39" i="6"/>
  <c r="AF44" i="6"/>
  <c r="AF178" i="6"/>
  <c r="AF78" i="6"/>
  <c r="AF32" i="6"/>
  <c r="AF191" i="6"/>
  <c r="AF137" i="6"/>
  <c r="AF138" i="6"/>
  <c r="AF139" i="6"/>
  <c r="AF244" i="6"/>
  <c r="AF245" i="6"/>
  <c r="AF246" i="6"/>
  <c r="AF33" i="6"/>
  <c r="AF79" i="6"/>
  <c r="AF113" i="6"/>
  <c r="AF247" i="6"/>
  <c r="AF248" i="6"/>
  <c r="AF288" i="6"/>
  <c r="AF289" i="6"/>
  <c r="AF34" i="6"/>
  <c r="AF179" i="6"/>
  <c r="AF155" i="6"/>
  <c r="AF249" i="6"/>
  <c r="AF278" i="6"/>
  <c r="AF250" i="6"/>
  <c r="AF80" i="6"/>
  <c r="AF251" i="6"/>
  <c r="AF81" i="6"/>
  <c r="AF266" i="6"/>
  <c r="AF163" i="6"/>
  <c r="AF290" i="6"/>
  <c r="AF146" i="6"/>
  <c r="AF59" i="6"/>
  <c r="AF217" i="6"/>
  <c r="AF218" i="6"/>
  <c r="AF219" i="6"/>
  <c r="AF202" i="6"/>
  <c r="AF220" i="6"/>
  <c r="AF129" i="6"/>
  <c r="AF147" i="6"/>
  <c r="AF148" i="6"/>
  <c r="AF180" i="6"/>
  <c r="AF156" i="6"/>
  <c r="AF221" i="6"/>
  <c r="AF203" i="6"/>
  <c r="AF222" i="6"/>
  <c r="AF223" i="6"/>
  <c r="AF204" i="6"/>
  <c r="AF224" i="6"/>
  <c r="AF225" i="6"/>
  <c r="AF226" i="6"/>
  <c r="AF149" i="6"/>
  <c r="AF150" i="6"/>
  <c r="AF151" i="6"/>
  <c r="AF82" i="6"/>
  <c r="AF187" i="6"/>
  <c r="AF188" i="6"/>
  <c r="AF189" i="6"/>
  <c r="AF153" i="6"/>
  <c r="AF157" i="6"/>
  <c r="AF164" i="6"/>
  <c r="AF170" i="6"/>
  <c r="AF171" i="6"/>
  <c r="AF181" i="6"/>
  <c r="AF192" i="6"/>
  <c r="AF190" i="6"/>
  <c r="AF193" i="6"/>
  <c r="AF196" i="6"/>
  <c r="AF194" i="6"/>
  <c r="AF195" i="6"/>
  <c r="AF205" i="6"/>
  <c r="AF227" i="6"/>
  <c r="AF165" i="6"/>
  <c r="AF252" i="6"/>
  <c r="AF206" i="6"/>
  <c r="AF253" i="6"/>
  <c r="AF254" i="6"/>
  <c r="AF255" i="6"/>
  <c r="AF256" i="6"/>
  <c r="AF279" i="6"/>
  <c r="AF257" i="6"/>
  <c r="AF258" i="6"/>
  <c r="AF267" i="6"/>
  <c r="AF268" i="6"/>
  <c r="AF269" i="6"/>
  <c r="AF280" i="6"/>
  <c r="AF281" i="6"/>
  <c r="AF282" i="6"/>
  <c r="AF283" i="6"/>
  <c r="AF228" i="6"/>
  <c r="AF158" i="6"/>
  <c r="AF35" i="6"/>
  <c r="AF152" i="6"/>
  <c r="AF291" i="6"/>
  <c r="AF270" i="6"/>
  <c r="AF271" i="6"/>
  <c r="AF123" i="6"/>
  <c r="AF229" i="6"/>
  <c r="AF230" i="6"/>
  <c r="AF231" i="6"/>
  <c r="AF259" i="6"/>
  <c r="AF272" i="6"/>
  <c r="AF232" i="6"/>
  <c r="AF83" i="6"/>
  <c r="AF84" i="6"/>
  <c r="AF63" i="6"/>
  <c r="AF60" i="6"/>
  <c r="AF292" i="6"/>
  <c r="AF293" i="6"/>
  <c r="AF294" i="6"/>
  <c r="AF295" i="6"/>
  <c r="AF296" i="6"/>
  <c r="AF172" i="6"/>
  <c r="AF173" i="6"/>
  <c r="AF182" i="6"/>
  <c r="AF159" i="6"/>
  <c r="AF174" i="6"/>
  <c r="AF260" i="6"/>
  <c r="AF297" i="6"/>
  <c r="AF61" i="6"/>
  <c r="AF15" i="6"/>
  <c r="AF16" i="6"/>
  <c r="AF17" i="6"/>
  <c r="AF18" i="6"/>
  <c r="AF19" i="6"/>
  <c r="AF20" i="6"/>
  <c r="AF183" i="6"/>
  <c r="AF36" i="6"/>
  <c r="AF184" i="6"/>
  <c r="AF299" i="6"/>
  <c r="AF175" i="6"/>
  <c r="AF185" i="6"/>
  <c r="AF186" i="6"/>
  <c r="AF102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51" i="6"/>
  <c r="AF347" i="6"/>
  <c r="AF348" i="6"/>
  <c r="AF352" i="6"/>
  <c r="AF349" i="6"/>
  <c r="AF350" i="6"/>
  <c r="AF366" i="6"/>
  <c r="AF353" i="6"/>
  <c r="AF367" i="6"/>
  <c r="AF354" i="6"/>
  <c r="AF355" i="6"/>
  <c r="AF356" i="6"/>
  <c r="AF357" i="6"/>
  <c r="AF358" i="6"/>
  <c r="AF359" i="6"/>
  <c r="AF360" i="6"/>
  <c r="AF361" i="6"/>
  <c r="AF368" i="6"/>
  <c r="AF369" i="6"/>
  <c r="AF370" i="6"/>
  <c r="AF371" i="6"/>
  <c r="AF372" i="6"/>
  <c r="AF373" i="6"/>
  <c r="AF374" i="6"/>
  <c r="AF362" i="6"/>
  <c r="AF363" i="6"/>
  <c r="AF364" i="6"/>
  <c r="AF365" i="6"/>
  <c r="AF375" i="6"/>
  <c r="AF376" i="6"/>
  <c r="AF377" i="6"/>
  <c r="AF378" i="6"/>
  <c r="AF379" i="6"/>
  <c r="AF380" i="6"/>
  <c r="AF381" i="6"/>
  <c r="AF382" i="6"/>
  <c r="AF383" i="6"/>
  <c r="AF384" i="6"/>
  <c r="AF385" i="6"/>
  <c r="AF389" i="6"/>
  <c r="AF392" i="6"/>
  <c r="AF388" i="6"/>
  <c r="AF391" i="6"/>
  <c r="AF390" i="6"/>
  <c r="AF416" i="6"/>
  <c r="AF394" i="6"/>
  <c r="AF415" i="6"/>
  <c r="AF414" i="6"/>
  <c r="AF397" i="6"/>
  <c r="AF398" i="6"/>
  <c r="AF399" i="6"/>
  <c r="AF400" i="6"/>
  <c r="AF401" i="6"/>
  <c r="AF396" i="6"/>
  <c r="AF412" i="6"/>
  <c r="AF402" i="6"/>
  <c r="AF403" i="6"/>
  <c r="AF404" i="6"/>
  <c r="AF405" i="6"/>
  <c r="AF406" i="6"/>
  <c r="AF407" i="6"/>
  <c r="AF393" i="6"/>
  <c r="AF413" i="6"/>
  <c r="AF408" i="6"/>
  <c r="AF395" i="6"/>
  <c r="AF417" i="6"/>
  <c r="AF409" i="6"/>
  <c r="AF410" i="6"/>
  <c r="AF411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4" i="6"/>
  <c r="AC284" i="6"/>
  <c r="AD284" i="6"/>
  <c r="AE284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7" i="6"/>
  <c r="AC207" i="6"/>
  <c r="AD207" i="6"/>
  <c r="AE207" i="6"/>
  <c r="AB160" i="6"/>
  <c r="AC160" i="6"/>
  <c r="AD160" i="6"/>
  <c r="AE160" i="6"/>
  <c r="AB70" i="6"/>
  <c r="AC70" i="6"/>
  <c r="AD70" i="6"/>
  <c r="AE70" i="6"/>
  <c r="AB106" i="6"/>
  <c r="AC106" i="6"/>
  <c r="AD106" i="6"/>
  <c r="AE106" i="6"/>
  <c r="AB208" i="6"/>
  <c r="AC208" i="6"/>
  <c r="AD208" i="6"/>
  <c r="AE208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3" i="6"/>
  <c r="AC233" i="6"/>
  <c r="AD233" i="6"/>
  <c r="AE233" i="6"/>
  <c r="AB234" i="6"/>
  <c r="AC234" i="6"/>
  <c r="AD234" i="6"/>
  <c r="AE234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4" i="6"/>
  <c r="AC124" i="6"/>
  <c r="AD124" i="6"/>
  <c r="AE124" i="6"/>
  <c r="AB125" i="6"/>
  <c r="AC125" i="6"/>
  <c r="AD125" i="6"/>
  <c r="AE125" i="6"/>
  <c r="AB126" i="6"/>
  <c r="AC126" i="6"/>
  <c r="AD126" i="6"/>
  <c r="AE126" i="6"/>
  <c r="AB130" i="6"/>
  <c r="AC130" i="6"/>
  <c r="AD130" i="6"/>
  <c r="AE130" i="6"/>
  <c r="AB131" i="6"/>
  <c r="AC131" i="6"/>
  <c r="AD131" i="6"/>
  <c r="AE131" i="6"/>
  <c r="AB273" i="6"/>
  <c r="AC273" i="6"/>
  <c r="AD273" i="6"/>
  <c r="AE273" i="6"/>
  <c r="AB161" i="6"/>
  <c r="AC161" i="6"/>
  <c r="AD161" i="6"/>
  <c r="AE161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6" i="6"/>
  <c r="AC166" i="6"/>
  <c r="AD166" i="6"/>
  <c r="AE166" i="6"/>
  <c r="AB167" i="6"/>
  <c r="AC167" i="6"/>
  <c r="AD167" i="6"/>
  <c r="AE167" i="6"/>
  <c r="AB168" i="6"/>
  <c r="AC168" i="6"/>
  <c r="AD168" i="6"/>
  <c r="AE168" i="6"/>
  <c r="AB209" i="6"/>
  <c r="AC209" i="6"/>
  <c r="AD209" i="6"/>
  <c r="AE209" i="6"/>
  <c r="AB142" i="6"/>
  <c r="AC142" i="6"/>
  <c r="AD142" i="6"/>
  <c r="AE142" i="6"/>
  <c r="AB169" i="6"/>
  <c r="AC169" i="6"/>
  <c r="AD169" i="6"/>
  <c r="AE169" i="6"/>
  <c r="AB56" i="6"/>
  <c r="AC56" i="6"/>
  <c r="AD56" i="6"/>
  <c r="AE56" i="6"/>
  <c r="AB285" i="6"/>
  <c r="AC285" i="6"/>
  <c r="AD285" i="6"/>
  <c r="AE285" i="6"/>
  <c r="AB235" i="6"/>
  <c r="AC235" i="6"/>
  <c r="AD235" i="6"/>
  <c r="AE235" i="6"/>
  <c r="AB197" i="6"/>
  <c r="AC197" i="6"/>
  <c r="AD197" i="6"/>
  <c r="AE197" i="6"/>
  <c r="AB143" i="6"/>
  <c r="AC143" i="6"/>
  <c r="AD143" i="6"/>
  <c r="AE143" i="6"/>
  <c r="AB176" i="6"/>
  <c r="AC176" i="6"/>
  <c r="AD176" i="6"/>
  <c r="AE176" i="6"/>
  <c r="AB177" i="6"/>
  <c r="AC177" i="6"/>
  <c r="AD177" i="6"/>
  <c r="AE177" i="6"/>
  <c r="AB132" i="6"/>
  <c r="AC132" i="6"/>
  <c r="AD132" i="6"/>
  <c r="AE132" i="6"/>
  <c r="AB12" i="6"/>
  <c r="AC12" i="6"/>
  <c r="AD12" i="6"/>
  <c r="AE12" i="6"/>
  <c r="AB298" i="6"/>
  <c r="AC298" i="6"/>
  <c r="AD298" i="6"/>
  <c r="AE298" i="6"/>
  <c r="AB198" i="6"/>
  <c r="AC198" i="6"/>
  <c r="AD198" i="6"/>
  <c r="AE198" i="6"/>
  <c r="AB210" i="6"/>
  <c r="AC210" i="6"/>
  <c r="AD210" i="6"/>
  <c r="AE210" i="6"/>
  <c r="AB144" i="6"/>
  <c r="AC144" i="6"/>
  <c r="AD144" i="6"/>
  <c r="AE144" i="6"/>
  <c r="AB211" i="6"/>
  <c r="AC211" i="6"/>
  <c r="AD211" i="6"/>
  <c r="AE211" i="6"/>
  <c r="AB133" i="6"/>
  <c r="AC133" i="6"/>
  <c r="AD133" i="6"/>
  <c r="AE133" i="6"/>
  <c r="AB13" i="6"/>
  <c r="AC13" i="6"/>
  <c r="AD13" i="6"/>
  <c r="AE13" i="6"/>
  <c r="AB46" i="6"/>
  <c r="AC46" i="6"/>
  <c r="AD46" i="6"/>
  <c r="AE46" i="6"/>
  <c r="AB262" i="6"/>
  <c r="AC262" i="6"/>
  <c r="AD262" i="6"/>
  <c r="AE262" i="6"/>
  <c r="AB24" i="6"/>
  <c r="AC24" i="6"/>
  <c r="AD24" i="6"/>
  <c r="AE24" i="6"/>
  <c r="AB236" i="6"/>
  <c r="AC236" i="6"/>
  <c r="AD236" i="6"/>
  <c r="AE236" i="6"/>
  <c r="AB199" i="6"/>
  <c r="AC199" i="6"/>
  <c r="AD199" i="6"/>
  <c r="AE199" i="6"/>
  <c r="AB72" i="6"/>
  <c r="AC72" i="6"/>
  <c r="AD72" i="6"/>
  <c r="AE72" i="6"/>
  <c r="AB263" i="6"/>
  <c r="AC263" i="6"/>
  <c r="AD263" i="6"/>
  <c r="AE263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6" i="6"/>
  <c r="AC286" i="6"/>
  <c r="AD286" i="6"/>
  <c r="AE286" i="6"/>
  <c r="AB75" i="6"/>
  <c r="AC75" i="6"/>
  <c r="AD75" i="6"/>
  <c r="AE75" i="6"/>
  <c r="AB237" i="6"/>
  <c r="AC237" i="6"/>
  <c r="AD237" i="6"/>
  <c r="AE237" i="6"/>
  <c r="AB238" i="6"/>
  <c r="AC238" i="6"/>
  <c r="AD238" i="6"/>
  <c r="AE238" i="6"/>
  <c r="AB212" i="6"/>
  <c r="AC212" i="6"/>
  <c r="AD212" i="6"/>
  <c r="AE212" i="6"/>
  <c r="AB274" i="6"/>
  <c r="AC274" i="6"/>
  <c r="AD274" i="6"/>
  <c r="AE274" i="6"/>
  <c r="AB213" i="6"/>
  <c r="AC213" i="6"/>
  <c r="AD213" i="6"/>
  <c r="AE213" i="6"/>
  <c r="AB134" i="6"/>
  <c r="AC134" i="6"/>
  <c r="AD134" i="6"/>
  <c r="AE134" i="6"/>
  <c r="AB76" i="6"/>
  <c r="AC76" i="6"/>
  <c r="AD76" i="6"/>
  <c r="AE76" i="6"/>
  <c r="AB214" i="6"/>
  <c r="AC214" i="6"/>
  <c r="AD214" i="6"/>
  <c r="AE214" i="6"/>
  <c r="AB25" i="6"/>
  <c r="AC25" i="6"/>
  <c r="AD25" i="6"/>
  <c r="AE25" i="6"/>
  <c r="AB136" i="6"/>
  <c r="AC136" i="6"/>
  <c r="AD136" i="6"/>
  <c r="AE136" i="6"/>
  <c r="AB239" i="6"/>
  <c r="AC239" i="6"/>
  <c r="AD239" i="6"/>
  <c r="AE239" i="6"/>
  <c r="AB162" i="6"/>
  <c r="AC162" i="6"/>
  <c r="AD162" i="6"/>
  <c r="AE162" i="6"/>
  <c r="AB77" i="6"/>
  <c r="AC77" i="6"/>
  <c r="AD77" i="6"/>
  <c r="AE77" i="6"/>
  <c r="AB264" i="6"/>
  <c r="AC264" i="6"/>
  <c r="AD264" i="6"/>
  <c r="AE264" i="6"/>
  <c r="AB275" i="6"/>
  <c r="AC275" i="6"/>
  <c r="AD275" i="6"/>
  <c r="AE275" i="6"/>
  <c r="AB127" i="6"/>
  <c r="AC127" i="6"/>
  <c r="AD127" i="6"/>
  <c r="AE127" i="6"/>
  <c r="AB145" i="6"/>
  <c r="AC145" i="6"/>
  <c r="AD145" i="6"/>
  <c r="AE145" i="6"/>
  <c r="AB240" i="6"/>
  <c r="AC240" i="6"/>
  <c r="AD240" i="6"/>
  <c r="AE240" i="6"/>
  <c r="AB276" i="6"/>
  <c r="AC276" i="6"/>
  <c r="AD276" i="6"/>
  <c r="AE276" i="6"/>
  <c r="AB57" i="6"/>
  <c r="AC57" i="6"/>
  <c r="AD57" i="6"/>
  <c r="AE57" i="6"/>
  <c r="AB215" i="6"/>
  <c r="AC215" i="6"/>
  <c r="AD215" i="6"/>
  <c r="AE215" i="6"/>
  <c r="AB277" i="6"/>
  <c r="AC277" i="6"/>
  <c r="AD277" i="6"/>
  <c r="AE277" i="6"/>
  <c r="AB287" i="6"/>
  <c r="AC287" i="6"/>
  <c r="AD287" i="6"/>
  <c r="AE287" i="6"/>
  <c r="AB119" i="6"/>
  <c r="AC119" i="6"/>
  <c r="AD119" i="6"/>
  <c r="AE119" i="6"/>
  <c r="AB120" i="6"/>
  <c r="AC120" i="6"/>
  <c r="AD120" i="6"/>
  <c r="AE120" i="6"/>
  <c r="AB14" i="6"/>
  <c r="AC14" i="6"/>
  <c r="AD14" i="6"/>
  <c r="AE14" i="6"/>
  <c r="AB121" i="6"/>
  <c r="AC121" i="6"/>
  <c r="AD121" i="6"/>
  <c r="AE121" i="6"/>
  <c r="AB200" i="6"/>
  <c r="AC200" i="6"/>
  <c r="AD200" i="6"/>
  <c r="AE200" i="6"/>
  <c r="AB154" i="6"/>
  <c r="AC154" i="6"/>
  <c r="AD154" i="6"/>
  <c r="AE154" i="6"/>
  <c r="AB216" i="6"/>
  <c r="AC216" i="6"/>
  <c r="AD216" i="6"/>
  <c r="AE216" i="6"/>
  <c r="AB201" i="6"/>
  <c r="AC201" i="6"/>
  <c r="AD201" i="6"/>
  <c r="AE201" i="6"/>
  <c r="AB26" i="6"/>
  <c r="AC26" i="6"/>
  <c r="AD26" i="6"/>
  <c r="AE26" i="6"/>
  <c r="AB265" i="6"/>
  <c r="AC265" i="6"/>
  <c r="AD265" i="6"/>
  <c r="AE265" i="6"/>
  <c r="AB122" i="6"/>
  <c r="AC122" i="6"/>
  <c r="AD122" i="6"/>
  <c r="AE122" i="6"/>
  <c r="AB128" i="6"/>
  <c r="AC128" i="6"/>
  <c r="AD128" i="6"/>
  <c r="AE128" i="6"/>
  <c r="AB241" i="6"/>
  <c r="AC241" i="6"/>
  <c r="AD241" i="6"/>
  <c r="AE241" i="6"/>
  <c r="AB242" i="6"/>
  <c r="AC242" i="6"/>
  <c r="AD242" i="6"/>
  <c r="AE242" i="6"/>
  <c r="AB243" i="6"/>
  <c r="AC243" i="6"/>
  <c r="AD243" i="6"/>
  <c r="AE243" i="6"/>
  <c r="AB135" i="6"/>
  <c r="AC135" i="6"/>
  <c r="AD135" i="6"/>
  <c r="AE135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8" i="6"/>
  <c r="AC178" i="6"/>
  <c r="AD178" i="6"/>
  <c r="AE178" i="6"/>
  <c r="AB78" i="6"/>
  <c r="AC78" i="6"/>
  <c r="AD78" i="6"/>
  <c r="AE78" i="6"/>
  <c r="AB32" i="6"/>
  <c r="AC32" i="6"/>
  <c r="AD32" i="6"/>
  <c r="AE32" i="6"/>
  <c r="AB191" i="6"/>
  <c r="AC191" i="6"/>
  <c r="AD191" i="6"/>
  <c r="AE191" i="6"/>
  <c r="AB137" i="6"/>
  <c r="AC137" i="6"/>
  <c r="AD137" i="6"/>
  <c r="AE137" i="6"/>
  <c r="AB138" i="6"/>
  <c r="AC138" i="6"/>
  <c r="AD138" i="6"/>
  <c r="AE138" i="6"/>
  <c r="AB139" i="6"/>
  <c r="AC139" i="6"/>
  <c r="AD139" i="6"/>
  <c r="AE139" i="6"/>
  <c r="AB244" i="6"/>
  <c r="AC244" i="6"/>
  <c r="AD244" i="6"/>
  <c r="AE244" i="6"/>
  <c r="AB245" i="6"/>
  <c r="AC245" i="6"/>
  <c r="AD245" i="6"/>
  <c r="AE245" i="6"/>
  <c r="AB246" i="6"/>
  <c r="AC246" i="6"/>
  <c r="AD246" i="6"/>
  <c r="AE246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7" i="6"/>
  <c r="AC247" i="6"/>
  <c r="AD247" i="6"/>
  <c r="AE247" i="6"/>
  <c r="AB248" i="6"/>
  <c r="AC248" i="6"/>
  <c r="AD248" i="6"/>
  <c r="AE248" i="6"/>
  <c r="AB288" i="6"/>
  <c r="AC288" i="6"/>
  <c r="AD288" i="6"/>
  <c r="AE288" i="6"/>
  <c r="AB289" i="6"/>
  <c r="AC289" i="6"/>
  <c r="AD289" i="6"/>
  <c r="AE289" i="6"/>
  <c r="AB34" i="6"/>
  <c r="AC34" i="6"/>
  <c r="AD34" i="6"/>
  <c r="AE34" i="6"/>
  <c r="AB179" i="6"/>
  <c r="AC179" i="6"/>
  <c r="AD179" i="6"/>
  <c r="AE179" i="6"/>
  <c r="AB155" i="6"/>
  <c r="AC155" i="6"/>
  <c r="AD155" i="6"/>
  <c r="AE155" i="6"/>
  <c r="AB249" i="6"/>
  <c r="AC249" i="6"/>
  <c r="AD249" i="6"/>
  <c r="AE249" i="6"/>
  <c r="AB278" i="6"/>
  <c r="AC278" i="6"/>
  <c r="AD278" i="6"/>
  <c r="AE278" i="6"/>
  <c r="AB250" i="6"/>
  <c r="AC250" i="6"/>
  <c r="AD250" i="6"/>
  <c r="AE250" i="6"/>
  <c r="AB80" i="6"/>
  <c r="AC80" i="6"/>
  <c r="AD80" i="6"/>
  <c r="AE80" i="6"/>
  <c r="AB251" i="6"/>
  <c r="AC251" i="6"/>
  <c r="AD251" i="6"/>
  <c r="AE251" i="6"/>
  <c r="AB81" i="6"/>
  <c r="AC81" i="6"/>
  <c r="AD81" i="6"/>
  <c r="AE81" i="6"/>
  <c r="AB266" i="6"/>
  <c r="AC266" i="6"/>
  <c r="AD266" i="6"/>
  <c r="AE266" i="6"/>
  <c r="AB163" i="6"/>
  <c r="AC163" i="6"/>
  <c r="AD163" i="6"/>
  <c r="AE163" i="6"/>
  <c r="AB290" i="6"/>
  <c r="AC290" i="6"/>
  <c r="AD290" i="6"/>
  <c r="AE290" i="6"/>
  <c r="AB146" i="6"/>
  <c r="AC146" i="6"/>
  <c r="AD146" i="6"/>
  <c r="AE146" i="6"/>
  <c r="AB59" i="6"/>
  <c r="AC59" i="6"/>
  <c r="AD59" i="6"/>
  <c r="AE59" i="6"/>
  <c r="AB217" i="6"/>
  <c r="AC217" i="6"/>
  <c r="AD217" i="6"/>
  <c r="AE217" i="6"/>
  <c r="AB218" i="6"/>
  <c r="AC218" i="6"/>
  <c r="AD218" i="6"/>
  <c r="AE218" i="6"/>
  <c r="AB219" i="6"/>
  <c r="AC219" i="6"/>
  <c r="AD219" i="6"/>
  <c r="AE219" i="6"/>
  <c r="AB202" i="6"/>
  <c r="AC202" i="6"/>
  <c r="AD202" i="6"/>
  <c r="AE202" i="6"/>
  <c r="AB220" i="6"/>
  <c r="AC220" i="6"/>
  <c r="AD220" i="6"/>
  <c r="AE220" i="6"/>
  <c r="AB129" i="6"/>
  <c r="AC129" i="6"/>
  <c r="AD129" i="6"/>
  <c r="AE129" i="6"/>
  <c r="AB147" i="6"/>
  <c r="AC147" i="6"/>
  <c r="AD147" i="6"/>
  <c r="AE147" i="6"/>
  <c r="AB148" i="6"/>
  <c r="AC148" i="6"/>
  <c r="AD148" i="6"/>
  <c r="AE148" i="6"/>
  <c r="AB180" i="6"/>
  <c r="AC180" i="6"/>
  <c r="AD180" i="6"/>
  <c r="AE180" i="6"/>
  <c r="AB156" i="6"/>
  <c r="AC156" i="6"/>
  <c r="AD156" i="6"/>
  <c r="AE156" i="6"/>
  <c r="AB221" i="6"/>
  <c r="AC221" i="6"/>
  <c r="AD221" i="6"/>
  <c r="AE221" i="6"/>
  <c r="AB203" i="6"/>
  <c r="AC203" i="6"/>
  <c r="AD203" i="6"/>
  <c r="AE203" i="6"/>
  <c r="AB222" i="6"/>
  <c r="AC222" i="6"/>
  <c r="AD222" i="6"/>
  <c r="AE222" i="6"/>
  <c r="AB223" i="6"/>
  <c r="AC223" i="6"/>
  <c r="AD223" i="6"/>
  <c r="AE223" i="6"/>
  <c r="AB204" i="6"/>
  <c r="AC204" i="6"/>
  <c r="AD204" i="6"/>
  <c r="AE204" i="6"/>
  <c r="AB224" i="6"/>
  <c r="AC224" i="6"/>
  <c r="AD224" i="6"/>
  <c r="AE224" i="6"/>
  <c r="AB225" i="6"/>
  <c r="AC225" i="6"/>
  <c r="AD225" i="6"/>
  <c r="AE225" i="6"/>
  <c r="AB226" i="6"/>
  <c r="AC226" i="6"/>
  <c r="AD226" i="6"/>
  <c r="AE226" i="6"/>
  <c r="AB149" i="6"/>
  <c r="AC149" i="6"/>
  <c r="AD149" i="6"/>
  <c r="AE149" i="6"/>
  <c r="AB150" i="6"/>
  <c r="AC150" i="6"/>
  <c r="AD150" i="6"/>
  <c r="AE150" i="6"/>
  <c r="AB151" i="6"/>
  <c r="AC151" i="6"/>
  <c r="AD151" i="6"/>
  <c r="AE151" i="6"/>
  <c r="AB82" i="6"/>
  <c r="AC82" i="6"/>
  <c r="AD82" i="6"/>
  <c r="AE82" i="6"/>
  <c r="AB187" i="6"/>
  <c r="AC187" i="6"/>
  <c r="AD187" i="6"/>
  <c r="AE187" i="6"/>
  <c r="AB188" i="6"/>
  <c r="AC188" i="6"/>
  <c r="AD188" i="6"/>
  <c r="AE188" i="6"/>
  <c r="AB189" i="6"/>
  <c r="AC189" i="6"/>
  <c r="AD189" i="6"/>
  <c r="AE189" i="6"/>
  <c r="AB153" i="6"/>
  <c r="AC153" i="6"/>
  <c r="AD153" i="6"/>
  <c r="AE153" i="6"/>
  <c r="AB157" i="6"/>
  <c r="AC157" i="6"/>
  <c r="AD157" i="6"/>
  <c r="AE157" i="6"/>
  <c r="AB164" i="6"/>
  <c r="AC164" i="6"/>
  <c r="AD164" i="6"/>
  <c r="AE164" i="6"/>
  <c r="AB170" i="6"/>
  <c r="AC170" i="6"/>
  <c r="AD170" i="6"/>
  <c r="AE170" i="6"/>
  <c r="AB171" i="6"/>
  <c r="AC171" i="6"/>
  <c r="AD171" i="6"/>
  <c r="AE171" i="6"/>
  <c r="AB181" i="6"/>
  <c r="AC181" i="6"/>
  <c r="AD181" i="6"/>
  <c r="AE181" i="6"/>
  <c r="AB192" i="6"/>
  <c r="AC192" i="6"/>
  <c r="AD192" i="6"/>
  <c r="AE192" i="6"/>
  <c r="AB190" i="6"/>
  <c r="AC190" i="6"/>
  <c r="AD190" i="6"/>
  <c r="AE190" i="6"/>
  <c r="AB193" i="6"/>
  <c r="AC193" i="6"/>
  <c r="AD193" i="6"/>
  <c r="AE193" i="6"/>
  <c r="AB196" i="6"/>
  <c r="AC196" i="6"/>
  <c r="AD196" i="6"/>
  <c r="AE196" i="6"/>
  <c r="AB194" i="6"/>
  <c r="AC194" i="6"/>
  <c r="AD194" i="6"/>
  <c r="AE194" i="6"/>
  <c r="AB195" i="6"/>
  <c r="AC195" i="6"/>
  <c r="AD195" i="6"/>
  <c r="AE195" i="6"/>
  <c r="AB205" i="6"/>
  <c r="AC205" i="6"/>
  <c r="AD205" i="6"/>
  <c r="AE205" i="6"/>
  <c r="AB227" i="6"/>
  <c r="AC227" i="6"/>
  <c r="AD227" i="6"/>
  <c r="AE227" i="6"/>
  <c r="AB165" i="6"/>
  <c r="AC165" i="6"/>
  <c r="AD165" i="6"/>
  <c r="AE165" i="6"/>
  <c r="AB252" i="6"/>
  <c r="AC252" i="6"/>
  <c r="AD252" i="6"/>
  <c r="AE252" i="6"/>
  <c r="AB206" i="6"/>
  <c r="AC206" i="6"/>
  <c r="AD206" i="6"/>
  <c r="AE206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56" i="6"/>
  <c r="AC256" i="6"/>
  <c r="AD256" i="6"/>
  <c r="AE256" i="6"/>
  <c r="AB279" i="6"/>
  <c r="AC279" i="6"/>
  <c r="AD279" i="6"/>
  <c r="AE279" i="6"/>
  <c r="AB257" i="6"/>
  <c r="AC257" i="6"/>
  <c r="AD257" i="6"/>
  <c r="AE257" i="6"/>
  <c r="AB258" i="6"/>
  <c r="AC258" i="6"/>
  <c r="AD258" i="6"/>
  <c r="AE258" i="6"/>
  <c r="AB267" i="6"/>
  <c r="AC267" i="6"/>
  <c r="AD267" i="6"/>
  <c r="AE267" i="6"/>
  <c r="AB268" i="6"/>
  <c r="AC268" i="6"/>
  <c r="AD268" i="6"/>
  <c r="AE268" i="6"/>
  <c r="AB269" i="6"/>
  <c r="AC269" i="6"/>
  <c r="AD269" i="6"/>
  <c r="AE26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83" i="6"/>
  <c r="AC283" i="6"/>
  <c r="AD283" i="6"/>
  <c r="AE283" i="6"/>
  <c r="AB228" i="6"/>
  <c r="AC228" i="6"/>
  <c r="AD228" i="6"/>
  <c r="AE228" i="6"/>
  <c r="AB158" i="6"/>
  <c r="AC158" i="6"/>
  <c r="AD158" i="6"/>
  <c r="AE158" i="6"/>
  <c r="AB35" i="6"/>
  <c r="AC35" i="6"/>
  <c r="AD35" i="6"/>
  <c r="AE35" i="6"/>
  <c r="AB152" i="6"/>
  <c r="AC152" i="6"/>
  <c r="AD152" i="6"/>
  <c r="AE152" i="6"/>
  <c r="AB291" i="6"/>
  <c r="AC291" i="6"/>
  <c r="AD291" i="6"/>
  <c r="AE291" i="6"/>
  <c r="AB270" i="6"/>
  <c r="AC270" i="6"/>
  <c r="AD270" i="6"/>
  <c r="AE270" i="6"/>
  <c r="AB271" i="6"/>
  <c r="AC271" i="6"/>
  <c r="AD271" i="6"/>
  <c r="AE271" i="6"/>
  <c r="AB123" i="6"/>
  <c r="AC123" i="6"/>
  <c r="AD123" i="6"/>
  <c r="AE123" i="6"/>
  <c r="AB229" i="6"/>
  <c r="AC229" i="6"/>
  <c r="AD229" i="6"/>
  <c r="AE229" i="6"/>
  <c r="AB230" i="6"/>
  <c r="AC230" i="6"/>
  <c r="AD230" i="6"/>
  <c r="AE230" i="6"/>
  <c r="AB231" i="6"/>
  <c r="AC231" i="6"/>
  <c r="AD231" i="6"/>
  <c r="AE231" i="6"/>
  <c r="AB259" i="6"/>
  <c r="AC259" i="6"/>
  <c r="AD259" i="6"/>
  <c r="AE259" i="6"/>
  <c r="AB272" i="6"/>
  <c r="AC272" i="6"/>
  <c r="AD272" i="6"/>
  <c r="AE272" i="6"/>
  <c r="AB232" i="6"/>
  <c r="AC232" i="6"/>
  <c r="AD232" i="6"/>
  <c r="AE232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296" i="6"/>
  <c r="AC296" i="6"/>
  <c r="AD296" i="6"/>
  <c r="AE296" i="6"/>
  <c r="AB172" i="6"/>
  <c r="AC172" i="6"/>
  <c r="AD172" i="6"/>
  <c r="AE172" i="6"/>
  <c r="AB173" i="6"/>
  <c r="AC173" i="6"/>
  <c r="AD173" i="6"/>
  <c r="AE173" i="6"/>
  <c r="AB182" i="6"/>
  <c r="AC182" i="6"/>
  <c r="AD182" i="6"/>
  <c r="AE182" i="6"/>
  <c r="AB159" i="6"/>
  <c r="AC159" i="6"/>
  <c r="AD159" i="6"/>
  <c r="AE159" i="6"/>
  <c r="AB174" i="6"/>
  <c r="AC174" i="6"/>
  <c r="AD174" i="6"/>
  <c r="AE174" i="6"/>
  <c r="AB260" i="6"/>
  <c r="AC260" i="6"/>
  <c r="AD260" i="6"/>
  <c r="AE260" i="6"/>
  <c r="AB297" i="6"/>
  <c r="AC297" i="6"/>
  <c r="AD297" i="6"/>
  <c r="AE297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3" i="6"/>
  <c r="AC183" i="6"/>
  <c r="AD183" i="6"/>
  <c r="AE183" i="6"/>
  <c r="AB36" i="6"/>
  <c r="AC36" i="6"/>
  <c r="AD36" i="6"/>
  <c r="AE36" i="6"/>
  <c r="AB184" i="6"/>
  <c r="AC184" i="6"/>
  <c r="AD184" i="6"/>
  <c r="AE184" i="6"/>
  <c r="AB299" i="6"/>
  <c r="AC299" i="6"/>
  <c r="AD299" i="6"/>
  <c r="AE299" i="6"/>
  <c r="AB175" i="6"/>
  <c r="AC175" i="6"/>
  <c r="AD175" i="6"/>
  <c r="AE175" i="6"/>
  <c r="AB185" i="6"/>
  <c r="AC185" i="6"/>
  <c r="AD185" i="6"/>
  <c r="AE185" i="6"/>
  <c r="AB186" i="6"/>
  <c r="AC186" i="6"/>
  <c r="AD186" i="6"/>
  <c r="AE186" i="6"/>
  <c r="AB102" i="6"/>
  <c r="AC102" i="6"/>
  <c r="AD102" i="6"/>
  <c r="AE102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46" i="6"/>
  <c r="AC346" i="6"/>
  <c r="AD346" i="6"/>
  <c r="AE346" i="6"/>
  <c r="AB351" i="6"/>
  <c r="AC351" i="6"/>
  <c r="AD351" i="6"/>
  <c r="AE351" i="6"/>
  <c r="AB347" i="6"/>
  <c r="AC347" i="6"/>
  <c r="AD347" i="6"/>
  <c r="AE347" i="6"/>
  <c r="AB348" i="6"/>
  <c r="AC348" i="6"/>
  <c r="AD348" i="6"/>
  <c r="AE348" i="6"/>
  <c r="AB352" i="6"/>
  <c r="AC352" i="6"/>
  <c r="AD352" i="6"/>
  <c r="AE352" i="6"/>
  <c r="AB349" i="6"/>
  <c r="AC349" i="6"/>
  <c r="AD349" i="6"/>
  <c r="AE349" i="6"/>
  <c r="AB350" i="6"/>
  <c r="AC350" i="6"/>
  <c r="AD350" i="6"/>
  <c r="AE350" i="6"/>
  <c r="AB366" i="6"/>
  <c r="AC366" i="6"/>
  <c r="AD366" i="6"/>
  <c r="AE366" i="6"/>
  <c r="AB353" i="6"/>
  <c r="AC353" i="6"/>
  <c r="AD353" i="6"/>
  <c r="AE353" i="6"/>
  <c r="AB367" i="6"/>
  <c r="AC367" i="6"/>
  <c r="AD367" i="6"/>
  <c r="AE367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5" i="6"/>
  <c r="AC385" i="6"/>
  <c r="AD385" i="6"/>
  <c r="AE385" i="6"/>
  <c r="AB389" i="6"/>
  <c r="AC389" i="6"/>
  <c r="AD389" i="6"/>
  <c r="AE389" i="6"/>
  <c r="AB392" i="6"/>
  <c r="AC392" i="6"/>
  <c r="AD392" i="6"/>
  <c r="AE392" i="6"/>
  <c r="AB388" i="6"/>
  <c r="AC388" i="6"/>
  <c r="AD388" i="6"/>
  <c r="AE388" i="6"/>
  <c r="AB391" i="6"/>
  <c r="AC391" i="6"/>
  <c r="AD391" i="6"/>
  <c r="AE391" i="6"/>
  <c r="AB390" i="6"/>
  <c r="AC390" i="6"/>
  <c r="AD390" i="6"/>
  <c r="AE390" i="6"/>
  <c r="AB416" i="6"/>
  <c r="AC416" i="6"/>
  <c r="AD416" i="6"/>
  <c r="AE416" i="6"/>
  <c r="AB394" i="6"/>
  <c r="AC394" i="6"/>
  <c r="AD394" i="6"/>
  <c r="AE394" i="6"/>
  <c r="AB415" i="6"/>
  <c r="AC415" i="6"/>
  <c r="AD415" i="6"/>
  <c r="AE415" i="6"/>
  <c r="AB414" i="6"/>
  <c r="AC414" i="6"/>
  <c r="AD414" i="6"/>
  <c r="AE414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96" i="6"/>
  <c r="AC396" i="6"/>
  <c r="AD396" i="6"/>
  <c r="AE396" i="6"/>
  <c r="AB412" i="6"/>
  <c r="AC412" i="6"/>
  <c r="AD412" i="6"/>
  <c r="AE412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393" i="6"/>
  <c r="AC393" i="6"/>
  <c r="AD393" i="6"/>
  <c r="AE393" i="6"/>
  <c r="AB413" i="6"/>
  <c r="AC413" i="6"/>
  <c r="AD413" i="6"/>
  <c r="AE413" i="6"/>
  <c r="AB408" i="6"/>
  <c r="AC408" i="6"/>
  <c r="AD408" i="6"/>
  <c r="AE408" i="6"/>
  <c r="AB395" i="6"/>
  <c r="AC395" i="6"/>
  <c r="AD395" i="6"/>
  <c r="AE395" i="6"/>
  <c r="AB417" i="6"/>
  <c r="AC417" i="6"/>
  <c r="AD417" i="6"/>
  <c r="AE417" i="6"/>
  <c r="AB409" i="6"/>
  <c r="AC409" i="6"/>
  <c r="AD409" i="6"/>
  <c r="AE409" i="6"/>
  <c r="AB410" i="6"/>
  <c r="AC410" i="6"/>
  <c r="AD410" i="6"/>
  <c r="AE410" i="6"/>
  <c r="AB411" i="6"/>
  <c r="AC411" i="6"/>
  <c r="AD411" i="6"/>
  <c r="AE411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4" i="6"/>
  <c r="W284" i="6"/>
  <c r="X284" i="6"/>
  <c r="Y284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7" i="6"/>
  <c r="W207" i="6"/>
  <c r="X207" i="6"/>
  <c r="Y207" i="6"/>
  <c r="V160" i="6"/>
  <c r="W160" i="6"/>
  <c r="X160" i="6"/>
  <c r="Y160" i="6"/>
  <c r="V70" i="6"/>
  <c r="W70" i="6"/>
  <c r="X70" i="6"/>
  <c r="Y70" i="6"/>
  <c r="V106" i="6"/>
  <c r="W106" i="6"/>
  <c r="X106" i="6"/>
  <c r="Y106" i="6"/>
  <c r="V208" i="6"/>
  <c r="W208" i="6"/>
  <c r="X208" i="6"/>
  <c r="Y208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3" i="6"/>
  <c r="W233" i="6"/>
  <c r="X233" i="6"/>
  <c r="Y233" i="6"/>
  <c r="V234" i="6"/>
  <c r="W234" i="6"/>
  <c r="X234" i="6"/>
  <c r="Y234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30" i="6"/>
  <c r="W130" i="6"/>
  <c r="X130" i="6"/>
  <c r="Y130" i="6"/>
  <c r="V131" i="6"/>
  <c r="W131" i="6"/>
  <c r="X131" i="6"/>
  <c r="Y131" i="6"/>
  <c r="V273" i="6"/>
  <c r="W273" i="6"/>
  <c r="X273" i="6"/>
  <c r="Y273" i="6"/>
  <c r="V161" i="6"/>
  <c r="W161" i="6"/>
  <c r="X161" i="6"/>
  <c r="Y161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209" i="6"/>
  <c r="W209" i="6"/>
  <c r="X209" i="6"/>
  <c r="Y209" i="6"/>
  <c r="V142" i="6"/>
  <c r="W142" i="6"/>
  <c r="X142" i="6"/>
  <c r="Y142" i="6"/>
  <c r="V169" i="6"/>
  <c r="W169" i="6"/>
  <c r="X169" i="6"/>
  <c r="Y169" i="6"/>
  <c r="V56" i="6"/>
  <c r="W56" i="6"/>
  <c r="X56" i="6"/>
  <c r="Y56" i="6"/>
  <c r="V285" i="6"/>
  <c r="W285" i="6"/>
  <c r="X285" i="6"/>
  <c r="Y285" i="6"/>
  <c r="V235" i="6"/>
  <c r="W235" i="6"/>
  <c r="X235" i="6"/>
  <c r="Y235" i="6"/>
  <c r="V197" i="6"/>
  <c r="W197" i="6"/>
  <c r="X197" i="6"/>
  <c r="Y197" i="6"/>
  <c r="V143" i="6"/>
  <c r="W143" i="6"/>
  <c r="X143" i="6"/>
  <c r="Y143" i="6"/>
  <c r="V176" i="6"/>
  <c r="W176" i="6"/>
  <c r="X176" i="6"/>
  <c r="Y176" i="6"/>
  <c r="V177" i="6"/>
  <c r="W177" i="6"/>
  <c r="X177" i="6"/>
  <c r="Y177" i="6"/>
  <c r="V132" i="6"/>
  <c r="W132" i="6"/>
  <c r="X132" i="6"/>
  <c r="Y132" i="6"/>
  <c r="V12" i="6"/>
  <c r="W12" i="6"/>
  <c r="X12" i="6"/>
  <c r="Y12" i="6"/>
  <c r="V298" i="6"/>
  <c r="W298" i="6"/>
  <c r="X298" i="6"/>
  <c r="Y298" i="6"/>
  <c r="V198" i="6"/>
  <c r="W198" i="6"/>
  <c r="X198" i="6"/>
  <c r="Y198" i="6"/>
  <c r="V210" i="6"/>
  <c r="W210" i="6"/>
  <c r="X210" i="6"/>
  <c r="Y210" i="6"/>
  <c r="V144" i="6"/>
  <c r="W144" i="6"/>
  <c r="X144" i="6"/>
  <c r="Y144" i="6"/>
  <c r="V211" i="6"/>
  <c r="W211" i="6"/>
  <c r="X211" i="6"/>
  <c r="Y211" i="6"/>
  <c r="V133" i="6"/>
  <c r="W133" i="6"/>
  <c r="X133" i="6"/>
  <c r="Y133" i="6"/>
  <c r="V13" i="6"/>
  <c r="W13" i="6"/>
  <c r="X13" i="6"/>
  <c r="Y13" i="6"/>
  <c r="V46" i="6"/>
  <c r="W46" i="6"/>
  <c r="X46" i="6"/>
  <c r="Y46" i="6"/>
  <c r="V262" i="6"/>
  <c r="W262" i="6"/>
  <c r="X262" i="6"/>
  <c r="Y262" i="6"/>
  <c r="V24" i="6"/>
  <c r="W24" i="6"/>
  <c r="X24" i="6"/>
  <c r="Y24" i="6"/>
  <c r="V236" i="6"/>
  <c r="W236" i="6"/>
  <c r="X236" i="6"/>
  <c r="Y236" i="6"/>
  <c r="V199" i="6"/>
  <c r="W199" i="6"/>
  <c r="X199" i="6"/>
  <c r="Y199" i="6"/>
  <c r="V72" i="6"/>
  <c r="W72" i="6"/>
  <c r="X72" i="6"/>
  <c r="Y72" i="6"/>
  <c r="V263" i="6"/>
  <c r="W263" i="6"/>
  <c r="X263" i="6"/>
  <c r="Y263" i="6"/>
  <c r="V38" i="6"/>
  <c r="W38" i="6"/>
  <c r="X38" i="6"/>
  <c r="Y38" i="6"/>
  <c r="V73" i="6"/>
  <c r="W73" i="6"/>
  <c r="X73" i="6"/>
  <c r="Y73" i="6"/>
  <c r="V74" i="6"/>
  <c r="W74" i="6"/>
  <c r="X74" i="6"/>
  <c r="Y74" i="6"/>
  <c r="V286" i="6"/>
  <c r="W286" i="6"/>
  <c r="X286" i="6"/>
  <c r="Y286" i="6"/>
  <c r="V75" i="6"/>
  <c r="W75" i="6"/>
  <c r="X75" i="6"/>
  <c r="Y75" i="6"/>
  <c r="V237" i="6"/>
  <c r="W237" i="6"/>
  <c r="X237" i="6"/>
  <c r="Y237" i="6"/>
  <c r="V238" i="6"/>
  <c r="W238" i="6"/>
  <c r="X238" i="6"/>
  <c r="Y238" i="6"/>
  <c r="V212" i="6"/>
  <c r="W212" i="6"/>
  <c r="X212" i="6"/>
  <c r="Y212" i="6"/>
  <c r="V274" i="6"/>
  <c r="W274" i="6"/>
  <c r="X274" i="6"/>
  <c r="Y274" i="6"/>
  <c r="V213" i="6"/>
  <c r="W213" i="6"/>
  <c r="X213" i="6"/>
  <c r="Y213" i="6"/>
  <c r="V134" i="6"/>
  <c r="W134" i="6"/>
  <c r="X134" i="6"/>
  <c r="Y134" i="6"/>
  <c r="V76" i="6"/>
  <c r="W76" i="6"/>
  <c r="X76" i="6"/>
  <c r="Y76" i="6"/>
  <c r="V214" i="6"/>
  <c r="W214" i="6"/>
  <c r="X214" i="6"/>
  <c r="Y214" i="6"/>
  <c r="V25" i="6"/>
  <c r="W25" i="6"/>
  <c r="X25" i="6"/>
  <c r="Y25" i="6"/>
  <c r="V136" i="6"/>
  <c r="W136" i="6"/>
  <c r="X136" i="6"/>
  <c r="Y136" i="6"/>
  <c r="V239" i="6"/>
  <c r="W239" i="6"/>
  <c r="X239" i="6"/>
  <c r="Y239" i="6"/>
  <c r="V162" i="6"/>
  <c r="W162" i="6"/>
  <c r="X162" i="6"/>
  <c r="Y162" i="6"/>
  <c r="V77" i="6"/>
  <c r="W77" i="6"/>
  <c r="X77" i="6"/>
  <c r="Y77" i="6"/>
  <c r="V264" i="6"/>
  <c r="W264" i="6"/>
  <c r="X264" i="6"/>
  <c r="Y264" i="6"/>
  <c r="V275" i="6"/>
  <c r="W275" i="6"/>
  <c r="X275" i="6"/>
  <c r="Y275" i="6"/>
  <c r="V127" i="6"/>
  <c r="W127" i="6"/>
  <c r="X127" i="6"/>
  <c r="Y127" i="6"/>
  <c r="V145" i="6"/>
  <c r="W145" i="6"/>
  <c r="X145" i="6"/>
  <c r="Y145" i="6"/>
  <c r="V240" i="6"/>
  <c r="W240" i="6"/>
  <c r="X240" i="6"/>
  <c r="Y240" i="6"/>
  <c r="V276" i="6"/>
  <c r="W276" i="6"/>
  <c r="X276" i="6"/>
  <c r="Y276" i="6"/>
  <c r="V57" i="6"/>
  <c r="W57" i="6"/>
  <c r="X57" i="6"/>
  <c r="Y57" i="6"/>
  <c r="V215" i="6"/>
  <c r="W215" i="6"/>
  <c r="X215" i="6"/>
  <c r="Y215" i="6"/>
  <c r="V277" i="6"/>
  <c r="W277" i="6"/>
  <c r="X277" i="6"/>
  <c r="Y277" i="6"/>
  <c r="V287" i="6"/>
  <c r="W287" i="6"/>
  <c r="X287" i="6"/>
  <c r="Y287" i="6"/>
  <c r="V119" i="6"/>
  <c r="W119" i="6"/>
  <c r="X119" i="6"/>
  <c r="Y119" i="6"/>
  <c r="V120" i="6"/>
  <c r="W120" i="6"/>
  <c r="X120" i="6"/>
  <c r="Y120" i="6"/>
  <c r="V14" i="6"/>
  <c r="W14" i="6"/>
  <c r="X14" i="6"/>
  <c r="Y14" i="6"/>
  <c r="V121" i="6"/>
  <c r="W121" i="6"/>
  <c r="X121" i="6"/>
  <c r="Y121" i="6"/>
  <c r="V200" i="6"/>
  <c r="W200" i="6"/>
  <c r="X200" i="6"/>
  <c r="Y200" i="6"/>
  <c r="V154" i="6"/>
  <c r="W154" i="6"/>
  <c r="X154" i="6"/>
  <c r="Y154" i="6"/>
  <c r="V216" i="6"/>
  <c r="W216" i="6"/>
  <c r="X216" i="6"/>
  <c r="Y216" i="6"/>
  <c r="V201" i="6"/>
  <c r="W201" i="6"/>
  <c r="X201" i="6"/>
  <c r="Y201" i="6"/>
  <c r="V26" i="6"/>
  <c r="W26" i="6"/>
  <c r="X26" i="6"/>
  <c r="Y26" i="6"/>
  <c r="V265" i="6"/>
  <c r="W265" i="6"/>
  <c r="X265" i="6"/>
  <c r="Y265" i="6"/>
  <c r="V122" i="6"/>
  <c r="W122" i="6"/>
  <c r="X122" i="6"/>
  <c r="Y122" i="6"/>
  <c r="V128" i="6"/>
  <c r="W128" i="6"/>
  <c r="X128" i="6"/>
  <c r="Y128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135" i="6"/>
  <c r="W135" i="6"/>
  <c r="X135" i="6"/>
  <c r="Y135" i="6"/>
  <c r="V58" i="6"/>
  <c r="W58" i="6"/>
  <c r="X58" i="6"/>
  <c r="Y58" i="6"/>
  <c r="V39" i="6"/>
  <c r="W39" i="6"/>
  <c r="X39" i="6"/>
  <c r="Y39" i="6"/>
  <c r="V44" i="6"/>
  <c r="W44" i="6"/>
  <c r="X44" i="6"/>
  <c r="Y44" i="6"/>
  <c r="V178" i="6"/>
  <c r="W178" i="6"/>
  <c r="X178" i="6"/>
  <c r="Y178" i="6"/>
  <c r="V78" i="6"/>
  <c r="W78" i="6"/>
  <c r="X78" i="6"/>
  <c r="Y78" i="6"/>
  <c r="V32" i="6"/>
  <c r="W32" i="6"/>
  <c r="X32" i="6"/>
  <c r="Y32" i="6"/>
  <c r="V191" i="6"/>
  <c r="W191" i="6"/>
  <c r="X191" i="6"/>
  <c r="Y191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33" i="6"/>
  <c r="W33" i="6"/>
  <c r="X33" i="6"/>
  <c r="Y33" i="6"/>
  <c r="V79" i="6"/>
  <c r="W79" i="6"/>
  <c r="X79" i="6"/>
  <c r="Y79" i="6"/>
  <c r="V113" i="6"/>
  <c r="W113" i="6"/>
  <c r="X113" i="6"/>
  <c r="Y113" i="6"/>
  <c r="V247" i="6"/>
  <c r="W247" i="6"/>
  <c r="X247" i="6"/>
  <c r="Y247" i="6"/>
  <c r="V248" i="6"/>
  <c r="W248" i="6"/>
  <c r="X248" i="6"/>
  <c r="Y248" i="6"/>
  <c r="V288" i="6"/>
  <c r="W288" i="6"/>
  <c r="X288" i="6"/>
  <c r="Y288" i="6"/>
  <c r="V289" i="6"/>
  <c r="W289" i="6"/>
  <c r="X289" i="6"/>
  <c r="Y289" i="6"/>
  <c r="V34" i="6"/>
  <c r="W34" i="6"/>
  <c r="X34" i="6"/>
  <c r="Y34" i="6"/>
  <c r="V179" i="6"/>
  <c r="W179" i="6"/>
  <c r="X179" i="6"/>
  <c r="Y179" i="6"/>
  <c r="V155" i="6"/>
  <c r="W155" i="6"/>
  <c r="X155" i="6"/>
  <c r="Y155" i="6"/>
  <c r="V249" i="6"/>
  <c r="W249" i="6"/>
  <c r="X249" i="6"/>
  <c r="Y249" i="6"/>
  <c r="V278" i="6"/>
  <c r="W278" i="6"/>
  <c r="X278" i="6"/>
  <c r="Y278" i="6"/>
  <c r="V250" i="6"/>
  <c r="W250" i="6"/>
  <c r="X250" i="6"/>
  <c r="Y250" i="6"/>
  <c r="V80" i="6"/>
  <c r="W80" i="6"/>
  <c r="X80" i="6"/>
  <c r="Y80" i="6"/>
  <c r="V251" i="6"/>
  <c r="W251" i="6"/>
  <c r="X251" i="6"/>
  <c r="Y251" i="6"/>
  <c r="V81" i="6"/>
  <c r="W81" i="6"/>
  <c r="X81" i="6"/>
  <c r="Y81" i="6"/>
  <c r="V266" i="6"/>
  <c r="W266" i="6"/>
  <c r="X266" i="6"/>
  <c r="Y266" i="6"/>
  <c r="V163" i="6"/>
  <c r="W163" i="6"/>
  <c r="X163" i="6"/>
  <c r="Y163" i="6"/>
  <c r="V290" i="6"/>
  <c r="W290" i="6"/>
  <c r="X290" i="6"/>
  <c r="Y290" i="6"/>
  <c r="V146" i="6"/>
  <c r="W146" i="6"/>
  <c r="X146" i="6"/>
  <c r="Y146" i="6"/>
  <c r="V59" i="6"/>
  <c r="W59" i="6"/>
  <c r="X59" i="6"/>
  <c r="Y59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02" i="6"/>
  <c r="W202" i="6"/>
  <c r="X202" i="6"/>
  <c r="Y202" i="6"/>
  <c r="V220" i="6"/>
  <c r="W220" i="6"/>
  <c r="X220" i="6"/>
  <c r="Y220" i="6"/>
  <c r="V129" i="6"/>
  <c r="W129" i="6"/>
  <c r="X129" i="6"/>
  <c r="Y129" i="6"/>
  <c r="V147" i="6"/>
  <c r="W147" i="6"/>
  <c r="X147" i="6"/>
  <c r="Y147" i="6"/>
  <c r="V148" i="6"/>
  <c r="W148" i="6"/>
  <c r="X148" i="6"/>
  <c r="Y148" i="6"/>
  <c r="V180" i="6"/>
  <c r="W180" i="6"/>
  <c r="X180" i="6"/>
  <c r="Y180" i="6"/>
  <c r="V156" i="6"/>
  <c r="W156" i="6"/>
  <c r="X156" i="6"/>
  <c r="Y156" i="6"/>
  <c r="V221" i="6"/>
  <c r="W221" i="6"/>
  <c r="X221" i="6"/>
  <c r="Y221" i="6"/>
  <c r="V203" i="6"/>
  <c r="W203" i="6"/>
  <c r="X203" i="6"/>
  <c r="Y203" i="6"/>
  <c r="V222" i="6"/>
  <c r="W222" i="6"/>
  <c r="X222" i="6"/>
  <c r="Y222" i="6"/>
  <c r="V223" i="6"/>
  <c r="W223" i="6"/>
  <c r="X223" i="6"/>
  <c r="Y223" i="6"/>
  <c r="V204" i="6"/>
  <c r="W204" i="6"/>
  <c r="X204" i="6"/>
  <c r="Y204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82" i="6"/>
  <c r="W82" i="6"/>
  <c r="X82" i="6"/>
  <c r="Y82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53" i="6"/>
  <c r="W153" i="6"/>
  <c r="X153" i="6"/>
  <c r="Y153" i="6"/>
  <c r="V157" i="6"/>
  <c r="W157" i="6"/>
  <c r="X157" i="6"/>
  <c r="Y157" i="6"/>
  <c r="V164" i="6"/>
  <c r="W164" i="6"/>
  <c r="X164" i="6"/>
  <c r="Y164" i="6"/>
  <c r="V170" i="6"/>
  <c r="W170" i="6"/>
  <c r="X170" i="6"/>
  <c r="Y170" i="6"/>
  <c r="V171" i="6"/>
  <c r="W171" i="6"/>
  <c r="X171" i="6"/>
  <c r="Y171" i="6"/>
  <c r="V181" i="6"/>
  <c r="W181" i="6"/>
  <c r="X181" i="6"/>
  <c r="Y181" i="6"/>
  <c r="V192" i="6"/>
  <c r="W192" i="6"/>
  <c r="X192" i="6"/>
  <c r="Y192" i="6"/>
  <c r="V190" i="6"/>
  <c r="W190" i="6"/>
  <c r="X190" i="6"/>
  <c r="Y190" i="6"/>
  <c r="V193" i="6"/>
  <c r="W193" i="6"/>
  <c r="X193" i="6"/>
  <c r="Y193" i="6"/>
  <c r="V196" i="6"/>
  <c r="W196" i="6"/>
  <c r="X196" i="6"/>
  <c r="Y196" i="6"/>
  <c r="V194" i="6"/>
  <c r="W194" i="6"/>
  <c r="X194" i="6"/>
  <c r="Y194" i="6"/>
  <c r="V195" i="6"/>
  <c r="W195" i="6"/>
  <c r="X195" i="6"/>
  <c r="Y195" i="6"/>
  <c r="V205" i="6"/>
  <c r="W205" i="6"/>
  <c r="X205" i="6"/>
  <c r="Y205" i="6"/>
  <c r="V227" i="6"/>
  <c r="W227" i="6"/>
  <c r="X227" i="6"/>
  <c r="Y227" i="6"/>
  <c r="V165" i="6"/>
  <c r="W165" i="6"/>
  <c r="X165" i="6"/>
  <c r="Y165" i="6"/>
  <c r="V252" i="6"/>
  <c r="W252" i="6"/>
  <c r="X252" i="6"/>
  <c r="Y252" i="6"/>
  <c r="V206" i="6"/>
  <c r="W206" i="6"/>
  <c r="X206" i="6"/>
  <c r="Y206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79" i="6"/>
  <c r="W279" i="6"/>
  <c r="X279" i="6"/>
  <c r="Y279" i="6"/>
  <c r="V257" i="6"/>
  <c r="W257" i="6"/>
  <c r="X257" i="6"/>
  <c r="Y257" i="6"/>
  <c r="V258" i="6"/>
  <c r="W258" i="6"/>
  <c r="X258" i="6"/>
  <c r="Y258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28" i="6"/>
  <c r="W228" i="6"/>
  <c r="X228" i="6"/>
  <c r="Y228" i="6"/>
  <c r="V158" i="6"/>
  <c r="W158" i="6"/>
  <c r="X158" i="6"/>
  <c r="Y158" i="6"/>
  <c r="V35" i="6"/>
  <c r="W35" i="6"/>
  <c r="X35" i="6"/>
  <c r="Y35" i="6"/>
  <c r="V152" i="6"/>
  <c r="W152" i="6"/>
  <c r="X152" i="6"/>
  <c r="Y152" i="6"/>
  <c r="V291" i="6"/>
  <c r="W291" i="6"/>
  <c r="X291" i="6"/>
  <c r="Y291" i="6"/>
  <c r="V270" i="6"/>
  <c r="W270" i="6"/>
  <c r="X270" i="6"/>
  <c r="Y270" i="6"/>
  <c r="V271" i="6"/>
  <c r="W271" i="6"/>
  <c r="X271" i="6"/>
  <c r="Y271" i="6"/>
  <c r="V123" i="6"/>
  <c r="W123" i="6"/>
  <c r="X123" i="6"/>
  <c r="Y123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59" i="6"/>
  <c r="W259" i="6"/>
  <c r="X259" i="6"/>
  <c r="Y259" i="6"/>
  <c r="V272" i="6"/>
  <c r="W272" i="6"/>
  <c r="X272" i="6"/>
  <c r="Y272" i="6"/>
  <c r="V232" i="6"/>
  <c r="W232" i="6"/>
  <c r="X232" i="6"/>
  <c r="Y232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172" i="6"/>
  <c r="W172" i="6"/>
  <c r="X172" i="6"/>
  <c r="Y172" i="6"/>
  <c r="V173" i="6"/>
  <c r="W173" i="6"/>
  <c r="X173" i="6"/>
  <c r="Y173" i="6"/>
  <c r="V182" i="6"/>
  <c r="W182" i="6"/>
  <c r="X182" i="6"/>
  <c r="Y182" i="6"/>
  <c r="V159" i="6"/>
  <c r="W159" i="6"/>
  <c r="X159" i="6"/>
  <c r="Y159" i="6"/>
  <c r="V174" i="6"/>
  <c r="W174" i="6"/>
  <c r="X174" i="6"/>
  <c r="Y174" i="6"/>
  <c r="V260" i="6"/>
  <c r="W260" i="6"/>
  <c r="X260" i="6"/>
  <c r="Y260" i="6"/>
  <c r="V297" i="6"/>
  <c r="W297" i="6"/>
  <c r="X297" i="6"/>
  <c r="Y297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3" i="6"/>
  <c r="W183" i="6"/>
  <c r="X183" i="6"/>
  <c r="Y183" i="6"/>
  <c r="V36" i="6"/>
  <c r="W36" i="6"/>
  <c r="X36" i="6"/>
  <c r="Y36" i="6"/>
  <c r="V184" i="6"/>
  <c r="W184" i="6"/>
  <c r="X184" i="6"/>
  <c r="Y184" i="6"/>
  <c r="V299" i="6"/>
  <c r="W299" i="6"/>
  <c r="X299" i="6"/>
  <c r="Y299" i="6"/>
  <c r="V175" i="6"/>
  <c r="W175" i="6"/>
  <c r="X175" i="6"/>
  <c r="Y175" i="6"/>
  <c r="V185" i="6"/>
  <c r="W185" i="6"/>
  <c r="X185" i="6"/>
  <c r="Y185" i="6"/>
  <c r="V186" i="6"/>
  <c r="W186" i="6"/>
  <c r="X186" i="6"/>
  <c r="Y186" i="6"/>
  <c r="V102" i="6"/>
  <c r="W102" i="6"/>
  <c r="X102" i="6"/>
  <c r="Y102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51" i="6"/>
  <c r="W351" i="6"/>
  <c r="X351" i="6"/>
  <c r="Y351" i="6"/>
  <c r="V347" i="6"/>
  <c r="W347" i="6"/>
  <c r="X347" i="6"/>
  <c r="Y347" i="6"/>
  <c r="V348" i="6"/>
  <c r="W348" i="6"/>
  <c r="X348" i="6"/>
  <c r="Y348" i="6"/>
  <c r="V352" i="6"/>
  <c r="W352" i="6"/>
  <c r="X352" i="6"/>
  <c r="Y352" i="6"/>
  <c r="V349" i="6"/>
  <c r="W349" i="6"/>
  <c r="X349" i="6"/>
  <c r="Y349" i="6"/>
  <c r="V350" i="6"/>
  <c r="W350" i="6"/>
  <c r="X350" i="6"/>
  <c r="Y350" i="6"/>
  <c r="V366" i="6"/>
  <c r="W366" i="6"/>
  <c r="X366" i="6"/>
  <c r="Y366" i="6"/>
  <c r="V353" i="6"/>
  <c r="W353" i="6"/>
  <c r="X353" i="6"/>
  <c r="Y353" i="6"/>
  <c r="V367" i="6"/>
  <c r="W367" i="6"/>
  <c r="X367" i="6"/>
  <c r="Y367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89" i="6"/>
  <c r="W389" i="6"/>
  <c r="X389" i="6"/>
  <c r="Y389" i="6"/>
  <c r="V392" i="6"/>
  <c r="W392" i="6"/>
  <c r="X392" i="6"/>
  <c r="Y392" i="6"/>
  <c r="V388" i="6"/>
  <c r="W388" i="6"/>
  <c r="X388" i="6"/>
  <c r="Y388" i="6"/>
  <c r="V391" i="6"/>
  <c r="W391" i="6"/>
  <c r="X391" i="6"/>
  <c r="Y391" i="6"/>
  <c r="V390" i="6"/>
  <c r="W390" i="6"/>
  <c r="X390" i="6"/>
  <c r="Y390" i="6"/>
  <c r="V416" i="6"/>
  <c r="W416" i="6"/>
  <c r="X416" i="6"/>
  <c r="Y416" i="6"/>
  <c r="V394" i="6"/>
  <c r="W394" i="6"/>
  <c r="X394" i="6"/>
  <c r="Y394" i="6"/>
  <c r="V415" i="6"/>
  <c r="W415" i="6"/>
  <c r="X415" i="6"/>
  <c r="Y415" i="6"/>
  <c r="V414" i="6"/>
  <c r="W414" i="6"/>
  <c r="X414" i="6"/>
  <c r="Y414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96" i="6"/>
  <c r="W396" i="6"/>
  <c r="X396" i="6"/>
  <c r="Y396" i="6"/>
  <c r="V412" i="6"/>
  <c r="W412" i="6"/>
  <c r="X412" i="6"/>
  <c r="Y412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393" i="6"/>
  <c r="W393" i="6"/>
  <c r="X393" i="6"/>
  <c r="Y393" i="6"/>
  <c r="V413" i="6"/>
  <c r="W413" i="6"/>
  <c r="X413" i="6"/>
  <c r="Y413" i="6"/>
  <c r="V408" i="6"/>
  <c r="W408" i="6"/>
  <c r="X408" i="6"/>
  <c r="Y408" i="6"/>
  <c r="V395" i="6"/>
  <c r="W395" i="6"/>
  <c r="X395" i="6"/>
  <c r="Y395" i="6"/>
  <c r="V417" i="6"/>
  <c r="W417" i="6"/>
  <c r="X417" i="6"/>
  <c r="Y417" i="6"/>
  <c r="V409" i="6"/>
  <c r="W409" i="6"/>
  <c r="X409" i="6"/>
  <c r="Y409" i="6"/>
  <c r="V410" i="6"/>
  <c r="W410" i="6"/>
  <c r="X410" i="6"/>
  <c r="Y410" i="6"/>
  <c r="V411" i="6"/>
  <c r="W411" i="6"/>
  <c r="X411" i="6"/>
  <c r="Y411" i="6"/>
  <c r="C414" i="6"/>
  <c r="C156" i="6"/>
  <c r="C116" i="6"/>
  <c r="C115" i="6"/>
  <c r="C395" i="6"/>
  <c r="C330" i="6"/>
  <c r="C397" i="6"/>
  <c r="C405" i="6"/>
  <c r="C407" i="6"/>
  <c r="C135" i="6"/>
  <c r="C117" i="6"/>
  <c r="C290" i="6"/>
  <c r="C6" i="6"/>
  <c r="C34" i="6"/>
  <c r="C7" i="6"/>
  <c r="C394" i="6"/>
  <c r="C413" i="6"/>
  <c r="C176" i="6"/>
  <c r="C393" i="6"/>
  <c r="C284" i="6"/>
  <c r="C180" i="6"/>
  <c r="C225" i="6"/>
  <c r="C340" i="6"/>
  <c r="C130" i="6"/>
  <c r="C5" i="6"/>
  <c r="C4" i="6"/>
  <c r="C3" i="6"/>
  <c r="C345" i="6"/>
  <c r="C402" i="6"/>
  <c r="C410" i="6"/>
  <c r="C2" i="6"/>
  <c r="C114" i="6"/>
  <c r="C288" i="6"/>
  <c r="C338" i="6"/>
  <c r="C10" i="6"/>
  <c r="C377" i="6"/>
  <c r="C382" i="6"/>
  <c r="C375" i="6"/>
  <c r="C364" i="6"/>
  <c r="C417" i="6"/>
  <c r="C30" i="6"/>
  <c r="C154" i="6"/>
  <c r="C412" i="6"/>
  <c r="C40" i="6"/>
  <c r="C45" i="6"/>
  <c r="C396" i="6"/>
  <c r="C11" i="6"/>
  <c r="C201" i="6"/>
  <c r="C256" i="6"/>
  <c r="C363" i="6"/>
  <c r="C27" i="6"/>
  <c r="C416" i="6"/>
  <c r="C398" i="6"/>
  <c r="C400" i="6"/>
  <c r="C403" i="6"/>
  <c r="C404" i="6"/>
  <c r="C406" i="6"/>
  <c r="C411" i="6"/>
  <c r="C277" i="6"/>
  <c r="C289" i="6"/>
  <c r="C408" i="6"/>
  <c r="C275" i="6"/>
  <c r="C336" i="6"/>
  <c r="C29" i="6"/>
  <c r="C409" i="6"/>
  <c r="C26" i="6"/>
  <c r="C77" i="6"/>
  <c r="C86" i="6"/>
  <c r="C44" i="6"/>
  <c r="C19" i="6"/>
  <c r="C155" i="6"/>
  <c r="C39" i="6"/>
  <c r="C17" i="6"/>
  <c r="C136" i="6"/>
  <c r="C286" i="6"/>
  <c r="C287" i="6"/>
  <c r="C24" i="6"/>
  <c r="C257" i="6"/>
  <c r="C308" i="6"/>
  <c r="C401" i="6"/>
  <c r="C61" i="6"/>
  <c r="C297" i="6"/>
  <c r="C16" i="6"/>
  <c r="C18" i="6"/>
  <c r="C252" i="6"/>
  <c r="C12" i="6"/>
  <c r="C372" i="6"/>
  <c r="C415" i="6"/>
  <c r="C262" i="6"/>
  <c r="C389" i="6"/>
  <c r="C231" i="6"/>
  <c r="C365" i="6"/>
  <c r="C80" i="6"/>
  <c r="C239" i="6"/>
  <c r="C228" i="6"/>
  <c r="C132" i="6"/>
  <c r="C15" i="6"/>
  <c r="C25" i="6"/>
  <c r="C43" i="6"/>
  <c r="C20" i="6"/>
  <c r="C327" i="6"/>
  <c r="C399" i="6"/>
  <c r="C260" i="6"/>
  <c r="C68" i="6"/>
  <c r="C268" i="6"/>
  <c r="C307" i="6"/>
  <c r="C316" i="6"/>
  <c r="C306" i="6"/>
  <c r="C334" i="6"/>
  <c r="C161" i="6"/>
  <c r="C162" i="6"/>
  <c r="C236" i="6"/>
  <c r="C278" i="6"/>
  <c r="C35" i="6"/>
  <c r="C234" i="6"/>
  <c r="C379" i="6"/>
  <c r="C328" i="6"/>
  <c r="C233" i="6"/>
  <c r="C37" i="6"/>
  <c r="C190" i="6"/>
  <c r="C193" i="6"/>
  <c r="C222" i="6"/>
  <c r="C194" i="6"/>
  <c r="C195" i="6"/>
  <c r="C237" i="6"/>
  <c r="C179" i="6"/>
  <c r="C66" i="6"/>
  <c r="C283" i="6"/>
  <c r="C214" i="6"/>
  <c r="C152" i="6"/>
  <c r="C97" i="6"/>
  <c r="C142" i="6"/>
  <c r="C291" i="6"/>
  <c r="C269" i="6"/>
  <c r="C238" i="6"/>
  <c r="C249" i="6"/>
  <c r="C247" i="6"/>
  <c r="C192" i="6"/>
  <c r="C99" i="6"/>
  <c r="C215" i="6"/>
  <c r="C64" i="6"/>
  <c r="C392" i="6"/>
  <c r="C351" i="6"/>
  <c r="C133" i="6"/>
  <c r="C267" i="6"/>
  <c r="C213" i="6"/>
  <c r="C102" i="6"/>
  <c r="C106" i="6"/>
  <c r="C166" i="6"/>
  <c r="C186" i="6"/>
  <c r="C265" i="6"/>
  <c r="C100" i="6"/>
  <c r="C259" i="6"/>
  <c r="C160" i="6"/>
  <c r="C88" i="6"/>
  <c r="C42" i="6"/>
  <c r="C41" i="6"/>
  <c r="C122" i="6"/>
  <c r="C57" i="6"/>
  <c r="C70" i="6"/>
  <c r="C310" i="6"/>
  <c r="C177" i="6"/>
  <c r="C110" i="6"/>
  <c r="C111" i="6"/>
  <c r="C81" i="6"/>
  <c r="C189" i="6"/>
  <c r="C74" i="6"/>
  <c r="C253" i="6"/>
  <c r="C390" i="6"/>
  <c r="C73" i="6"/>
  <c r="C14" i="6"/>
  <c r="C391" i="6"/>
  <c r="C38" i="6"/>
  <c r="C251" i="6"/>
  <c r="C163" i="6"/>
  <c r="C108" i="6"/>
  <c r="C109" i="6"/>
  <c r="C107" i="6"/>
  <c r="C164" i="6"/>
  <c r="C318" i="6"/>
  <c r="C329" i="6"/>
  <c r="C272" i="6"/>
  <c r="C112" i="6"/>
  <c r="C181" i="6"/>
  <c r="C230" i="6"/>
  <c r="C229" i="6"/>
  <c r="C281" i="6"/>
  <c r="C266" i="6"/>
  <c r="C76" i="6"/>
  <c r="C90" i="6"/>
  <c r="C250" i="6"/>
  <c r="C103" i="6"/>
  <c r="C95" i="6"/>
  <c r="C280" i="6"/>
  <c r="C246" i="6"/>
  <c r="C258" i="6"/>
  <c r="C151" i="6"/>
  <c r="C137" i="6"/>
  <c r="C153" i="6"/>
  <c r="C157" i="6"/>
  <c r="C101" i="6"/>
  <c r="C56" i="6"/>
  <c r="C89" i="6"/>
  <c r="C91" i="6"/>
  <c r="C224" i="6"/>
  <c r="C369" i="6"/>
  <c r="C131" i="6"/>
  <c r="C59" i="6"/>
  <c r="C65" i="6"/>
  <c r="C93" i="6"/>
  <c r="C263" i="6"/>
  <c r="C96" i="6"/>
  <c r="C71" i="6"/>
  <c r="C217" i="6"/>
  <c r="C149" i="6"/>
  <c r="C313" i="6"/>
  <c r="C333" i="6"/>
  <c r="C285" i="6"/>
  <c r="C138" i="6"/>
  <c r="C75" i="6"/>
  <c r="C92" i="6"/>
  <c r="C264" i="6"/>
  <c r="C150" i="6"/>
  <c r="C317" i="6"/>
  <c r="C368" i="6"/>
  <c r="C271" i="6"/>
  <c r="C173" i="6"/>
  <c r="C204" i="6"/>
  <c r="C69" i="6"/>
  <c r="C125" i="6"/>
  <c r="C146" i="6"/>
  <c r="C94" i="6"/>
  <c r="C209" i="6"/>
  <c r="C124" i="6"/>
  <c r="C376" i="6"/>
  <c r="C326" i="6"/>
  <c r="C255" i="6"/>
  <c r="C244" i="6"/>
  <c r="C208" i="6"/>
  <c r="C274" i="6"/>
  <c r="C31" i="6"/>
  <c r="C139" i="6"/>
  <c r="C299" i="6"/>
  <c r="C174" i="6"/>
  <c r="C105" i="6"/>
  <c r="C206" i="6"/>
  <c r="C309" i="6"/>
  <c r="C98" i="6"/>
  <c r="C171" i="6"/>
  <c r="C170" i="6"/>
  <c r="C384" i="6"/>
  <c r="C53" i="6"/>
  <c r="C128" i="6"/>
  <c r="C84" i="6"/>
  <c r="C380" i="6"/>
  <c r="C60" i="6"/>
  <c r="C279" i="6"/>
  <c r="C248" i="6"/>
  <c r="C305" i="6"/>
  <c r="C312" i="6"/>
  <c r="C325" i="6"/>
  <c r="C79" i="6"/>
  <c r="C293" i="6"/>
  <c r="C223" i="6"/>
  <c r="C127" i="6"/>
  <c r="C134" i="6"/>
  <c r="C126" i="6"/>
  <c r="C33" i="6"/>
  <c r="C129" i="6"/>
  <c r="C273" i="6"/>
  <c r="C276" i="6"/>
  <c r="C241" i="6"/>
  <c r="C205" i="6"/>
  <c r="C172" i="6"/>
  <c r="C165" i="6"/>
  <c r="C331" i="6"/>
  <c r="C374" i="6"/>
  <c r="C370" i="6"/>
  <c r="C373" i="6"/>
  <c r="C143" i="6"/>
  <c r="C242" i="6"/>
  <c r="C67" i="6"/>
  <c r="C85" i="6"/>
  <c r="C200" i="6"/>
  <c r="C207" i="6"/>
  <c r="C113" i="6"/>
  <c r="C175" i="6"/>
  <c r="C304" i="6"/>
  <c r="C58" i="6"/>
  <c r="C254" i="6"/>
  <c r="C292" i="6"/>
  <c r="C147" i="6"/>
  <c r="C235" i="6"/>
  <c r="C87" i="6"/>
  <c r="C341" i="6"/>
  <c r="C184" i="6"/>
  <c r="C245" i="6"/>
  <c r="C178" i="6"/>
  <c r="C104" i="6"/>
  <c r="C240" i="6"/>
  <c r="C47" i="6"/>
  <c r="C159" i="6"/>
  <c r="C63" i="6"/>
  <c r="C36" i="6"/>
  <c r="C335" i="6"/>
  <c r="C168" i="6"/>
  <c r="C82" i="6"/>
  <c r="C295" i="6"/>
  <c r="C32" i="6"/>
  <c r="C120" i="6"/>
  <c r="C183" i="6"/>
  <c r="C83" i="6"/>
  <c r="C216" i="6"/>
  <c r="C359" i="6"/>
  <c r="C294" i="6"/>
  <c r="C227" i="6"/>
  <c r="C72" i="6"/>
  <c r="C198" i="6"/>
  <c r="C185" i="6"/>
  <c r="C212" i="6"/>
  <c r="C362" i="6"/>
  <c r="C62" i="6"/>
  <c r="C203" i="6"/>
  <c r="C148" i="6"/>
  <c r="C383" i="6"/>
  <c r="C158" i="6"/>
  <c r="C360" i="6"/>
  <c r="C339" i="6"/>
  <c r="C23" i="6"/>
  <c r="C202" i="6"/>
  <c r="C296" i="6"/>
  <c r="C21" i="6"/>
  <c r="C243" i="6"/>
  <c r="C187" i="6"/>
  <c r="C123" i="6"/>
  <c r="C167" i="6"/>
  <c r="C388" i="6"/>
  <c r="C8" i="6"/>
  <c r="C232" i="6"/>
  <c r="C51" i="6"/>
  <c r="C221" i="6"/>
  <c r="C22" i="6"/>
  <c r="C353" i="6"/>
  <c r="C219" i="6"/>
  <c r="C349" i="6"/>
  <c r="C311" i="6"/>
  <c r="C182" i="6"/>
  <c r="C197" i="6"/>
  <c r="C145" i="6"/>
  <c r="C119" i="6"/>
  <c r="C357" i="6"/>
  <c r="C220" i="6"/>
  <c r="C28" i="6"/>
  <c r="C210" i="6"/>
  <c r="C54" i="6"/>
  <c r="C55" i="6"/>
  <c r="C48" i="6"/>
  <c r="C314" i="6"/>
  <c r="C315" i="6"/>
  <c r="C188" i="6"/>
  <c r="C196" i="6"/>
  <c r="C337" i="6"/>
  <c r="C358" i="6"/>
  <c r="C191" i="6"/>
  <c r="C9" i="6"/>
  <c r="C52" i="6"/>
  <c r="C78" i="6"/>
  <c r="C350" i="6"/>
  <c r="C270" i="6"/>
  <c r="C121" i="6"/>
  <c r="C378" i="6"/>
  <c r="C50" i="6"/>
  <c r="C49" i="6"/>
  <c r="C144" i="6"/>
  <c r="C367" i="6"/>
  <c r="C199" i="6"/>
  <c r="C13" i="6"/>
  <c r="C381" i="6"/>
  <c r="C366" i="6"/>
  <c r="C320" i="6"/>
  <c r="C385" i="6"/>
  <c r="C46" i="6"/>
  <c r="C321" i="6"/>
  <c r="C322" i="6"/>
  <c r="C347" i="6"/>
  <c r="C348" i="6"/>
  <c r="C211" i="6"/>
  <c r="C218" i="6"/>
  <c r="C344" i="6"/>
  <c r="C361" i="6"/>
  <c r="C298" i="6"/>
  <c r="C343" i="6"/>
  <c r="C324" i="6"/>
  <c r="C342" i="6"/>
  <c r="C323" i="6"/>
  <c r="C371" i="6"/>
  <c r="C346" i="6"/>
  <c r="C354" i="6"/>
  <c r="C352" i="6"/>
  <c r="C355" i="6"/>
  <c r="C356" i="6"/>
  <c r="C169" i="6"/>
  <c r="C282" i="6"/>
  <c r="C332" i="6"/>
  <c r="C226" i="6"/>
  <c r="B332" i="6"/>
  <c r="B282" i="6"/>
  <c r="B169" i="6"/>
  <c r="B356" i="6"/>
  <c r="B355" i="6"/>
  <c r="B352" i="6"/>
  <c r="B354" i="6"/>
  <c r="B346" i="6"/>
  <c r="B371" i="6"/>
  <c r="B323" i="6"/>
  <c r="B342" i="6"/>
  <c r="B324" i="6"/>
  <c r="B343" i="6"/>
  <c r="B298" i="6"/>
  <c r="B361" i="6"/>
  <c r="B344" i="6"/>
  <c r="B218" i="6"/>
  <c r="B211" i="6"/>
  <c r="B348" i="6"/>
  <c r="B347" i="6"/>
  <c r="B322" i="6"/>
  <c r="B321" i="6"/>
  <c r="B46" i="6"/>
  <c r="B385" i="6"/>
  <c r="B320" i="6"/>
  <c r="B366" i="6"/>
  <c r="B381" i="6"/>
  <c r="B13" i="6"/>
  <c r="B199" i="6"/>
  <c r="B367" i="6"/>
  <c r="B144" i="6"/>
  <c r="B49" i="6"/>
  <c r="B50" i="6"/>
  <c r="B378" i="6"/>
  <c r="B121" i="6"/>
  <c r="B270" i="6"/>
  <c r="B350" i="6"/>
  <c r="B78" i="6"/>
  <c r="B52" i="6"/>
  <c r="B9" i="6"/>
  <c r="B191" i="6"/>
  <c r="B358" i="6"/>
  <c r="B337" i="6"/>
  <c r="B196" i="6"/>
  <c r="B315" i="6"/>
  <c r="B314" i="6"/>
  <c r="B48" i="6"/>
  <c r="B55" i="6"/>
  <c r="B54" i="6"/>
  <c r="B210" i="6"/>
  <c r="B28" i="6"/>
  <c r="B220" i="6"/>
  <c r="B357" i="6"/>
  <c r="B119" i="6"/>
  <c r="B145" i="6"/>
  <c r="B197" i="6"/>
  <c r="B182" i="6"/>
  <c r="B311" i="6"/>
  <c r="B349" i="6"/>
  <c r="B219" i="6"/>
  <c r="B353" i="6"/>
  <c r="B22" i="6"/>
  <c r="B221" i="6"/>
  <c r="B51" i="6"/>
  <c r="B232" i="6"/>
  <c r="B8" i="6"/>
  <c r="B388" i="6"/>
  <c r="B167" i="6"/>
  <c r="B123" i="6"/>
  <c r="B187" i="6"/>
  <c r="B243" i="6"/>
  <c r="B21" i="6"/>
  <c r="B296" i="6"/>
  <c r="B202" i="6"/>
  <c r="B23" i="6"/>
  <c r="B339" i="6"/>
  <c r="B360" i="6"/>
  <c r="B158" i="6"/>
  <c r="B383" i="6"/>
  <c r="B148" i="6"/>
  <c r="B203" i="6"/>
  <c r="B62" i="6"/>
  <c r="B362" i="6"/>
  <c r="B212" i="6"/>
  <c r="B185" i="6"/>
  <c r="B198" i="6"/>
  <c r="B72" i="6"/>
  <c r="B227" i="6"/>
  <c r="B294" i="6"/>
  <c r="B359" i="6"/>
  <c r="B216" i="6"/>
  <c r="B83" i="6"/>
  <c r="B183" i="6"/>
  <c r="B120" i="6"/>
  <c r="B32" i="6"/>
  <c r="B295" i="6"/>
  <c r="B82" i="6"/>
  <c r="B168" i="6"/>
  <c r="B335" i="6"/>
  <c r="B36" i="6"/>
  <c r="B63" i="6"/>
  <c r="B159" i="6"/>
  <c r="B47" i="6"/>
  <c r="B240" i="6"/>
  <c r="B104" i="6"/>
  <c r="B178" i="6"/>
  <c r="B245" i="6"/>
  <c r="B184" i="6"/>
  <c r="B341" i="6"/>
  <c r="B87" i="6"/>
  <c r="B235" i="6"/>
  <c r="B147" i="6"/>
  <c r="B292" i="6"/>
  <c r="B254" i="6"/>
  <c r="B58" i="6"/>
  <c r="B304" i="6"/>
  <c r="B175" i="6"/>
  <c r="B113" i="6"/>
  <c r="B207" i="6"/>
  <c r="B200" i="6"/>
  <c r="B85" i="6"/>
  <c r="B67" i="6"/>
  <c r="B242" i="6"/>
  <c r="B143" i="6"/>
  <c r="B373" i="6"/>
  <c r="B370" i="6"/>
  <c r="B374" i="6"/>
  <c r="B331" i="6"/>
  <c r="B165" i="6"/>
  <c r="B172" i="6"/>
  <c r="B205" i="6"/>
  <c r="B241" i="6"/>
  <c r="B276" i="6"/>
  <c r="B273" i="6"/>
  <c r="B129" i="6"/>
  <c r="B33" i="6"/>
  <c r="B126" i="6"/>
  <c r="B134" i="6"/>
  <c r="B127" i="6"/>
  <c r="B223" i="6"/>
  <c r="B293" i="6"/>
  <c r="B79" i="6"/>
  <c r="B325" i="6"/>
  <c r="B312" i="6"/>
  <c r="B305" i="6"/>
  <c r="B248" i="6"/>
  <c r="B279" i="6"/>
  <c r="B60" i="6"/>
  <c r="B380" i="6"/>
  <c r="B84" i="6"/>
  <c r="B128" i="6"/>
  <c r="B53" i="6"/>
  <c r="B384" i="6"/>
  <c r="B170" i="6"/>
  <c r="B171" i="6"/>
  <c r="B98" i="6"/>
  <c r="B309" i="6"/>
  <c r="B206" i="6"/>
  <c r="B105" i="6"/>
  <c r="B174" i="6"/>
  <c r="B299" i="6"/>
  <c r="B139" i="6"/>
  <c r="B31" i="6"/>
  <c r="B274" i="6"/>
  <c r="B208" i="6"/>
  <c r="B244" i="6"/>
  <c r="B255" i="6"/>
  <c r="B326" i="6"/>
  <c r="B376" i="6"/>
  <c r="B124" i="6"/>
  <c r="B209" i="6"/>
  <c r="B94" i="6"/>
  <c r="B146" i="6"/>
  <c r="B125" i="6"/>
  <c r="B69" i="6"/>
  <c r="B204" i="6"/>
  <c r="B173" i="6"/>
  <c r="B271" i="6"/>
  <c r="B368" i="6"/>
  <c r="B317" i="6"/>
  <c r="B150" i="6"/>
  <c r="B264" i="6"/>
  <c r="B92" i="6"/>
  <c r="B75" i="6"/>
  <c r="B138" i="6"/>
  <c r="B285" i="6"/>
  <c r="B333" i="6"/>
  <c r="B313" i="6"/>
  <c r="B149" i="6"/>
  <c r="B217" i="6"/>
  <c r="B71" i="6"/>
  <c r="B96" i="6"/>
  <c r="B263" i="6"/>
  <c r="B93" i="6"/>
  <c r="B65" i="6"/>
  <c r="B59" i="6"/>
  <c r="B131" i="6"/>
  <c r="B369" i="6"/>
  <c r="B224" i="6"/>
  <c r="B91" i="6"/>
  <c r="B89" i="6"/>
  <c r="B56" i="6"/>
  <c r="B101" i="6"/>
  <c r="B157" i="6"/>
  <c r="B153" i="6"/>
  <c r="B137" i="6"/>
  <c r="B151" i="6"/>
  <c r="B258" i="6"/>
  <c r="B246" i="6"/>
  <c r="B280" i="6"/>
  <c r="B95" i="6"/>
  <c r="B103" i="6"/>
  <c r="B250" i="6"/>
  <c r="B90" i="6"/>
  <c r="B76" i="6"/>
  <c r="B266" i="6"/>
  <c r="B281" i="6"/>
  <c r="B229" i="6"/>
  <c r="B230" i="6"/>
  <c r="B181" i="6"/>
  <c r="B112" i="6"/>
  <c r="B329" i="6"/>
  <c r="B318" i="6"/>
  <c r="B164" i="6"/>
  <c r="B107" i="6"/>
  <c r="B109" i="6"/>
  <c r="B108" i="6"/>
  <c r="B163" i="6"/>
  <c r="B251" i="6"/>
  <c r="B38" i="6"/>
  <c r="B391" i="6"/>
  <c r="B14" i="6"/>
  <c r="B73" i="6"/>
  <c r="B390" i="6"/>
  <c r="B253" i="6"/>
  <c r="B74" i="6"/>
  <c r="B81" i="6"/>
  <c r="B111" i="6"/>
  <c r="B110" i="6"/>
  <c r="B177" i="6"/>
  <c r="B310" i="6"/>
  <c r="B70" i="6"/>
  <c r="B57" i="6"/>
  <c r="B122" i="6"/>
  <c r="B41" i="6"/>
  <c r="B42" i="6"/>
  <c r="B88" i="6"/>
  <c r="B160" i="6"/>
  <c r="B259" i="6"/>
  <c r="B100" i="6"/>
  <c r="B265" i="6"/>
  <c r="B186" i="6"/>
  <c r="B166" i="6"/>
  <c r="B106" i="6"/>
  <c r="B102" i="6"/>
  <c r="B213" i="6"/>
  <c r="B267" i="6"/>
  <c r="B133" i="6"/>
  <c r="B351" i="6"/>
  <c r="B392" i="6"/>
  <c r="B64" i="6"/>
  <c r="B215" i="6"/>
  <c r="B99" i="6"/>
  <c r="B192" i="6"/>
  <c r="B247" i="6"/>
  <c r="B249" i="6"/>
  <c r="B238" i="6"/>
  <c r="B269" i="6"/>
  <c r="B291" i="6"/>
  <c r="B142" i="6"/>
  <c r="B97" i="6"/>
  <c r="B152" i="6"/>
  <c r="B214" i="6"/>
  <c r="B283" i="6"/>
  <c r="B179" i="6"/>
  <c r="B237" i="6"/>
  <c r="B195" i="6"/>
  <c r="B194" i="6"/>
  <c r="B222" i="6"/>
  <c r="B193" i="6"/>
  <c r="B190" i="6"/>
  <c r="B37" i="6"/>
  <c r="B233" i="6"/>
  <c r="B328" i="6"/>
  <c r="B379" i="6"/>
  <c r="B234" i="6"/>
  <c r="B35" i="6"/>
  <c r="B278" i="6"/>
  <c r="B236" i="6"/>
  <c r="B162" i="6"/>
  <c r="B161" i="6"/>
  <c r="B334" i="6"/>
  <c r="B306" i="6"/>
  <c r="B316" i="6"/>
  <c r="B307" i="6"/>
  <c r="B268" i="6"/>
  <c r="B68" i="6"/>
  <c r="B260" i="6"/>
  <c r="B399" i="6"/>
  <c r="B327" i="6"/>
  <c r="B20" i="6"/>
  <c r="B43" i="6"/>
  <c r="B25" i="6"/>
  <c r="B15" i="6"/>
  <c r="B132" i="6"/>
  <c r="B228" i="6"/>
  <c r="B239" i="6"/>
  <c r="B80" i="6"/>
  <c r="B365" i="6"/>
  <c r="B231" i="6"/>
  <c r="B389" i="6"/>
  <c r="B262" i="6"/>
  <c r="B415" i="6"/>
  <c r="B372" i="6"/>
  <c r="B12" i="6"/>
  <c r="B252" i="6"/>
  <c r="B18" i="6"/>
  <c r="B16" i="6"/>
  <c r="B297" i="6"/>
  <c r="B61" i="6"/>
  <c r="B401" i="6"/>
  <c r="B308" i="6"/>
  <c r="B257" i="6"/>
  <c r="B24" i="6"/>
  <c r="B287" i="6"/>
  <c r="B286" i="6"/>
  <c r="B136" i="6"/>
  <c r="B17" i="6"/>
  <c r="B39" i="6"/>
  <c r="B155" i="6"/>
  <c r="B19" i="6"/>
  <c r="B44" i="6"/>
  <c r="B86" i="6"/>
  <c r="B77" i="6"/>
  <c r="B26" i="6"/>
  <c r="B409" i="6"/>
  <c r="B29" i="6"/>
  <c r="B336" i="6"/>
  <c r="B275" i="6"/>
  <c r="B408" i="6"/>
  <c r="B289" i="6"/>
  <c r="B277" i="6"/>
  <c r="B411" i="6"/>
  <c r="B406" i="6"/>
  <c r="B404" i="6"/>
  <c r="B403" i="6"/>
  <c r="B400" i="6"/>
  <c r="B398" i="6"/>
  <c r="B416" i="6"/>
  <c r="B27" i="6"/>
  <c r="B363" i="6"/>
  <c r="B256" i="6"/>
  <c r="B201" i="6"/>
  <c r="B11" i="6"/>
  <c r="B396" i="6"/>
  <c r="B45" i="6"/>
  <c r="B40" i="6"/>
  <c r="B412" i="6"/>
  <c r="B154" i="6"/>
  <c r="B30" i="6"/>
  <c r="B417" i="6"/>
  <c r="B364" i="6"/>
  <c r="B375" i="6"/>
  <c r="B382" i="6"/>
  <c r="B377" i="6"/>
  <c r="B10" i="6"/>
  <c r="B338" i="6"/>
  <c r="B288" i="6"/>
  <c r="B114" i="6"/>
  <c r="B2" i="6"/>
  <c r="B410" i="6"/>
  <c r="B402" i="6"/>
  <c r="B345" i="6"/>
  <c r="B3" i="6"/>
  <c r="B4" i="6"/>
  <c r="B5" i="6"/>
  <c r="B130" i="6"/>
  <c r="B340" i="6"/>
  <c r="B225" i="6"/>
  <c r="B180" i="6"/>
  <c r="B284" i="6"/>
  <c r="B393" i="6"/>
  <c r="B176" i="6"/>
  <c r="B413" i="6"/>
  <c r="B394" i="6"/>
  <c r="B7" i="6"/>
  <c r="B34" i="6"/>
  <c r="B6" i="6"/>
  <c r="B290" i="6"/>
  <c r="B117" i="6"/>
  <c r="B135" i="6"/>
  <c r="B407" i="6"/>
  <c r="B405" i="6"/>
  <c r="B397" i="6"/>
  <c r="B330" i="6"/>
  <c r="B395" i="6"/>
  <c r="B115" i="6"/>
  <c r="B116" i="6"/>
  <c r="B156" i="6"/>
  <c r="B414" i="6"/>
  <c r="B226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20" i="5"/>
  <c r="BA330" i="5"/>
  <c r="BA118" i="5"/>
  <c r="BA340" i="5"/>
  <c r="BA346" i="5"/>
  <c r="BA338" i="5"/>
  <c r="BA377" i="5"/>
  <c r="BA382" i="5"/>
  <c r="BA375" i="5"/>
  <c r="BA373" i="5"/>
  <c r="BA372" i="5"/>
  <c r="BA336" i="5"/>
  <c r="BA309" i="5"/>
  <c r="BA368" i="5"/>
  <c r="BA388" i="5"/>
  <c r="BA374" i="5"/>
  <c r="BA327" i="5"/>
  <c r="BA307" i="5"/>
  <c r="BA317" i="5"/>
  <c r="BA306" i="5"/>
  <c r="BA334" i="5"/>
  <c r="BA379" i="5"/>
  <c r="BA328" i="5"/>
  <c r="BA389" i="5"/>
  <c r="BA348" i="5"/>
  <c r="BA311" i="5"/>
  <c r="BA392" i="5"/>
  <c r="BA391" i="5"/>
  <c r="BA319" i="5"/>
  <c r="BA329" i="5"/>
  <c r="BA297" i="5"/>
  <c r="BA296" i="5"/>
  <c r="BA365" i="5"/>
  <c r="BA314" i="5"/>
  <c r="BA333" i="5"/>
  <c r="BA318" i="5"/>
  <c r="BA364" i="5"/>
  <c r="BA376" i="5"/>
  <c r="BA326" i="5"/>
  <c r="BA310" i="5"/>
  <c r="BA384" i="5"/>
  <c r="BA380" i="5"/>
  <c r="BA305" i="5"/>
  <c r="BA313" i="5"/>
  <c r="BA325" i="5"/>
  <c r="BA331" i="5"/>
  <c r="BA370" i="5"/>
  <c r="BA366" i="5"/>
  <c r="BA369" i="5"/>
  <c r="BA304" i="5"/>
  <c r="BA342" i="5"/>
  <c r="BA29" i="5"/>
  <c r="BA335" i="5"/>
  <c r="BA361" i="5"/>
  <c r="BA371" i="5"/>
  <c r="BA70" i="5"/>
  <c r="BA383" i="5"/>
  <c r="BA362" i="5"/>
  <c r="BA339" i="5"/>
  <c r="BA390" i="5"/>
  <c r="BA354" i="5"/>
  <c r="BA341" i="5"/>
  <c r="BA312" i="5"/>
  <c r="BA359" i="5"/>
  <c r="BA315" i="5"/>
  <c r="BA316" i="5"/>
  <c r="BA337" i="5"/>
  <c r="BA360" i="5"/>
  <c r="BA352" i="5"/>
  <c r="BA378" i="5"/>
  <c r="BA355" i="5"/>
  <c r="BA381" i="5"/>
  <c r="BA353" i="5"/>
  <c r="BA320" i="5"/>
  <c r="BA385" i="5"/>
  <c r="BA321" i="5"/>
  <c r="BA322" i="5"/>
  <c r="BA349" i="5"/>
  <c r="BA350" i="5"/>
  <c r="BA345" i="5"/>
  <c r="BA363" i="5"/>
  <c r="BA344" i="5"/>
  <c r="BA324" i="5"/>
  <c r="BA343" i="5"/>
  <c r="BA323" i="5"/>
  <c r="BA367" i="5"/>
  <c r="BA347" i="5"/>
  <c r="BA356" i="5"/>
  <c r="BA351" i="5"/>
  <c r="BA357" i="5"/>
  <c r="BA358" i="5"/>
  <c r="BA332" i="5"/>
  <c r="BA396" i="5"/>
  <c r="BF220" i="5"/>
  <c r="BF330" i="5"/>
  <c r="BF332" i="5"/>
  <c r="BF338" i="5"/>
  <c r="BF340" i="5"/>
  <c r="BF346" i="5"/>
  <c r="BF396" i="5"/>
  <c r="BF255" i="5"/>
  <c r="BF264" i="5"/>
  <c r="BF413" i="5"/>
  <c r="BF397" i="5"/>
  <c r="BF407" i="5"/>
  <c r="BF409" i="5"/>
  <c r="BF97" i="5"/>
  <c r="BF162" i="5"/>
  <c r="BF189" i="5"/>
  <c r="BF42" i="5"/>
  <c r="BF47" i="5"/>
  <c r="BF178" i="5"/>
  <c r="BF394" i="5"/>
  <c r="BF410" i="5"/>
  <c r="BF411" i="5"/>
  <c r="BF61" i="5"/>
  <c r="BF118" i="5"/>
  <c r="BF285" i="5"/>
  <c r="BF292" i="5"/>
  <c r="BF39" i="5"/>
  <c r="BF40" i="5"/>
  <c r="BF41" i="5"/>
  <c r="BF103" i="5"/>
  <c r="BF336" i="5"/>
  <c r="BF404" i="5"/>
  <c r="BF416" i="5"/>
  <c r="BF38" i="5"/>
  <c r="BF66" i="5"/>
  <c r="BF176" i="5"/>
  <c r="BF65" i="5"/>
  <c r="BF67" i="5"/>
  <c r="BF373" i="5"/>
  <c r="BF375" i="5"/>
  <c r="BF377" i="5"/>
  <c r="BF382" i="5"/>
  <c r="BF402" i="5"/>
  <c r="BF403" i="5"/>
  <c r="BF414" i="5"/>
  <c r="BF53" i="5"/>
  <c r="BF56" i="5"/>
  <c r="BF59" i="5"/>
  <c r="BF154" i="5"/>
  <c r="BF259" i="5"/>
  <c r="BF372" i="5"/>
  <c r="BF50" i="5"/>
  <c r="BF393" i="5"/>
  <c r="BF398" i="5"/>
  <c r="BF400" i="5"/>
  <c r="BF405" i="5"/>
  <c r="BF406" i="5"/>
  <c r="BF408" i="5"/>
  <c r="BF417" i="5"/>
  <c r="BF149" i="5"/>
  <c r="BF153" i="5"/>
  <c r="BF327" i="5"/>
  <c r="BF177" i="5"/>
  <c r="BF334" i="5"/>
  <c r="BF412" i="5"/>
  <c r="BF143" i="5"/>
  <c r="BF415" i="5"/>
  <c r="BF52" i="5"/>
  <c r="BF265" i="5"/>
  <c r="BF141" i="5"/>
  <c r="BF155" i="5"/>
  <c r="BF328" i="5"/>
  <c r="BF130" i="5"/>
  <c r="BF138" i="5"/>
  <c r="BF150" i="5"/>
  <c r="BF258" i="5"/>
  <c r="BF180" i="5"/>
  <c r="BF246" i="5"/>
  <c r="BF248" i="5"/>
  <c r="BF125" i="5"/>
  <c r="BF257" i="5"/>
  <c r="BF27" i="5"/>
  <c r="BF226" i="5"/>
  <c r="BF309" i="5"/>
  <c r="BF401" i="5"/>
  <c r="BF119" i="5"/>
  <c r="BF210" i="5"/>
  <c r="BF243" i="5"/>
  <c r="BF245" i="5"/>
  <c r="BF247" i="5"/>
  <c r="BF368" i="5"/>
  <c r="BF395" i="5"/>
  <c r="BF124" i="5"/>
  <c r="BF8" i="5"/>
  <c r="BF348" i="5"/>
  <c r="BF374" i="5"/>
  <c r="BF388" i="5"/>
  <c r="BF271" i="5"/>
  <c r="BF139" i="5"/>
  <c r="BF184" i="5"/>
  <c r="BF222" i="5"/>
  <c r="BF242" i="5"/>
  <c r="BF244" i="5"/>
  <c r="BF60" i="5"/>
  <c r="BF256" i="5"/>
  <c r="BF249" i="5"/>
  <c r="BF399" i="5"/>
  <c r="BF74" i="5"/>
  <c r="BF217" i="5"/>
  <c r="BF240" i="5"/>
  <c r="BF306" i="5"/>
  <c r="BF307" i="5"/>
  <c r="BF317" i="5"/>
  <c r="BF106" i="5"/>
  <c r="BF140" i="5"/>
  <c r="BF88" i="5"/>
  <c r="BF15" i="5"/>
  <c r="BF182" i="5"/>
  <c r="BF329" i="5"/>
  <c r="BF379" i="5"/>
  <c r="BF55" i="5"/>
  <c r="BF87" i="5"/>
  <c r="BF132" i="5"/>
  <c r="BF179" i="5"/>
  <c r="BF5" i="5"/>
  <c r="BF23" i="5"/>
  <c r="BF24" i="5"/>
  <c r="BF25" i="5"/>
  <c r="BF26" i="5"/>
  <c r="BF9" i="5"/>
  <c r="BF137" i="5"/>
  <c r="BF181" i="5"/>
  <c r="BF221" i="5"/>
  <c r="BF254" i="5"/>
  <c r="BF115" i="5"/>
  <c r="BF225" i="5"/>
  <c r="BF266" i="5"/>
  <c r="BF10" i="5"/>
  <c r="BF133" i="5"/>
  <c r="BF148" i="5"/>
  <c r="BF174" i="5"/>
  <c r="BF22" i="5"/>
  <c r="BF218" i="5"/>
  <c r="BF389" i="5"/>
  <c r="BF286" i="5"/>
  <c r="BE286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3" i="5"/>
  <c r="BE392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5" i="5"/>
  <c r="BE54" i="5"/>
  <c r="BE266" i="5"/>
  <c r="BE267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8" i="5"/>
  <c r="BE82" i="5"/>
  <c r="BE83" i="5"/>
  <c r="BE84" i="5"/>
  <c r="BE85" i="5"/>
  <c r="BE260" i="5"/>
  <c r="BE261" i="5"/>
  <c r="BE86" i="5"/>
  <c r="BE262" i="5"/>
  <c r="BE254" i="5"/>
  <c r="BE87" i="5"/>
  <c r="BE88" i="5"/>
  <c r="BE89" i="5"/>
  <c r="BE90" i="5"/>
  <c r="BE91" i="5"/>
  <c r="BE92" i="5"/>
  <c r="BE10" i="5"/>
  <c r="BE11" i="5"/>
  <c r="BE93" i="5"/>
  <c r="BE94" i="5"/>
  <c r="BE95" i="5"/>
  <c r="BE263" i="5"/>
  <c r="BE96" i="5"/>
  <c r="BE255" i="5"/>
  <c r="BE264" i="5"/>
  <c r="BE97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2" i="5"/>
  <c r="BE116" i="5"/>
  <c r="BE117" i="5"/>
  <c r="BE269" i="5"/>
  <c r="BE270" i="5"/>
  <c r="BE12" i="5"/>
  <c r="BE118" i="5"/>
  <c r="BE13" i="5"/>
  <c r="BE271" i="5"/>
  <c r="BE119" i="5"/>
  <c r="BE272" i="5"/>
  <c r="BE273" i="5"/>
  <c r="BE14" i="5"/>
  <c r="BE120" i="5"/>
  <c r="BE121" i="5"/>
  <c r="BE274" i="5"/>
  <c r="BE122" i="5"/>
  <c r="BE123" i="5"/>
  <c r="BE124" i="5"/>
  <c r="BE125" i="5"/>
  <c r="BE15" i="5"/>
  <c r="BE275" i="5"/>
  <c r="BE126" i="5"/>
  <c r="BE127" i="5"/>
  <c r="BE276" i="5"/>
  <c r="BE128" i="5"/>
  <c r="BE129" i="5"/>
  <c r="BE130" i="5"/>
  <c r="BE131" i="5"/>
  <c r="BE132" i="5"/>
  <c r="BE133" i="5"/>
  <c r="BE3" i="5"/>
  <c r="BE134" i="5"/>
  <c r="BE135" i="5"/>
  <c r="BE4" i="5"/>
  <c r="BE136" i="5"/>
  <c r="BE137" i="5"/>
  <c r="BE256" i="5"/>
  <c r="BE138" i="5"/>
  <c r="BE139" i="5"/>
  <c r="BE140" i="5"/>
  <c r="BE141" i="5"/>
  <c r="BE142" i="5"/>
  <c r="BE143" i="5"/>
  <c r="BE144" i="5"/>
  <c r="BE145" i="5"/>
  <c r="BE146" i="5"/>
  <c r="BE147" i="5"/>
  <c r="BE277" i="5"/>
  <c r="BE148" i="5"/>
  <c r="BE149" i="5"/>
  <c r="BE150" i="5"/>
  <c r="BE151" i="5"/>
  <c r="BE278" i="5"/>
  <c r="BE279" i="5"/>
  <c r="BE280" i="5"/>
  <c r="BE152" i="5"/>
  <c r="BE153" i="5"/>
  <c r="BE281" i="5"/>
  <c r="BE154" i="5"/>
  <c r="BE155" i="5"/>
  <c r="BE156" i="5"/>
  <c r="BE157" i="5"/>
  <c r="BE158" i="5"/>
  <c r="BE159" i="5"/>
  <c r="BE160" i="5"/>
  <c r="BE161" i="5"/>
  <c r="BE162" i="5"/>
  <c r="BE163" i="5"/>
  <c r="BE257" i="5"/>
  <c r="BE258" i="5"/>
  <c r="BE164" i="5"/>
  <c r="BE165" i="5"/>
  <c r="BE166" i="5"/>
  <c r="BE167" i="5"/>
  <c r="BE16" i="5"/>
  <c r="BE17" i="5"/>
  <c r="BE18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282" i="5"/>
  <c r="BE283" i="5"/>
  <c r="BE284" i="5"/>
  <c r="BE194" i="5"/>
  <c r="BE195" i="5"/>
  <c r="BE196" i="5"/>
  <c r="BE285" i="5"/>
  <c r="BE287" i="5"/>
  <c r="BE288" i="5"/>
  <c r="BE5" i="5"/>
  <c r="BE289" i="5"/>
  <c r="BE290" i="5"/>
  <c r="BE291" i="5"/>
  <c r="BE292" i="5"/>
  <c r="BE197" i="5"/>
  <c r="BE198" i="5"/>
  <c r="BE199" i="5"/>
  <c r="BE200" i="5"/>
  <c r="BE294" i="5"/>
  <c r="BE201" i="5"/>
  <c r="BE21" i="5"/>
  <c r="BE202" i="5"/>
  <c r="BE203" i="5"/>
  <c r="BE204" i="5"/>
  <c r="BE205" i="5"/>
  <c r="BE206" i="5"/>
  <c r="BE207" i="5"/>
  <c r="BE22" i="5"/>
  <c r="BE23" i="5"/>
  <c r="BE24" i="5"/>
  <c r="BE208" i="5"/>
  <c r="BE25" i="5"/>
  <c r="BE26" i="5"/>
  <c r="BE6" i="5"/>
  <c r="BE7" i="5"/>
  <c r="BE209" i="5"/>
  <c r="BE210" i="5"/>
  <c r="BE295" i="5"/>
  <c r="BE211" i="5"/>
  <c r="BE212" i="5"/>
  <c r="BE213" i="5"/>
  <c r="BE259" i="5"/>
  <c r="BE214" i="5"/>
  <c r="BE27" i="5"/>
  <c r="BE215" i="5"/>
  <c r="BE216" i="5"/>
  <c r="BE217" i="5"/>
  <c r="BE218" i="5"/>
  <c r="BE219" i="5"/>
  <c r="BE28" i="5"/>
  <c r="BE220" i="5"/>
  <c r="BE221" i="5"/>
  <c r="BE222" i="5"/>
  <c r="BE223" i="5"/>
  <c r="BE224" i="5"/>
  <c r="BE225" i="5"/>
  <c r="BE226" i="5"/>
  <c r="BE227" i="5"/>
  <c r="BE228" i="5"/>
  <c r="BE229" i="5"/>
  <c r="BE296" i="5"/>
  <c r="BE297" i="5"/>
  <c r="BE8" i="5"/>
  <c r="BE230" i="5"/>
  <c r="BE231" i="5"/>
  <c r="BE232" i="5"/>
  <c r="BE298" i="5"/>
  <c r="BE233" i="5"/>
  <c r="BE29" i="5"/>
  <c r="BE30" i="5"/>
  <c r="BE31" i="5"/>
  <c r="BE32" i="5"/>
  <c r="BE33" i="5"/>
  <c r="BE234" i="5"/>
  <c r="BE34" i="5"/>
  <c r="BE235" i="5"/>
  <c r="BE236" i="5"/>
  <c r="BE237" i="5"/>
  <c r="BE238" i="5"/>
  <c r="BE239" i="5"/>
  <c r="BE240" i="5"/>
  <c r="BE242" i="5"/>
  <c r="BE243" i="5"/>
  <c r="BE244" i="5"/>
  <c r="BE245" i="5"/>
  <c r="BE246" i="5"/>
  <c r="BE247" i="5"/>
  <c r="BE248" i="5"/>
  <c r="BE249" i="5"/>
  <c r="BE250" i="5"/>
  <c r="BE251" i="5"/>
  <c r="BE35" i="5"/>
  <c r="BE299" i="5"/>
  <c r="BE36" i="5"/>
  <c r="BE37" i="5"/>
  <c r="BE252" i="5"/>
  <c r="BE253" i="5"/>
  <c r="BE304" i="5"/>
  <c r="BE305" i="5"/>
  <c r="BE306" i="5"/>
  <c r="BE307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2" i="5"/>
  <c r="BE343" i="5"/>
  <c r="BE344" i="5"/>
  <c r="BE345" i="5"/>
  <c r="BE346" i="5"/>
  <c r="BE347" i="5"/>
  <c r="BE348" i="5"/>
  <c r="BE349" i="5"/>
  <c r="BE350" i="5"/>
  <c r="BE351" i="5"/>
  <c r="BE34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8" i="5"/>
  <c r="BE389" i="5"/>
  <c r="BE390" i="5"/>
  <c r="BE391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293" i="5"/>
  <c r="BC293" i="5"/>
  <c r="BC392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5" i="5"/>
  <c r="BC54" i="5"/>
  <c r="BC266" i="5"/>
  <c r="BC267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8" i="5"/>
  <c r="BC82" i="5"/>
  <c r="BC83" i="5"/>
  <c r="BC84" i="5"/>
  <c r="BC85" i="5"/>
  <c r="BC260" i="5"/>
  <c r="BC261" i="5"/>
  <c r="BC86" i="5"/>
  <c r="BC262" i="5"/>
  <c r="BC254" i="5"/>
  <c r="BC87" i="5"/>
  <c r="BC88" i="5"/>
  <c r="BC89" i="5"/>
  <c r="BC90" i="5"/>
  <c r="BC91" i="5"/>
  <c r="BC92" i="5"/>
  <c r="BC10" i="5"/>
  <c r="BC11" i="5"/>
  <c r="BC93" i="5"/>
  <c r="BC94" i="5"/>
  <c r="BC95" i="5"/>
  <c r="BC263" i="5"/>
  <c r="BC96" i="5"/>
  <c r="BC255" i="5"/>
  <c r="BC264" i="5"/>
  <c r="BC97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2" i="5"/>
  <c r="BC116" i="5"/>
  <c r="BC117" i="5"/>
  <c r="BC269" i="5"/>
  <c r="BC270" i="5"/>
  <c r="BC12" i="5"/>
  <c r="BC118" i="5"/>
  <c r="BC13" i="5"/>
  <c r="BC271" i="5"/>
  <c r="BC272" i="5"/>
  <c r="BC273" i="5"/>
  <c r="BC14" i="5"/>
  <c r="BC120" i="5"/>
  <c r="BC121" i="5"/>
  <c r="BC274" i="5"/>
  <c r="BC122" i="5"/>
  <c r="BC123" i="5"/>
  <c r="BC124" i="5"/>
  <c r="BC125" i="5"/>
  <c r="BC15" i="5"/>
  <c r="BC275" i="5"/>
  <c r="BC126" i="5"/>
  <c r="BC127" i="5"/>
  <c r="BC276" i="5"/>
  <c r="BC128" i="5"/>
  <c r="BC129" i="5"/>
  <c r="BC130" i="5"/>
  <c r="BC131" i="5"/>
  <c r="BC132" i="5"/>
  <c r="BC133" i="5"/>
  <c r="BC3" i="5"/>
  <c r="BC134" i="5"/>
  <c r="BC135" i="5"/>
  <c r="BC4" i="5"/>
  <c r="BC136" i="5"/>
  <c r="BC137" i="5"/>
  <c r="BC256" i="5"/>
  <c r="BC138" i="5"/>
  <c r="BC139" i="5"/>
  <c r="BC140" i="5"/>
  <c r="BC141" i="5"/>
  <c r="BC142" i="5"/>
  <c r="BC143" i="5"/>
  <c r="BC144" i="5"/>
  <c r="BC145" i="5"/>
  <c r="BC146" i="5"/>
  <c r="BC147" i="5"/>
  <c r="BC277" i="5"/>
  <c r="BC148" i="5"/>
  <c r="BC149" i="5"/>
  <c r="BC150" i="5"/>
  <c r="BC151" i="5"/>
  <c r="BC278" i="5"/>
  <c r="BC279" i="5"/>
  <c r="BC280" i="5"/>
  <c r="BC152" i="5"/>
  <c r="BC153" i="5"/>
  <c r="BC281" i="5"/>
  <c r="BC154" i="5"/>
  <c r="BC155" i="5"/>
  <c r="BC156" i="5"/>
  <c r="BC157" i="5"/>
  <c r="BC158" i="5"/>
  <c r="BC159" i="5"/>
  <c r="BC160" i="5"/>
  <c r="BC161" i="5"/>
  <c r="BC162" i="5"/>
  <c r="BC163" i="5"/>
  <c r="BC257" i="5"/>
  <c r="BC258" i="5"/>
  <c r="BC164" i="5"/>
  <c r="BC165" i="5"/>
  <c r="BC166" i="5"/>
  <c r="BC167" i="5"/>
  <c r="BC16" i="5"/>
  <c r="BC17" i="5"/>
  <c r="BC18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282" i="5"/>
  <c r="BC283" i="5"/>
  <c r="BC284" i="5"/>
  <c r="BC194" i="5"/>
  <c r="BC195" i="5"/>
  <c r="BC196" i="5"/>
  <c r="BC285" i="5"/>
  <c r="BC286" i="5"/>
  <c r="BC287" i="5"/>
  <c r="BC288" i="5"/>
  <c r="BC5" i="5"/>
  <c r="BC289" i="5"/>
  <c r="BC290" i="5"/>
  <c r="BC291" i="5"/>
  <c r="BC292" i="5"/>
  <c r="BC197" i="5"/>
  <c r="BC198" i="5"/>
  <c r="BC199" i="5"/>
  <c r="BC200" i="5"/>
  <c r="BC294" i="5"/>
  <c r="BC201" i="5"/>
  <c r="BC21" i="5"/>
  <c r="BC202" i="5"/>
  <c r="BC203" i="5"/>
  <c r="BC204" i="5"/>
  <c r="BC205" i="5"/>
  <c r="BC206" i="5"/>
  <c r="BC207" i="5"/>
  <c r="BC22" i="5"/>
  <c r="BC23" i="5"/>
  <c r="BC24" i="5"/>
  <c r="BC208" i="5"/>
  <c r="BC25" i="5"/>
  <c r="BC26" i="5"/>
  <c r="BC6" i="5"/>
  <c r="BC7" i="5"/>
  <c r="BC209" i="5"/>
  <c r="BC210" i="5"/>
  <c r="BC295" i="5"/>
  <c r="BC211" i="5"/>
  <c r="BC212" i="5"/>
  <c r="BC213" i="5"/>
  <c r="BC259" i="5"/>
  <c r="BC214" i="5"/>
  <c r="BC27" i="5"/>
  <c r="BC215" i="5"/>
  <c r="BC216" i="5"/>
  <c r="BC217" i="5"/>
  <c r="BC218" i="5"/>
  <c r="BC219" i="5"/>
  <c r="BC28" i="5"/>
  <c r="BC220" i="5"/>
  <c r="BC221" i="5"/>
  <c r="BC222" i="5"/>
  <c r="BC223" i="5"/>
  <c r="BC224" i="5"/>
  <c r="BC225" i="5"/>
  <c r="BC226" i="5"/>
  <c r="BC227" i="5"/>
  <c r="BC228" i="5"/>
  <c r="BC229" i="5"/>
  <c r="BC296" i="5"/>
  <c r="BC297" i="5"/>
  <c r="BC8" i="5"/>
  <c r="BC230" i="5"/>
  <c r="BC231" i="5"/>
  <c r="BC232" i="5"/>
  <c r="BC298" i="5"/>
  <c r="BC233" i="5"/>
  <c r="BC29" i="5"/>
  <c r="BC30" i="5"/>
  <c r="BC31" i="5"/>
  <c r="BC32" i="5"/>
  <c r="BC33" i="5"/>
  <c r="BC234" i="5"/>
  <c r="BC34" i="5"/>
  <c r="BC235" i="5"/>
  <c r="BC236" i="5"/>
  <c r="BC237" i="5"/>
  <c r="BC238" i="5"/>
  <c r="BC239" i="5"/>
  <c r="BC240" i="5"/>
  <c r="BC242" i="5"/>
  <c r="BC243" i="5"/>
  <c r="BC244" i="5"/>
  <c r="BC245" i="5"/>
  <c r="BC246" i="5"/>
  <c r="BC247" i="5"/>
  <c r="BC248" i="5"/>
  <c r="BC249" i="5"/>
  <c r="BC250" i="5"/>
  <c r="BC251" i="5"/>
  <c r="BC35" i="5"/>
  <c r="BC299" i="5"/>
  <c r="BC36" i="5"/>
  <c r="BC37" i="5"/>
  <c r="BC252" i="5"/>
  <c r="BC253" i="5"/>
  <c r="BC304" i="5"/>
  <c r="BC305" i="5"/>
  <c r="BC306" i="5"/>
  <c r="BC307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2" i="5"/>
  <c r="BC343" i="5"/>
  <c r="BC344" i="5"/>
  <c r="BC345" i="5"/>
  <c r="BC346" i="5"/>
  <c r="BC347" i="5"/>
  <c r="BC348" i="5"/>
  <c r="BC349" i="5"/>
  <c r="BC350" i="5"/>
  <c r="BC351" i="5"/>
  <c r="BC34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8" i="5"/>
  <c r="BC389" i="5"/>
  <c r="BC390" i="5"/>
  <c r="BC391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B392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5" i="5"/>
  <c r="BB54" i="5"/>
  <c r="BB266" i="5"/>
  <c r="BB267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8" i="5"/>
  <c r="BB82" i="5"/>
  <c r="BB83" i="5"/>
  <c r="BB84" i="5"/>
  <c r="BB85" i="5"/>
  <c r="BB260" i="5"/>
  <c r="BB261" i="5"/>
  <c r="BB86" i="5"/>
  <c r="BB262" i="5"/>
  <c r="BB254" i="5"/>
  <c r="BB87" i="5"/>
  <c r="BB88" i="5"/>
  <c r="BB89" i="5"/>
  <c r="BB90" i="5"/>
  <c r="BB91" i="5"/>
  <c r="BB92" i="5"/>
  <c r="BB10" i="5"/>
  <c r="BB11" i="5"/>
  <c r="BB93" i="5"/>
  <c r="BB94" i="5"/>
  <c r="BB95" i="5"/>
  <c r="BB263" i="5"/>
  <c r="BB96" i="5"/>
  <c r="BB255" i="5"/>
  <c r="BB264" i="5"/>
  <c r="BB97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2" i="5"/>
  <c r="BB116" i="5"/>
  <c r="BB117" i="5"/>
  <c r="BB269" i="5"/>
  <c r="BB270" i="5"/>
  <c r="BB12" i="5"/>
  <c r="BB118" i="5"/>
  <c r="BB13" i="5"/>
  <c r="BB271" i="5"/>
  <c r="BB119" i="5"/>
  <c r="BB272" i="5"/>
  <c r="BB273" i="5"/>
  <c r="BB14" i="5"/>
  <c r="BB120" i="5"/>
  <c r="BB121" i="5"/>
  <c r="BB274" i="5"/>
  <c r="BB122" i="5"/>
  <c r="BB123" i="5"/>
  <c r="BB124" i="5"/>
  <c r="BB125" i="5"/>
  <c r="BB15" i="5"/>
  <c r="BB275" i="5"/>
  <c r="BB126" i="5"/>
  <c r="BB127" i="5"/>
  <c r="BB276" i="5"/>
  <c r="BB128" i="5"/>
  <c r="BB129" i="5"/>
  <c r="BB130" i="5"/>
  <c r="BB131" i="5"/>
  <c r="BB132" i="5"/>
  <c r="BB133" i="5"/>
  <c r="BB3" i="5"/>
  <c r="BB134" i="5"/>
  <c r="BB135" i="5"/>
  <c r="BB4" i="5"/>
  <c r="BB136" i="5"/>
  <c r="BB137" i="5"/>
  <c r="BB256" i="5"/>
  <c r="BB138" i="5"/>
  <c r="BB139" i="5"/>
  <c r="BB140" i="5"/>
  <c r="BB141" i="5"/>
  <c r="BB142" i="5"/>
  <c r="BB143" i="5"/>
  <c r="BB144" i="5"/>
  <c r="BB145" i="5"/>
  <c r="BB146" i="5"/>
  <c r="BB147" i="5"/>
  <c r="BB277" i="5"/>
  <c r="BB148" i="5"/>
  <c r="BB149" i="5"/>
  <c r="BB150" i="5"/>
  <c r="BB151" i="5"/>
  <c r="BB278" i="5"/>
  <c r="BB279" i="5"/>
  <c r="BB280" i="5"/>
  <c r="BB152" i="5"/>
  <c r="BB153" i="5"/>
  <c r="BB281" i="5"/>
  <c r="BB154" i="5"/>
  <c r="BB155" i="5"/>
  <c r="BB156" i="5"/>
  <c r="BB157" i="5"/>
  <c r="BB158" i="5"/>
  <c r="BB159" i="5"/>
  <c r="BB160" i="5"/>
  <c r="BB161" i="5"/>
  <c r="BB162" i="5"/>
  <c r="BB163" i="5"/>
  <c r="BB257" i="5"/>
  <c r="BB258" i="5"/>
  <c r="BB164" i="5"/>
  <c r="BB165" i="5"/>
  <c r="BB166" i="5"/>
  <c r="BB167" i="5"/>
  <c r="BB16" i="5"/>
  <c r="BB17" i="5"/>
  <c r="BB18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282" i="5"/>
  <c r="BB283" i="5"/>
  <c r="BB284" i="5"/>
  <c r="BB194" i="5"/>
  <c r="BB195" i="5"/>
  <c r="BB196" i="5"/>
  <c r="BB285" i="5"/>
  <c r="BB286" i="5"/>
  <c r="BB287" i="5"/>
  <c r="BB288" i="5"/>
  <c r="BB5" i="5"/>
  <c r="BB289" i="5"/>
  <c r="BB290" i="5"/>
  <c r="BB291" i="5"/>
  <c r="BB292" i="5"/>
  <c r="BB197" i="5"/>
  <c r="BB198" i="5"/>
  <c r="BB199" i="5"/>
  <c r="BB200" i="5"/>
  <c r="BB294" i="5"/>
  <c r="BB201" i="5"/>
  <c r="BB21" i="5"/>
  <c r="BB202" i="5"/>
  <c r="BB203" i="5"/>
  <c r="BB204" i="5"/>
  <c r="BB205" i="5"/>
  <c r="BB206" i="5"/>
  <c r="BB207" i="5"/>
  <c r="BB22" i="5"/>
  <c r="BB23" i="5"/>
  <c r="BB24" i="5"/>
  <c r="BB208" i="5"/>
  <c r="BB25" i="5"/>
  <c r="BB26" i="5"/>
  <c r="BB6" i="5"/>
  <c r="BB7" i="5"/>
  <c r="BB209" i="5"/>
  <c r="BB210" i="5"/>
  <c r="BB295" i="5"/>
  <c r="BB211" i="5"/>
  <c r="BB212" i="5"/>
  <c r="BB213" i="5"/>
  <c r="BB259" i="5"/>
  <c r="BB214" i="5"/>
  <c r="BB27" i="5"/>
  <c r="BB215" i="5"/>
  <c r="BB216" i="5"/>
  <c r="BB217" i="5"/>
  <c r="BB218" i="5"/>
  <c r="BB219" i="5"/>
  <c r="BB28" i="5"/>
  <c r="BB220" i="5"/>
  <c r="BB221" i="5"/>
  <c r="BB222" i="5"/>
  <c r="BB223" i="5"/>
  <c r="BB224" i="5"/>
  <c r="BB225" i="5"/>
  <c r="BB226" i="5"/>
  <c r="BB227" i="5"/>
  <c r="BB228" i="5"/>
  <c r="BB229" i="5"/>
  <c r="BB296" i="5"/>
  <c r="BB297" i="5"/>
  <c r="BB8" i="5"/>
  <c r="BB230" i="5"/>
  <c r="BB231" i="5"/>
  <c r="BB232" i="5"/>
  <c r="BB298" i="5"/>
  <c r="BB233" i="5"/>
  <c r="BB29" i="5"/>
  <c r="BB30" i="5"/>
  <c r="BB31" i="5"/>
  <c r="BB32" i="5"/>
  <c r="BB33" i="5"/>
  <c r="BB234" i="5"/>
  <c r="BB34" i="5"/>
  <c r="BB235" i="5"/>
  <c r="BB236" i="5"/>
  <c r="BB237" i="5"/>
  <c r="BB238" i="5"/>
  <c r="BB239" i="5"/>
  <c r="BB240" i="5"/>
  <c r="BB242" i="5"/>
  <c r="BB243" i="5"/>
  <c r="BB244" i="5"/>
  <c r="BB245" i="5"/>
  <c r="BB246" i="5"/>
  <c r="BB247" i="5"/>
  <c r="BB248" i="5"/>
  <c r="BB249" i="5"/>
  <c r="BB250" i="5"/>
  <c r="BB251" i="5"/>
  <c r="BB35" i="5"/>
  <c r="BB299" i="5"/>
  <c r="BB36" i="5"/>
  <c r="BB37" i="5"/>
  <c r="BB252" i="5"/>
  <c r="BB253" i="5"/>
  <c r="BB304" i="5"/>
  <c r="BB305" i="5"/>
  <c r="BB306" i="5"/>
  <c r="BB307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2" i="5"/>
  <c r="BB343" i="5"/>
  <c r="BB344" i="5"/>
  <c r="BB345" i="5"/>
  <c r="BB346" i="5"/>
  <c r="BB347" i="5"/>
  <c r="BB348" i="5"/>
  <c r="BB349" i="5"/>
  <c r="BB350" i="5"/>
  <c r="BB351" i="5"/>
  <c r="BB34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8" i="5"/>
  <c r="BB389" i="5"/>
  <c r="BB390" i="5"/>
  <c r="BB391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293" i="5"/>
  <c r="AI307" i="4"/>
  <c r="AI305" i="4"/>
  <c r="AI304" i="4"/>
  <c r="AI315" i="4"/>
  <c r="AI316" i="4"/>
  <c r="AI317" i="4"/>
  <c r="AI309" i="4"/>
  <c r="AI310" i="4"/>
  <c r="AI311" i="4"/>
  <c r="AI312" i="4"/>
  <c r="AI319" i="4"/>
  <c r="AI318" i="4"/>
  <c r="AI339" i="4"/>
  <c r="AI335" i="4"/>
  <c r="AI333" i="4"/>
  <c r="AI334" i="4"/>
  <c r="AI346" i="4"/>
  <c r="AI345" i="4"/>
  <c r="AI342" i="4"/>
  <c r="AI332" i="4"/>
  <c r="AI349" i="4"/>
  <c r="AI350" i="4"/>
  <c r="AI340" i="4"/>
  <c r="AI352" i="4"/>
  <c r="AI343" i="4"/>
  <c r="AI322" i="4"/>
  <c r="AI324" i="4"/>
  <c r="AI325" i="4"/>
  <c r="AI326" i="4"/>
  <c r="AI327" i="4"/>
  <c r="AI348" i="4"/>
  <c r="AI347" i="4"/>
  <c r="AI351" i="4"/>
  <c r="AI328" i="4"/>
  <c r="AI329" i="4"/>
  <c r="AI330" i="4"/>
  <c r="AI331" i="4"/>
  <c r="AI344" i="4"/>
  <c r="AI341" i="4"/>
  <c r="AI323" i="4"/>
  <c r="AI320" i="4"/>
  <c r="AI321" i="4"/>
  <c r="AI338" i="4"/>
  <c r="AI336" i="4"/>
  <c r="AI337" i="4"/>
  <c r="AI359" i="4"/>
  <c r="AI353" i="4"/>
  <c r="AI354" i="4"/>
  <c r="AI355" i="4"/>
  <c r="AI360" i="4"/>
  <c r="AI361" i="4"/>
  <c r="AI362" i="4"/>
  <c r="AI363" i="4"/>
  <c r="AI364" i="4"/>
  <c r="AI365" i="4"/>
  <c r="AI366" i="4"/>
  <c r="AI367" i="4"/>
  <c r="AI369" i="4"/>
  <c r="AI370" i="4"/>
  <c r="AI371" i="4"/>
  <c r="AI373" i="4"/>
  <c r="AI374" i="4"/>
  <c r="AI372" i="4"/>
  <c r="AI356" i="4"/>
  <c r="AI357" i="4"/>
  <c r="AI358" i="4"/>
  <c r="AI368" i="4"/>
  <c r="AI378" i="4"/>
  <c r="AI376" i="4"/>
  <c r="AI379" i="4"/>
  <c r="AI385" i="4"/>
  <c r="AI380" i="4"/>
  <c r="AI375" i="4"/>
  <c r="AI386" i="4"/>
  <c r="AI381" i="4"/>
  <c r="AI377" i="4"/>
  <c r="AI387" i="4"/>
  <c r="AI383" i="4"/>
  <c r="AI391" i="4"/>
  <c r="AI390" i="4"/>
  <c r="AI389" i="4"/>
  <c r="AI388" i="4"/>
  <c r="AI392" i="4"/>
  <c r="AI393" i="4"/>
  <c r="AI407" i="4"/>
  <c r="AI405" i="4"/>
  <c r="AI406" i="4"/>
  <c r="AI396" i="4"/>
  <c r="AI397" i="4"/>
  <c r="AI398" i="4"/>
  <c r="AI399" i="4"/>
  <c r="AI417" i="4"/>
  <c r="AI408" i="4"/>
  <c r="AI409" i="4"/>
  <c r="AI410" i="4"/>
  <c r="AI411" i="4"/>
  <c r="AI400" i="4"/>
  <c r="AI402" i="4"/>
  <c r="AI403" i="4"/>
  <c r="AI412" i="4"/>
  <c r="AI394" i="4"/>
  <c r="AI413" i="4"/>
  <c r="AI404" i="4"/>
  <c r="AI395" i="4"/>
  <c r="AI414" i="4"/>
  <c r="AI415" i="4"/>
  <c r="AI416" i="4"/>
  <c r="AI401" i="4"/>
  <c r="BF79" i="5"/>
  <c r="I43" i="3"/>
  <c r="E11" i="3"/>
  <c r="E12" i="3"/>
  <c r="E13" i="3"/>
  <c r="E14" i="3"/>
  <c r="E16" i="3"/>
  <c r="E17" i="3"/>
  <c r="E18" i="3"/>
  <c r="E19" i="3"/>
  <c r="E20" i="3"/>
  <c r="E21" i="3"/>
  <c r="E22" i="3"/>
  <c r="E23" i="3"/>
  <c r="E24" i="3"/>
  <c r="E26" i="3"/>
  <c r="E27" i="3"/>
  <c r="E28" i="3"/>
  <c r="E40" i="3"/>
  <c r="E30" i="3"/>
  <c r="E31" i="3"/>
  <c r="E41" i="3"/>
  <c r="E42" i="3"/>
  <c r="E43" i="3"/>
  <c r="E32" i="3"/>
  <c r="E33" i="3"/>
  <c r="E34" i="3"/>
  <c r="E35" i="3"/>
  <c r="E36" i="3"/>
  <c r="E37" i="3"/>
  <c r="E38" i="3"/>
  <c r="E39" i="3"/>
  <c r="E6" i="3"/>
  <c r="I36" i="3"/>
  <c r="I31" i="3"/>
  <c r="I21" i="3"/>
  <c r="I28" i="3"/>
  <c r="AM265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6" i="5"/>
  <c r="AQ166" i="5"/>
  <c r="AR166" i="5"/>
  <c r="AS166" i="5"/>
  <c r="AT166" i="5"/>
  <c r="AU166" i="5"/>
  <c r="AV166" i="5"/>
  <c r="AW166" i="5"/>
  <c r="AP110" i="5"/>
  <c r="AR110" i="5"/>
  <c r="AT110" i="5"/>
  <c r="AU110" i="5"/>
  <c r="AV110" i="5"/>
  <c r="AW110" i="5"/>
  <c r="AP167" i="5"/>
  <c r="AQ167" i="5"/>
  <c r="AR167" i="5"/>
  <c r="AS167" i="5"/>
  <c r="AT167" i="5"/>
  <c r="AU167" i="5"/>
  <c r="AV167" i="5"/>
  <c r="AW167" i="5"/>
  <c r="AP171" i="5"/>
  <c r="AR171" i="5"/>
  <c r="AT171" i="5"/>
  <c r="AU171" i="5"/>
  <c r="AV171" i="5"/>
  <c r="AW171" i="5"/>
  <c r="AP251" i="5"/>
  <c r="AR251" i="5"/>
  <c r="AT251" i="5"/>
  <c r="AU251" i="5"/>
  <c r="AV251" i="5"/>
  <c r="AW251" i="5"/>
  <c r="AP174" i="5"/>
  <c r="AQ174" i="5"/>
  <c r="AR174" i="5"/>
  <c r="AS174" i="5"/>
  <c r="AT174" i="5"/>
  <c r="AU174" i="5"/>
  <c r="AV174" i="5"/>
  <c r="AW174" i="5"/>
  <c r="AP185" i="5"/>
  <c r="AQ185" i="5"/>
  <c r="AR185" i="5"/>
  <c r="AS185" i="5"/>
  <c r="AT185" i="5"/>
  <c r="AU185" i="5"/>
  <c r="AV185" i="5"/>
  <c r="AW185" i="5"/>
  <c r="AP187" i="5"/>
  <c r="AQ187" i="5"/>
  <c r="AR187" i="5"/>
  <c r="AS187" i="5"/>
  <c r="AT187" i="5"/>
  <c r="AU187" i="5"/>
  <c r="AV187" i="5"/>
  <c r="AW187" i="5"/>
  <c r="AP188" i="5"/>
  <c r="AQ188" i="5"/>
  <c r="AR188" i="5"/>
  <c r="AS188" i="5"/>
  <c r="AT188" i="5"/>
  <c r="AU188" i="5"/>
  <c r="AV188" i="5"/>
  <c r="AW188" i="5"/>
  <c r="AP140" i="5"/>
  <c r="AQ140" i="5"/>
  <c r="AR140" i="5"/>
  <c r="AT140" i="5"/>
  <c r="AU140" i="5"/>
  <c r="AV140" i="5"/>
  <c r="AW140" i="5"/>
  <c r="AP172" i="5"/>
  <c r="AR172" i="5"/>
  <c r="AT172" i="5"/>
  <c r="AU172" i="5"/>
  <c r="AV172" i="5"/>
  <c r="AW172" i="5"/>
  <c r="AP223" i="5"/>
  <c r="AQ223" i="5"/>
  <c r="AR223" i="5"/>
  <c r="AT223" i="5"/>
  <c r="AU223" i="5"/>
  <c r="AV223" i="5"/>
  <c r="AW223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8" i="5"/>
  <c r="AR118" i="5"/>
  <c r="AT118" i="5"/>
  <c r="AU118" i="5"/>
  <c r="AV118" i="5"/>
  <c r="AW118" i="5"/>
  <c r="AP242" i="5"/>
  <c r="AQ242" i="5"/>
  <c r="AR242" i="5"/>
  <c r="AT242" i="5"/>
  <c r="AU242" i="5"/>
  <c r="AV242" i="5"/>
  <c r="AW242" i="5"/>
  <c r="AP265" i="5"/>
  <c r="AQ265" i="5"/>
  <c r="AR265" i="5"/>
  <c r="AS265" i="5"/>
  <c r="AT265" i="5"/>
  <c r="AU265" i="5"/>
  <c r="AV265" i="5"/>
  <c r="AW265" i="5"/>
  <c r="AP228" i="5"/>
  <c r="AR228" i="5"/>
  <c r="AT228" i="5"/>
  <c r="AU228" i="5"/>
  <c r="AV228" i="5"/>
  <c r="AW228" i="5"/>
  <c r="AP184" i="5"/>
  <c r="AQ184" i="5"/>
  <c r="AR184" i="5"/>
  <c r="AS184" i="5"/>
  <c r="AT184" i="5"/>
  <c r="AU184" i="5"/>
  <c r="AV184" i="5"/>
  <c r="AW184" i="5"/>
  <c r="AP209" i="5"/>
  <c r="AR209" i="5"/>
  <c r="AT209" i="5"/>
  <c r="AU209" i="5"/>
  <c r="AV209" i="5"/>
  <c r="AW209" i="5"/>
  <c r="AP226" i="5"/>
  <c r="AQ226" i="5"/>
  <c r="AR226" i="5"/>
  <c r="AT226" i="5"/>
  <c r="AU226" i="5"/>
  <c r="AV226" i="5"/>
  <c r="AW226" i="5"/>
  <c r="AP52" i="5"/>
  <c r="AR52" i="5"/>
  <c r="AT52" i="5"/>
  <c r="AU52" i="5"/>
  <c r="AV52" i="5"/>
  <c r="AW52" i="5"/>
  <c r="AP120" i="5"/>
  <c r="AQ120" i="5"/>
  <c r="AR120" i="5"/>
  <c r="AT120" i="5"/>
  <c r="AU120" i="5"/>
  <c r="AV120" i="5"/>
  <c r="AW120" i="5"/>
  <c r="AP175" i="5"/>
  <c r="AQ175" i="5"/>
  <c r="AR175" i="5"/>
  <c r="AS175" i="5"/>
  <c r="AT175" i="5"/>
  <c r="AU175" i="5"/>
  <c r="AV175" i="5"/>
  <c r="AW175" i="5"/>
  <c r="AP182" i="5"/>
  <c r="AQ182" i="5"/>
  <c r="AR182" i="5"/>
  <c r="AS182" i="5"/>
  <c r="AT182" i="5"/>
  <c r="AU182" i="5"/>
  <c r="AV182" i="5"/>
  <c r="AW182" i="5"/>
  <c r="AP186" i="5"/>
  <c r="AQ186" i="5"/>
  <c r="AR186" i="5"/>
  <c r="AS186" i="5"/>
  <c r="AT186" i="5"/>
  <c r="AU186" i="5"/>
  <c r="AV186" i="5"/>
  <c r="AW186" i="5"/>
  <c r="AP220" i="5"/>
  <c r="AQ220" i="5"/>
  <c r="AR220" i="5"/>
  <c r="AT220" i="5"/>
  <c r="AU220" i="5"/>
  <c r="AV220" i="5"/>
  <c r="AW220" i="5"/>
  <c r="AP221" i="5"/>
  <c r="AQ221" i="5"/>
  <c r="AR221" i="5"/>
  <c r="AT221" i="5"/>
  <c r="AU221" i="5"/>
  <c r="AV221" i="5"/>
  <c r="AW221" i="5"/>
  <c r="AP53" i="5"/>
  <c r="AR53" i="5"/>
  <c r="AT53" i="5"/>
  <c r="AU53" i="5"/>
  <c r="AV53" i="5"/>
  <c r="AW53" i="5"/>
  <c r="AP266" i="5"/>
  <c r="AR266" i="5"/>
  <c r="AS266" i="5"/>
  <c r="AT266" i="5"/>
  <c r="AU266" i="5"/>
  <c r="AV266" i="5"/>
  <c r="AW266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4" i="5"/>
  <c r="AQ274" i="5"/>
  <c r="AR274" i="5"/>
  <c r="AS274" i="5"/>
  <c r="AT274" i="5"/>
  <c r="AU274" i="5"/>
  <c r="AV274" i="5"/>
  <c r="AW274" i="5"/>
  <c r="AP126" i="5"/>
  <c r="AR126" i="5"/>
  <c r="AT126" i="5"/>
  <c r="AU126" i="5"/>
  <c r="AV126" i="5"/>
  <c r="AW126" i="5"/>
  <c r="AP129" i="5"/>
  <c r="AQ129" i="5"/>
  <c r="AR129" i="5"/>
  <c r="AT129" i="5"/>
  <c r="AU129" i="5"/>
  <c r="AV129" i="5"/>
  <c r="AW129" i="5"/>
  <c r="AP141" i="5"/>
  <c r="AQ141" i="5"/>
  <c r="AR141" i="5"/>
  <c r="AT141" i="5"/>
  <c r="AU141" i="5"/>
  <c r="AV141" i="5"/>
  <c r="AW141" i="5"/>
  <c r="AP178" i="5"/>
  <c r="AR178" i="5"/>
  <c r="AS178" i="5"/>
  <c r="AT178" i="5"/>
  <c r="AU178" i="5"/>
  <c r="AV178" i="5"/>
  <c r="AW178" i="5"/>
  <c r="AP183" i="5"/>
  <c r="AQ183" i="5"/>
  <c r="AR183" i="5"/>
  <c r="AS183" i="5"/>
  <c r="AT183" i="5"/>
  <c r="AU183" i="5"/>
  <c r="AV183" i="5"/>
  <c r="AW183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4" i="5"/>
  <c r="AR254" i="5"/>
  <c r="AS254" i="5"/>
  <c r="AT254" i="5"/>
  <c r="AU254" i="5"/>
  <c r="AV254" i="5"/>
  <c r="AW254" i="5"/>
  <c r="AP105" i="5"/>
  <c r="AQ105" i="5"/>
  <c r="AR105" i="5"/>
  <c r="AT105" i="5"/>
  <c r="AU105" i="5"/>
  <c r="AV105" i="5"/>
  <c r="AW105" i="5"/>
  <c r="AP271" i="5"/>
  <c r="AQ271" i="5"/>
  <c r="AR271" i="5"/>
  <c r="AT271" i="5"/>
  <c r="AU271" i="5"/>
  <c r="AV271" i="5"/>
  <c r="AW271" i="5"/>
  <c r="AP124" i="5"/>
  <c r="AQ124" i="5"/>
  <c r="AR124" i="5"/>
  <c r="AS124" i="5"/>
  <c r="AT124" i="5"/>
  <c r="AU124" i="5"/>
  <c r="AV124" i="5"/>
  <c r="AW124" i="5"/>
  <c r="AP147" i="5"/>
  <c r="AQ147" i="5"/>
  <c r="AR147" i="5"/>
  <c r="AT147" i="5"/>
  <c r="AU147" i="5"/>
  <c r="AV147" i="5"/>
  <c r="AW147" i="5"/>
  <c r="AP181" i="5"/>
  <c r="AQ181" i="5"/>
  <c r="AR181" i="5"/>
  <c r="AS181" i="5"/>
  <c r="AT181" i="5"/>
  <c r="AU181" i="5"/>
  <c r="AV181" i="5"/>
  <c r="AW181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9" i="5"/>
  <c r="AR299" i="5"/>
  <c r="AS299" i="5"/>
  <c r="AT299" i="5"/>
  <c r="AU299" i="5"/>
  <c r="AV299" i="5"/>
  <c r="AW299" i="5"/>
  <c r="AP61" i="5"/>
  <c r="AR61" i="5"/>
  <c r="AS61" i="5"/>
  <c r="AU61" i="5"/>
  <c r="AP111" i="5"/>
  <c r="AQ111" i="5"/>
  <c r="AR111" i="5"/>
  <c r="AT111" i="5"/>
  <c r="AU111" i="5"/>
  <c r="AV111" i="5"/>
  <c r="AW111" i="5"/>
  <c r="AP14" i="5"/>
  <c r="AQ14" i="5"/>
  <c r="AR14" i="5"/>
  <c r="AT14" i="5"/>
  <c r="AU14" i="5"/>
  <c r="AV14" i="5"/>
  <c r="AW14" i="5"/>
  <c r="AP136" i="5"/>
  <c r="AR136" i="5"/>
  <c r="AT136" i="5"/>
  <c r="AU136" i="5"/>
  <c r="AV136" i="5"/>
  <c r="AW136" i="5"/>
  <c r="AP165" i="5"/>
  <c r="AQ165" i="5"/>
  <c r="AR165" i="5"/>
  <c r="AS165" i="5"/>
  <c r="AT165" i="5"/>
  <c r="AU165" i="5"/>
  <c r="AV165" i="5"/>
  <c r="AW165" i="5"/>
  <c r="AP233" i="5"/>
  <c r="AR233" i="5"/>
  <c r="AT233" i="5"/>
  <c r="AU233" i="5"/>
  <c r="AV233" i="5"/>
  <c r="AW233" i="5"/>
  <c r="AP239" i="5"/>
  <c r="AR239" i="5"/>
  <c r="AT239" i="5"/>
  <c r="AU239" i="5"/>
  <c r="AV239" i="5"/>
  <c r="AW239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7" i="5"/>
  <c r="AR267" i="5"/>
  <c r="AS267" i="5"/>
  <c r="AT267" i="5"/>
  <c r="AU267" i="5"/>
  <c r="AV267" i="5"/>
  <c r="AW267" i="5"/>
  <c r="AP81" i="5"/>
  <c r="AR81" i="5"/>
  <c r="AT81" i="5"/>
  <c r="AU81" i="5"/>
  <c r="AV81" i="5"/>
  <c r="AW81" i="5"/>
  <c r="AP268" i="5"/>
  <c r="AR268" i="5"/>
  <c r="AT268" i="5"/>
  <c r="AU268" i="5"/>
  <c r="AV268" i="5"/>
  <c r="AW268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60" i="5"/>
  <c r="AR260" i="5"/>
  <c r="AT260" i="5"/>
  <c r="AU260" i="5"/>
  <c r="AV260" i="5"/>
  <c r="AW260" i="5"/>
  <c r="AP261" i="5"/>
  <c r="AR261" i="5"/>
  <c r="AT261" i="5"/>
  <c r="AU261" i="5"/>
  <c r="AV261" i="5"/>
  <c r="AW261" i="5"/>
  <c r="AP86" i="5"/>
  <c r="AR86" i="5"/>
  <c r="AT86" i="5"/>
  <c r="AU86" i="5"/>
  <c r="AV86" i="5"/>
  <c r="AW86" i="5"/>
  <c r="AP262" i="5"/>
  <c r="AR262" i="5"/>
  <c r="AT262" i="5"/>
  <c r="AU262" i="5"/>
  <c r="AV262" i="5"/>
  <c r="AW262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3" i="5"/>
  <c r="AR263" i="5"/>
  <c r="AT263" i="5"/>
  <c r="AU263" i="5"/>
  <c r="AV263" i="5"/>
  <c r="AW263" i="5"/>
  <c r="AP103" i="5"/>
  <c r="AQ103" i="5"/>
  <c r="AR103" i="5"/>
  <c r="AT103" i="5"/>
  <c r="AU103" i="5"/>
  <c r="AV103" i="5"/>
  <c r="AW103" i="5"/>
  <c r="AP104" i="5"/>
  <c r="AQ104" i="5"/>
  <c r="AR104" i="5"/>
  <c r="AT104" i="5"/>
  <c r="AU104" i="5"/>
  <c r="AV104" i="5"/>
  <c r="AW104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109" i="5"/>
  <c r="AQ109" i="5"/>
  <c r="AR109" i="5"/>
  <c r="AT109" i="5"/>
  <c r="AU109" i="5"/>
  <c r="AV109" i="5"/>
  <c r="AW109" i="5"/>
  <c r="AP269" i="5"/>
  <c r="AQ269" i="5"/>
  <c r="AR269" i="5"/>
  <c r="AT269" i="5"/>
  <c r="AU269" i="5"/>
  <c r="AV269" i="5"/>
  <c r="AW269" i="5"/>
  <c r="AP132" i="5"/>
  <c r="AQ132" i="5"/>
  <c r="AR132" i="5"/>
  <c r="AT132" i="5"/>
  <c r="AU132" i="5"/>
  <c r="AV132" i="5"/>
  <c r="AW132" i="5"/>
  <c r="AP146" i="5"/>
  <c r="AQ146" i="5"/>
  <c r="AR146" i="5"/>
  <c r="AT146" i="5"/>
  <c r="AU146" i="5"/>
  <c r="AV146" i="5"/>
  <c r="AW146" i="5"/>
  <c r="AP156" i="5"/>
  <c r="AQ156" i="5"/>
  <c r="AR156" i="5"/>
  <c r="AT156" i="5"/>
  <c r="AU156" i="5"/>
  <c r="AV156" i="5"/>
  <c r="AW156" i="5"/>
  <c r="AP160" i="5"/>
  <c r="AQ160" i="5"/>
  <c r="AR160" i="5"/>
  <c r="AT160" i="5"/>
  <c r="AU160" i="5"/>
  <c r="AV160" i="5"/>
  <c r="AW160" i="5"/>
  <c r="AP161" i="5"/>
  <c r="AQ161" i="5"/>
  <c r="AR161" i="5"/>
  <c r="AT161" i="5"/>
  <c r="AU161" i="5"/>
  <c r="AV161" i="5"/>
  <c r="AW161" i="5"/>
  <c r="AP163" i="5"/>
  <c r="AR163" i="5"/>
  <c r="AT163" i="5"/>
  <c r="AU163" i="5"/>
  <c r="AV163" i="5"/>
  <c r="AW163" i="5"/>
  <c r="AP169" i="5"/>
  <c r="AR169" i="5"/>
  <c r="AT169" i="5"/>
  <c r="AU169" i="5"/>
  <c r="AV169" i="5"/>
  <c r="AW169" i="5"/>
  <c r="AP179" i="5"/>
  <c r="AR179" i="5"/>
  <c r="AT179" i="5"/>
  <c r="AU179" i="5"/>
  <c r="AV179" i="5"/>
  <c r="AW179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00" i="5"/>
  <c r="AQ200" i="5"/>
  <c r="AR200" i="5"/>
  <c r="AT200" i="5"/>
  <c r="AU200" i="5"/>
  <c r="AV200" i="5"/>
  <c r="AW200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T205" i="5"/>
  <c r="AU205" i="5"/>
  <c r="AV205" i="5"/>
  <c r="AW205" i="5"/>
  <c r="AP206" i="5"/>
  <c r="AR206" i="5"/>
  <c r="AS206" i="5"/>
  <c r="AT206" i="5"/>
  <c r="AU206" i="5"/>
  <c r="AV206" i="5"/>
  <c r="AW206" i="5"/>
  <c r="AP207" i="5"/>
  <c r="AR207" i="5"/>
  <c r="AT207" i="5"/>
  <c r="AU207" i="5"/>
  <c r="AV207" i="5"/>
  <c r="AW207" i="5"/>
  <c r="AP210" i="5"/>
  <c r="AQ210" i="5"/>
  <c r="AR210" i="5"/>
  <c r="AT210" i="5"/>
  <c r="AU210" i="5"/>
  <c r="AV210" i="5"/>
  <c r="AW210" i="5"/>
  <c r="AP211" i="5"/>
  <c r="AQ211" i="5"/>
  <c r="AR211" i="5"/>
  <c r="AT211" i="5"/>
  <c r="AU211" i="5"/>
  <c r="AV211" i="5"/>
  <c r="AW211" i="5"/>
  <c r="AP215" i="5"/>
  <c r="AQ215" i="5"/>
  <c r="AR215" i="5"/>
  <c r="AT215" i="5"/>
  <c r="AU215" i="5"/>
  <c r="AV215" i="5"/>
  <c r="AW215" i="5"/>
  <c r="AP219" i="5"/>
  <c r="AR219" i="5"/>
  <c r="AT219" i="5"/>
  <c r="AU219" i="5"/>
  <c r="AV219" i="5"/>
  <c r="AW219" i="5"/>
  <c r="AP230" i="5"/>
  <c r="AQ230" i="5"/>
  <c r="AR230" i="5"/>
  <c r="AT230" i="5"/>
  <c r="AU230" i="5"/>
  <c r="AV230" i="5"/>
  <c r="AW230" i="5"/>
  <c r="AP231" i="5"/>
  <c r="AQ231" i="5"/>
  <c r="AR231" i="5"/>
  <c r="AT231" i="5"/>
  <c r="AU231" i="5"/>
  <c r="AV231" i="5"/>
  <c r="AW231" i="5"/>
  <c r="AP235" i="5"/>
  <c r="AR235" i="5"/>
  <c r="AT235" i="5"/>
  <c r="AU235" i="5"/>
  <c r="AV235" i="5"/>
  <c r="AW235" i="5"/>
  <c r="AP236" i="5"/>
  <c r="AR236" i="5"/>
  <c r="AT236" i="5"/>
  <c r="AU236" i="5"/>
  <c r="AV236" i="5"/>
  <c r="AW236" i="5"/>
  <c r="AP238" i="5"/>
  <c r="AR238" i="5"/>
  <c r="AT238" i="5"/>
  <c r="AU238" i="5"/>
  <c r="AV238" i="5"/>
  <c r="AW238" i="5"/>
  <c r="AP244" i="5"/>
  <c r="AR244" i="5"/>
  <c r="AT244" i="5"/>
  <c r="AU244" i="5"/>
  <c r="AV244" i="5"/>
  <c r="AW244" i="5"/>
  <c r="AP246" i="5"/>
  <c r="AR246" i="5"/>
  <c r="AT246" i="5"/>
  <c r="AU246" i="5"/>
  <c r="AV246" i="5"/>
  <c r="AW246" i="5"/>
  <c r="AP253" i="5"/>
  <c r="AR253" i="5"/>
  <c r="AT253" i="5"/>
  <c r="AU253" i="5"/>
  <c r="AV253" i="5"/>
  <c r="AW253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2" i="5"/>
  <c r="AR102" i="5"/>
  <c r="AS102" i="5"/>
  <c r="AT102" i="5"/>
  <c r="AU102" i="5"/>
  <c r="AV102" i="5"/>
  <c r="AW102" i="5"/>
  <c r="AP112" i="5"/>
  <c r="AR112" i="5"/>
  <c r="AT112" i="5"/>
  <c r="AU112" i="5"/>
  <c r="AV112" i="5"/>
  <c r="AW112" i="5"/>
  <c r="AP144" i="5"/>
  <c r="AR144" i="5"/>
  <c r="AT144" i="5"/>
  <c r="AU144" i="5"/>
  <c r="AV144" i="5"/>
  <c r="AW144" i="5"/>
  <c r="AP159" i="5"/>
  <c r="AQ159" i="5"/>
  <c r="AR159" i="5"/>
  <c r="AT159" i="5"/>
  <c r="AU159" i="5"/>
  <c r="AV159" i="5"/>
  <c r="AW159" i="5"/>
  <c r="AP214" i="5"/>
  <c r="AQ214" i="5"/>
  <c r="AR214" i="5"/>
  <c r="AT214" i="5"/>
  <c r="AU214" i="5"/>
  <c r="AV214" i="5"/>
  <c r="AW214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18" i="5"/>
  <c r="AQ218" i="5"/>
  <c r="AR218" i="5"/>
  <c r="AS218" i="5"/>
  <c r="AT218" i="5"/>
  <c r="AU218" i="5"/>
  <c r="AV218" i="5"/>
  <c r="AW218" i="5"/>
  <c r="AP33" i="5"/>
  <c r="AR33" i="5"/>
  <c r="AU33" i="5"/>
  <c r="AP234" i="5"/>
  <c r="AR234" i="5"/>
  <c r="AU234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1" i="5"/>
  <c r="AR101" i="5"/>
  <c r="AT101" i="5"/>
  <c r="AU101" i="5"/>
  <c r="AV101" i="5"/>
  <c r="AW101" i="5"/>
  <c r="AP115" i="5"/>
  <c r="AR115" i="5"/>
  <c r="AT115" i="5"/>
  <c r="AU115" i="5"/>
  <c r="AV115" i="5"/>
  <c r="AW115" i="5"/>
  <c r="AP15" i="5"/>
  <c r="AQ15" i="5"/>
  <c r="AR15" i="5"/>
  <c r="AT15" i="5"/>
  <c r="AU15" i="5"/>
  <c r="AV15" i="5"/>
  <c r="AW15" i="5"/>
  <c r="AP133" i="5"/>
  <c r="AQ133" i="5"/>
  <c r="AR133" i="5"/>
  <c r="AT133" i="5"/>
  <c r="AU133" i="5"/>
  <c r="AV133" i="5"/>
  <c r="AW133" i="5"/>
  <c r="AP134" i="5"/>
  <c r="AR134" i="5"/>
  <c r="AS134" i="5"/>
  <c r="AT134" i="5"/>
  <c r="AU134" i="5"/>
  <c r="AV134" i="5"/>
  <c r="AW134" i="5"/>
  <c r="AP139" i="5"/>
  <c r="AR139" i="5"/>
  <c r="AT139" i="5"/>
  <c r="AU139" i="5"/>
  <c r="AV139" i="5"/>
  <c r="AW139" i="5"/>
  <c r="AP142" i="5"/>
  <c r="AQ142" i="5"/>
  <c r="AR142" i="5"/>
  <c r="AT142" i="5"/>
  <c r="AU142" i="5"/>
  <c r="AV142" i="5"/>
  <c r="AW142" i="5"/>
  <c r="AP149" i="5"/>
  <c r="AQ149" i="5"/>
  <c r="AR149" i="5"/>
  <c r="AS149" i="5"/>
  <c r="AT149" i="5"/>
  <c r="AU149" i="5"/>
  <c r="AV149" i="5"/>
  <c r="AW149" i="5"/>
  <c r="AP153" i="5"/>
  <c r="AQ153" i="5"/>
  <c r="AR153" i="5"/>
  <c r="AT153" i="5"/>
  <c r="AU153" i="5"/>
  <c r="AV153" i="5"/>
  <c r="AW153" i="5"/>
  <c r="AP168" i="5"/>
  <c r="AR168" i="5"/>
  <c r="AT168" i="5"/>
  <c r="AU168" i="5"/>
  <c r="AV168" i="5"/>
  <c r="AW168" i="5"/>
  <c r="AP170" i="5"/>
  <c r="AR170" i="5"/>
  <c r="AT170" i="5"/>
  <c r="AU170" i="5"/>
  <c r="AV170" i="5"/>
  <c r="AW170" i="5"/>
  <c r="AP190" i="5"/>
  <c r="AR190" i="5"/>
  <c r="AT190" i="5"/>
  <c r="AU190" i="5"/>
  <c r="AV190" i="5"/>
  <c r="AW190" i="5"/>
  <c r="AP192" i="5"/>
  <c r="AR192" i="5"/>
  <c r="AT192" i="5"/>
  <c r="AU192" i="5"/>
  <c r="AV192" i="5"/>
  <c r="AW192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1" i="5"/>
  <c r="AR21" i="5"/>
  <c r="AT21" i="5"/>
  <c r="AU21" i="5"/>
  <c r="AV21" i="5"/>
  <c r="AW21" i="5"/>
  <c r="AP213" i="5"/>
  <c r="AQ213" i="5"/>
  <c r="AR213" i="5"/>
  <c r="AT213" i="5"/>
  <c r="AU213" i="5"/>
  <c r="AV213" i="5"/>
  <c r="AW213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40" i="5"/>
  <c r="AQ240" i="5"/>
  <c r="AR240" i="5"/>
  <c r="AT240" i="5"/>
  <c r="AU240" i="5"/>
  <c r="AV240" i="5"/>
  <c r="AW240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100" i="5"/>
  <c r="AR100" i="5"/>
  <c r="AT100" i="5"/>
  <c r="AU100" i="5"/>
  <c r="AV100" i="5"/>
  <c r="AW100" i="5"/>
  <c r="AP113" i="5"/>
  <c r="AR113" i="5"/>
  <c r="AT113" i="5"/>
  <c r="AU113" i="5"/>
  <c r="AV113" i="5"/>
  <c r="AW113" i="5"/>
  <c r="AP131" i="5"/>
  <c r="AQ131" i="5"/>
  <c r="AR131" i="5"/>
  <c r="AT131" i="5"/>
  <c r="AU131" i="5"/>
  <c r="AV131" i="5"/>
  <c r="AW131" i="5"/>
  <c r="AP143" i="5"/>
  <c r="AR143" i="5"/>
  <c r="AS143" i="5"/>
  <c r="AT143" i="5"/>
  <c r="AU143" i="5"/>
  <c r="AV143" i="5"/>
  <c r="AW143" i="5"/>
  <c r="AP157" i="5"/>
  <c r="AR157" i="5"/>
  <c r="AS157" i="5"/>
  <c r="AT157" i="5"/>
  <c r="AU157" i="5"/>
  <c r="AV157" i="5"/>
  <c r="AW157" i="5"/>
  <c r="AP173" i="5"/>
  <c r="AR173" i="5"/>
  <c r="AT173" i="5"/>
  <c r="AU173" i="5"/>
  <c r="AV173" i="5"/>
  <c r="AW173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4" i="5"/>
  <c r="AR284" i="5"/>
  <c r="AT284" i="5"/>
  <c r="AU284" i="5"/>
  <c r="AV284" i="5"/>
  <c r="AW284" i="5"/>
  <c r="AP196" i="5"/>
  <c r="AR196" i="5"/>
  <c r="AT196" i="5"/>
  <c r="AU196" i="5"/>
  <c r="AV196" i="5"/>
  <c r="AW196" i="5"/>
  <c r="AP289" i="5"/>
  <c r="AR289" i="5"/>
  <c r="AT289" i="5"/>
  <c r="AU289" i="5"/>
  <c r="AV289" i="5"/>
  <c r="AW289" i="5"/>
  <c r="AP293" i="5"/>
  <c r="AR293" i="5"/>
  <c r="AT293" i="5"/>
  <c r="AU293" i="5"/>
  <c r="AV293" i="5"/>
  <c r="AW293" i="5"/>
  <c r="AP296" i="5"/>
  <c r="AR296" i="5"/>
  <c r="AT296" i="5"/>
  <c r="AU296" i="5"/>
  <c r="AV296" i="5"/>
  <c r="AW296" i="5"/>
  <c r="AP297" i="5"/>
  <c r="AR297" i="5"/>
  <c r="AT297" i="5"/>
  <c r="AU297" i="5"/>
  <c r="AV297" i="5"/>
  <c r="AW297" i="5"/>
  <c r="AP237" i="5"/>
  <c r="AR237" i="5"/>
  <c r="AT237" i="5"/>
  <c r="AU237" i="5"/>
  <c r="AV237" i="5"/>
  <c r="AW237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1" i="5"/>
  <c r="AR281" i="5"/>
  <c r="AT281" i="5"/>
  <c r="AU281" i="5"/>
  <c r="AV281" i="5"/>
  <c r="AW281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3" i="5"/>
  <c r="AR283" i="5"/>
  <c r="AT283" i="5"/>
  <c r="AU283" i="5"/>
  <c r="AV283" i="5"/>
  <c r="AW283" i="5"/>
  <c r="AP212" i="5"/>
  <c r="AQ212" i="5"/>
  <c r="AR212" i="5"/>
  <c r="AT212" i="5"/>
  <c r="AU212" i="5"/>
  <c r="AV212" i="5"/>
  <c r="AW212" i="5"/>
  <c r="AP259" i="5"/>
  <c r="AR259" i="5"/>
  <c r="AT259" i="5"/>
  <c r="AU259" i="5"/>
  <c r="AV259" i="5"/>
  <c r="AW259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70" i="5"/>
  <c r="AR270" i="5"/>
  <c r="AS270" i="5"/>
  <c r="AT270" i="5"/>
  <c r="AU270" i="5"/>
  <c r="AV270" i="5"/>
  <c r="AW270" i="5"/>
  <c r="AP127" i="5"/>
  <c r="AR127" i="5"/>
  <c r="AT127" i="5"/>
  <c r="AU127" i="5"/>
  <c r="AV127" i="5"/>
  <c r="AW127" i="5"/>
  <c r="AP128" i="5"/>
  <c r="AR128" i="5"/>
  <c r="AT128" i="5"/>
  <c r="AU128" i="5"/>
  <c r="AV128" i="5"/>
  <c r="AW128" i="5"/>
  <c r="AP138" i="5"/>
  <c r="AR138" i="5"/>
  <c r="AT138" i="5"/>
  <c r="AU138" i="5"/>
  <c r="AV138" i="5"/>
  <c r="AW138" i="5"/>
  <c r="AP158" i="5"/>
  <c r="AR158" i="5"/>
  <c r="AT158" i="5"/>
  <c r="AU158" i="5"/>
  <c r="AV158" i="5"/>
  <c r="AW158" i="5"/>
  <c r="AP194" i="5"/>
  <c r="AR194" i="5"/>
  <c r="AT194" i="5"/>
  <c r="AU194" i="5"/>
  <c r="AV194" i="5"/>
  <c r="AW194" i="5"/>
  <c r="AP287" i="5"/>
  <c r="AR287" i="5"/>
  <c r="AT287" i="5"/>
  <c r="AU287" i="5"/>
  <c r="AV287" i="5"/>
  <c r="AW287" i="5"/>
  <c r="AP177" i="5"/>
  <c r="AR177" i="5"/>
  <c r="AS177" i="5"/>
  <c r="AU177" i="5"/>
  <c r="AP180" i="5"/>
  <c r="AQ180" i="5"/>
  <c r="AR180" i="5"/>
  <c r="AT180" i="5"/>
  <c r="AU180" i="5"/>
  <c r="AV180" i="5"/>
  <c r="AW180" i="5"/>
  <c r="AP288" i="5"/>
  <c r="AR288" i="5"/>
  <c r="AT288" i="5"/>
  <c r="AU288" i="5"/>
  <c r="AV288" i="5"/>
  <c r="AW288" i="5"/>
  <c r="AP245" i="5"/>
  <c r="AR245" i="5"/>
  <c r="AT245" i="5"/>
  <c r="AU245" i="5"/>
  <c r="AV245" i="5"/>
  <c r="AW245" i="5"/>
  <c r="AP91" i="5"/>
  <c r="AR91" i="5"/>
  <c r="AS91" i="5"/>
  <c r="AT91" i="5"/>
  <c r="AU91" i="5"/>
  <c r="AV91" i="5"/>
  <c r="AW91" i="5"/>
  <c r="AP130" i="5"/>
  <c r="AQ130" i="5"/>
  <c r="AR130" i="5"/>
  <c r="AU130" i="5"/>
  <c r="AP150" i="5"/>
  <c r="AR150" i="5"/>
  <c r="AU150" i="5"/>
  <c r="AP189" i="5"/>
  <c r="AR189" i="5"/>
  <c r="AS189" i="5"/>
  <c r="AU189" i="5"/>
  <c r="AP2" i="5"/>
  <c r="AR2" i="5"/>
  <c r="AT2" i="5"/>
  <c r="AU2" i="5"/>
  <c r="AV2" i="5"/>
  <c r="AW2" i="5"/>
  <c r="AP125" i="5"/>
  <c r="AR125" i="5"/>
  <c r="AT125" i="5"/>
  <c r="AU125" i="5"/>
  <c r="AV125" i="5"/>
  <c r="AW125" i="5"/>
  <c r="AP176" i="5"/>
  <c r="AR176" i="5"/>
  <c r="AS176" i="5"/>
  <c r="AU176" i="5"/>
  <c r="AP31" i="5"/>
  <c r="AR31" i="5"/>
  <c r="AU31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249" i="5"/>
  <c r="AR249" i="5"/>
  <c r="AT249" i="5"/>
  <c r="AU249" i="5"/>
  <c r="AV249" i="5"/>
  <c r="AW249" i="5"/>
  <c r="AP117" i="5"/>
  <c r="AQ117" i="5"/>
  <c r="AR117" i="5"/>
  <c r="AS117" i="5"/>
  <c r="AT117" i="5"/>
  <c r="AU117" i="5"/>
  <c r="AV117" i="5"/>
  <c r="AW117" i="5"/>
  <c r="AP155" i="5"/>
  <c r="AR155" i="5"/>
  <c r="AT155" i="5"/>
  <c r="AU155" i="5"/>
  <c r="AV155" i="5"/>
  <c r="AW155" i="5"/>
  <c r="AP243" i="5"/>
  <c r="AR243" i="5"/>
  <c r="AT243" i="5"/>
  <c r="AU243" i="5"/>
  <c r="AV243" i="5"/>
  <c r="AW243" i="5"/>
  <c r="AP201" i="5"/>
  <c r="AR201" i="5"/>
  <c r="AT201" i="5"/>
  <c r="AU201" i="5"/>
  <c r="AV201" i="5"/>
  <c r="AW201" i="5"/>
  <c r="AP208" i="5"/>
  <c r="AR208" i="5"/>
  <c r="AS208" i="5"/>
  <c r="AT208" i="5"/>
  <c r="AU208" i="5"/>
  <c r="AV208" i="5"/>
  <c r="AW208" i="5"/>
  <c r="AP232" i="5"/>
  <c r="AR232" i="5"/>
  <c r="AT232" i="5"/>
  <c r="AU232" i="5"/>
  <c r="AV232" i="5"/>
  <c r="AW232" i="5"/>
  <c r="AP276" i="5"/>
  <c r="AR276" i="5"/>
  <c r="AS276" i="5"/>
  <c r="AT276" i="5"/>
  <c r="AU276" i="5"/>
  <c r="AV276" i="5"/>
  <c r="AW276" i="5"/>
  <c r="AP164" i="5"/>
  <c r="AR164" i="5"/>
  <c r="AT164" i="5"/>
  <c r="AU164" i="5"/>
  <c r="AV164" i="5"/>
  <c r="AW164" i="5"/>
  <c r="AP229" i="5"/>
  <c r="AQ229" i="5"/>
  <c r="AR229" i="5"/>
  <c r="AS229" i="5"/>
  <c r="AT229" i="5"/>
  <c r="AU229" i="5"/>
  <c r="AV229" i="5"/>
  <c r="AW229" i="5"/>
  <c r="AP119" i="5"/>
  <c r="AR119" i="5"/>
  <c r="AT119" i="5"/>
  <c r="AU119" i="5"/>
  <c r="AV119" i="5"/>
  <c r="AW119" i="5"/>
  <c r="AP275" i="5"/>
  <c r="AR275" i="5"/>
  <c r="AT275" i="5"/>
  <c r="AU275" i="5"/>
  <c r="AV275" i="5"/>
  <c r="AW275" i="5"/>
  <c r="AP34" i="5"/>
  <c r="AR34" i="5"/>
  <c r="AU34" i="5"/>
  <c r="AP135" i="5"/>
  <c r="AR135" i="5"/>
  <c r="AS135" i="5"/>
  <c r="AT135" i="5"/>
  <c r="AU135" i="5"/>
  <c r="AV135" i="5"/>
  <c r="AW135" i="5"/>
  <c r="AP273" i="5"/>
  <c r="AQ273" i="5"/>
  <c r="AR273" i="5"/>
  <c r="AS273" i="5"/>
  <c r="AT273" i="5"/>
  <c r="AU273" i="5"/>
  <c r="AV273" i="5"/>
  <c r="AW273" i="5"/>
  <c r="AP137" i="5"/>
  <c r="AR137" i="5"/>
  <c r="AS137" i="5"/>
  <c r="AT137" i="5"/>
  <c r="AU137" i="5"/>
  <c r="AV137" i="5"/>
  <c r="AW137" i="5"/>
  <c r="AP148" i="5"/>
  <c r="AR148" i="5"/>
  <c r="AS148" i="5"/>
  <c r="AT148" i="5"/>
  <c r="AU148" i="5"/>
  <c r="AV148" i="5"/>
  <c r="AW148" i="5"/>
  <c r="AP278" i="5"/>
  <c r="AQ278" i="5"/>
  <c r="AR278" i="5"/>
  <c r="AS278" i="5"/>
  <c r="AT278" i="5"/>
  <c r="AU278" i="5"/>
  <c r="AV278" i="5"/>
  <c r="AW278" i="5"/>
  <c r="AP46" i="5"/>
  <c r="AR46" i="5"/>
  <c r="AT46" i="5"/>
  <c r="AU46" i="5"/>
  <c r="AV46" i="5"/>
  <c r="AW46" i="5"/>
  <c r="AP145" i="5"/>
  <c r="AQ145" i="5"/>
  <c r="AR145" i="5"/>
  <c r="AS145" i="5"/>
  <c r="AT145" i="5"/>
  <c r="AU145" i="5"/>
  <c r="AV145" i="5"/>
  <c r="AW145" i="5"/>
  <c r="AP5" i="5"/>
  <c r="AQ5" i="5"/>
  <c r="AR5" i="5"/>
  <c r="AT5" i="5"/>
  <c r="AU5" i="5"/>
  <c r="AV5" i="5"/>
  <c r="AW5" i="5"/>
  <c r="AP222" i="5"/>
  <c r="AQ222" i="5"/>
  <c r="AR222" i="5"/>
  <c r="AS222" i="5"/>
  <c r="AT222" i="5"/>
  <c r="AU222" i="5"/>
  <c r="AV222" i="5"/>
  <c r="AW222" i="5"/>
  <c r="AP298" i="5"/>
  <c r="AR298" i="5"/>
  <c r="AT298" i="5"/>
  <c r="AU298" i="5"/>
  <c r="AV298" i="5"/>
  <c r="AW298" i="5"/>
  <c r="AP279" i="5"/>
  <c r="AR279" i="5"/>
  <c r="AT279" i="5"/>
  <c r="AU279" i="5"/>
  <c r="AV279" i="5"/>
  <c r="AW279" i="5"/>
  <c r="AP195" i="5"/>
  <c r="AR195" i="5"/>
  <c r="AT195" i="5"/>
  <c r="AU195" i="5"/>
  <c r="AV195" i="5"/>
  <c r="AW195" i="5"/>
  <c r="AP197" i="5"/>
  <c r="AR197" i="5"/>
  <c r="AT197" i="5"/>
  <c r="AU197" i="5"/>
  <c r="AV197" i="5"/>
  <c r="AW197" i="5"/>
  <c r="AP225" i="5"/>
  <c r="AR225" i="5"/>
  <c r="AS225" i="5"/>
  <c r="AT225" i="5"/>
  <c r="AU225" i="5"/>
  <c r="AV225" i="5"/>
  <c r="AW225" i="5"/>
  <c r="AP252" i="5"/>
  <c r="AR252" i="5"/>
  <c r="AT252" i="5"/>
  <c r="AU252" i="5"/>
  <c r="AV252" i="5"/>
  <c r="AW252" i="5"/>
  <c r="AP99" i="5"/>
  <c r="AR99" i="5"/>
  <c r="AT99" i="5"/>
  <c r="AU99" i="5"/>
  <c r="AV99" i="5"/>
  <c r="AW99" i="5"/>
  <c r="AP121" i="5"/>
  <c r="AR121" i="5"/>
  <c r="AT121" i="5"/>
  <c r="AU121" i="5"/>
  <c r="AV121" i="5"/>
  <c r="AW121" i="5"/>
  <c r="AP90" i="5"/>
  <c r="AR90" i="5"/>
  <c r="AS90" i="5"/>
  <c r="AT90" i="5"/>
  <c r="AU90" i="5"/>
  <c r="AV90" i="5"/>
  <c r="AW90" i="5"/>
  <c r="AP277" i="5"/>
  <c r="AR277" i="5"/>
  <c r="AT277" i="5"/>
  <c r="AU277" i="5"/>
  <c r="AV277" i="5"/>
  <c r="AW277" i="5"/>
  <c r="AP152" i="5"/>
  <c r="AR152" i="5"/>
  <c r="AS152" i="5"/>
  <c r="AT152" i="5"/>
  <c r="AU152" i="5"/>
  <c r="AV152" i="5"/>
  <c r="AW152" i="5"/>
  <c r="AP70" i="5"/>
  <c r="AR70" i="5"/>
  <c r="AT70" i="5"/>
  <c r="AU70" i="5"/>
  <c r="AV70" i="5"/>
  <c r="AW70" i="5"/>
  <c r="AZ70" i="5"/>
  <c r="AP198" i="5"/>
  <c r="AR198" i="5"/>
  <c r="AS198" i="5"/>
  <c r="AT198" i="5"/>
  <c r="AU198" i="5"/>
  <c r="AV198" i="5"/>
  <c r="AW198" i="5"/>
  <c r="AP151" i="5"/>
  <c r="AQ151" i="5"/>
  <c r="AR151" i="5"/>
  <c r="AT151" i="5"/>
  <c r="AU151" i="5"/>
  <c r="AV151" i="5"/>
  <c r="AW151" i="5"/>
  <c r="AP106" i="5"/>
  <c r="AQ106" i="5"/>
  <c r="AR106" i="5"/>
  <c r="AT106" i="5"/>
  <c r="AU106" i="5"/>
  <c r="AV106" i="5"/>
  <c r="AW106" i="5"/>
  <c r="AP96" i="5"/>
  <c r="AR96" i="5"/>
  <c r="AT96" i="5"/>
  <c r="AU96" i="5"/>
  <c r="AV96" i="5"/>
  <c r="AW96" i="5"/>
  <c r="AP295" i="5"/>
  <c r="AR295" i="5"/>
  <c r="AT295" i="5"/>
  <c r="AU295" i="5"/>
  <c r="AV295" i="5"/>
  <c r="AW295" i="5"/>
  <c r="AP48" i="5"/>
  <c r="AR48" i="5"/>
  <c r="AT48" i="5"/>
  <c r="AU48" i="5"/>
  <c r="AV48" i="5"/>
  <c r="AW48" i="5"/>
  <c r="AP250" i="5"/>
  <c r="AR250" i="5"/>
  <c r="AT250" i="5"/>
  <c r="AU250" i="5"/>
  <c r="AV250" i="5"/>
  <c r="AW250" i="5"/>
  <c r="AP36" i="5"/>
  <c r="AR36" i="5"/>
  <c r="AT36" i="5"/>
  <c r="AU36" i="5"/>
  <c r="AV36" i="5"/>
  <c r="AW36" i="5"/>
  <c r="AP122" i="5"/>
  <c r="AR122" i="5"/>
  <c r="AT122" i="5"/>
  <c r="AU122" i="5"/>
  <c r="AV122" i="5"/>
  <c r="AW122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3" i="5"/>
  <c r="AR123" i="5"/>
  <c r="AT123" i="5"/>
  <c r="AU123" i="5"/>
  <c r="AV123" i="5"/>
  <c r="AW123" i="5"/>
  <c r="AP227" i="5"/>
  <c r="AQ227" i="5"/>
  <c r="AR227" i="5"/>
  <c r="AS227" i="5"/>
  <c r="AT227" i="5"/>
  <c r="AU227" i="5"/>
  <c r="AV227" i="5"/>
  <c r="AW227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9" i="5"/>
  <c r="AQ199" i="5"/>
  <c r="AR199" i="5"/>
  <c r="AT199" i="5"/>
  <c r="AU199" i="5"/>
  <c r="AV199" i="5"/>
  <c r="AW199" i="5"/>
  <c r="AP4" i="5"/>
  <c r="AR4" i="5"/>
  <c r="AS4" i="5"/>
  <c r="AT4" i="5"/>
  <c r="AU4" i="5"/>
  <c r="AV4" i="5"/>
  <c r="AW4" i="5"/>
  <c r="AP224" i="5"/>
  <c r="AR224" i="5"/>
  <c r="AT224" i="5"/>
  <c r="AU224" i="5"/>
  <c r="AV224" i="5"/>
  <c r="AW224" i="5"/>
  <c r="AP154" i="5"/>
  <c r="AR154" i="5"/>
  <c r="AS154" i="5"/>
  <c r="AT154" i="5"/>
  <c r="AU154" i="5"/>
  <c r="AV154" i="5"/>
  <c r="AW154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6" i="5"/>
  <c r="AR256" i="5"/>
  <c r="AS256" i="5"/>
  <c r="AT256" i="5"/>
  <c r="AU256" i="5"/>
  <c r="AV256" i="5"/>
  <c r="AW256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4" i="5"/>
  <c r="AR114" i="5"/>
  <c r="AT114" i="5"/>
  <c r="AU114" i="5"/>
  <c r="AV114" i="5"/>
  <c r="AW114" i="5"/>
  <c r="AP272" i="5"/>
  <c r="AQ272" i="5"/>
  <c r="AR272" i="5"/>
  <c r="AT272" i="5"/>
  <c r="AU272" i="5"/>
  <c r="AV272" i="5"/>
  <c r="AW272" i="5"/>
  <c r="AP258" i="5"/>
  <c r="AR258" i="5"/>
  <c r="AT258" i="5"/>
  <c r="AU258" i="5"/>
  <c r="AV258" i="5"/>
  <c r="AW258" i="5"/>
  <c r="AP280" i="5"/>
  <c r="AR280" i="5"/>
  <c r="AS280" i="5"/>
  <c r="AT280" i="5"/>
  <c r="AU280" i="5"/>
  <c r="AV280" i="5"/>
  <c r="AW280" i="5"/>
  <c r="AP264" i="5"/>
  <c r="AR264" i="5"/>
  <c r="AT264" i="5"/>
  <c r="AU264" i="5"/>
  <c r="AV264" i="5"/>
  <c r="AW264" i="5"/>
  <c r="AP38" i="5"/>
  <c r="AR38" i="5"/>
  <c r="AT38" i="5"/>
  <c r="AU38" i="5"/>
  <c r="AV38" i="5"/>
  <c r="AW38" i="5"/>
  <c r="AP257" i="5"/>
  <c r="AR257" i="5"/>
  <c r="AT257" i="5"/>
  <c r="AU257" i="5"/>
  <c r="AV257" i="5"/>
  <c r="AW257" i="5"/>
  <c r="AP292" i="5"/>
  <c r="AR292" i="5"/>
  <c r="AT292" i="5"/>
  <c r="AU292" i="5"/>
  <c r="AV292" i="5"/>
  <c r="AW292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5" i="5"/>
  <c r="AR255" i="5"/>
  <c r="AT255" i="5"/>
  <c r="AU255" i="5"/>
  <c r="AV255" i="5"/>
  <c r="AW255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6" i="5"/>
  <c r="AR116" i="5"/>
  <c r="AT116" i="5"/>
  <c r="AU116" i="5"/>
  <c r="AV116" i="5"/>
  <c r="AW116" i="5"/>
  <c r="AP162" i="5"/>
  <c r="AR162" i="5"/>
  <c r="AT162" i="5"/>
  <c r="AU162" i="5"/>
  <c r="AV162" i="5"/>
  <c r="AW162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4" i="5"/>
  <c r="AR314" i="5"/>
  <c r="AS314" i="5"/>
  <c r="AT314" i="5"/>
  <c r="AU314" i="5"/>
  <c r="AV314" i="5"/>
  <c r="AW314" i="5"/>
  <c r="AX314" i="5"/>
  <c r="AY314" i="5"/>
  <c r="AZ314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1" i="5"/>
  <c r="AR351" i="5"/>
  <c r="AS351" i="5"/>
  <c r="AT351" i="5"/>
  <c r="AU351" i="5"/>
  <c r="AV351" i="5"/>
  <c r="AW351" i="5"/>
  <c r="AX351" i="5"/>
  <c r="AY351" i="5"/>
  <c r="AZ351" i="5"/>
  <c r="AP336" i="5"/>
  <c r="AR336" i="5"/>
  <c r="AS336" i="5"/>
  <c r="AT336" i="5"/>
  <c r="AU336" i="5"/>
  <c r="AV336" i="5"/>
  <c r="AW336" i="5"/>
  <c r="AX336" i="5"/>
  <c r="AY336" i="5"/>
  <c r="AZ336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2" i="5"/>
  <c r="AR352" i="5"/>
  <c r="AS352" i="5"/>
  <c r="AT352" i="5"/>
  <c r="AU352" i="5"/>
  <c r="AV352" i="5"/>
  <c r="AW352" i="5"/>
  <c r="AX352" i="5"/>
  <c r="AY352" i="5"/>
  <c r="AZ352" i="5"/>
  <c r="AP339" i="5"/>
  <c r="AR339" i="5"/>
  <c r="AS339" i="5"/>
  <c r="AT339" i="5"/>
  <c r="AU339" i="5"/>
  <c r="AV339" i="5"/>
  <c r="AW339" i="5"/>
  <c r="AX339" i="5"/>
  <c r="AY339" i="5"/>
  <c r="AZ339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7" i="5"/>
  <c r="AR337" i="5"/>
  <c r="AS337" i="5"/>
  <c r="AT337" i="5"/>
  <c r="AU337" i="5"/>
  <c r="AV337" i="5"/>
  <c r="AW337" i="5"/>
  <c r="AX337" i="5"/>
  <c r="AY337" i="5"/>
  <c r="AZ337" i="5"/>
  <c r="AP340" i="5"/>
  <c r="AR340" i="5"/>
  <c r="AS340" i="5"/>
  <c r="AT340" i="5"/>
  <c r="AU340" i="5"/>
  <c r="AV340" i="5"/>
  <c r="AW340" i="5"/>
  <c r="AX340" i="5"/>
  <c r="AY340" i="5"/>
  <c r="AZ340" i="5"/>
  <c r="AP342" i="5"/>
  <c r="AR342" i="5"/>
  <c r="AS342" i="5"/>
  <c r="AT342" i="5"/>
  <c r="AU342" i="5"/>
  <c r="AV342" i="5"/>
  <c r="AW342" i="5"/>
  <c r="AX342" i="5"/>
  <c r="AY342" i="5"/>
  <c r="AZ342" i="5"/>
  <c r="AP341" i="5"/>
  <c r="AR341" i="5"/>
  <c r="AS341" i="5"/>
  <c r="AT341" i="5"/>
  <c r="AU341" i="5"/>
  <c r="AV341" i="5"/>
  <c r="AW341" i="5"/>
  <c r="AX341" i="5"/>
  <c r="AY341" i="5"/>
  <c r="AZ341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38" i="5"/>
  <c r="AR338" i="5"/>
  <c r="AS338" i="5"/>
  <c r="AT338" i="5"/>
  <c r="AU338" i="5"/>
  <c r="AV338" i="5"/>
  <c r="AW338" i="5"/>
  <c r="AX338" i="5"/>
  <c r="AY338" i="5"/>
  <c r="AZ338" i="5"/>
  <c r="AP348" i="5"/>
  <c r="AR348" i="5"/>
  <c r="AS348" i="5"/>
  <c r="AT348" i="5"/>
  <c r="AU348" i="5"/>
  <c r="AV348" i="5"/>
  <c r="AW348" i="5"/>
  <c r="AX348" i="5"/>
  <c r="AY348" i="5"/>
  <c r="AZ348" i="5"/>
  <c r="AP326" i="5"/>
  <c r="AR326" i="5"/>
  <c r="AS326" i="5"/>
  <c r="AT326" i="5"/>
  <c r="AU326" i="5"/>
  <c r="AV326" i="5"/>
  <c r="AW326" i="5"/>
  <c r="AX326" i="5"/>
  <c r="AY326" i="5"/>
  <c r="AZ326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2" i="5"/>
  <c r="AR322" i="5"/>
  <c r="AS322" i="5"/>
  <c r="AT322" i="5"/>
  <c r="AU322" i="5"/>
  <c r="AV322" i="5"/>
  <c r="AW322" i="5"/>
  <c r="AX322" i="5"/>
  <c r="AY322" i="5"/>
  <c r="AZ322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62" i="5"/>
  <c r="AR362" i="5"/>
  <c r="AS362" i="5"/>
  <c r="AT362" i="5"/>
  <c r="AU362" i="5"/>
  <c r="AV362" i="5"/>
  <c r="AW362" i="5"/>
  <c r="AX362" i="5"/>
  <c r="AY362" i="5"/>
  <c r="AZ362" i="5"/>
  <c r="AP353" i="5"/>
  <c r="AR353" i="5"/>
  <c r="AS353" i="5"/>
  <c r="AT353" i="5"/>
  <c r="AU353" i="5"/>
  <c r="AV353" i="5"/>
  <c r="AW353" i="5"/>
  <c r="AX353" i="5"/>
  <c r="AY353" i="5"/>
  <c r="AZ353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71" i="5"/>
  <c r="AR371" i="5"/>
  <c r="AS371" i="5"/>
  <c r="AT371" i="5"/>
  <c r="AU371" i="5"/>
  <c r="AV371" i="5"/>
  <c r="AW371" i="5"/>
  <c r="AX371" i="5"/>
  <c r="AY371" i="5"/>
  <c r="AZ371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3" i="5"/>
  <c r="AR383" i="5"/>
  <c r="AS383" i="5"/>
  <c r="AT383" i="5"/>
  <c r="AU383" i="5"/>
  <c r="AV383" i="5"/>
  <c r="AW383" i="5"/>
  <c r="AX383" i="5"/>
  <c r="AY383" i="5"/>
  <c r="AZ383" i="5"/>
  <c r="AP385" i="5"/>
  <c r="AR385" i="5"/>
  <c r="AS385" i="5"/>
  <c r="AT385" i="5"/>
  <c r="AU385" i="5"/>
  <c r="AV385" i="5"/>
  <c r="AW385" i="5"/>
  <c r="AX385" i="5"/>
  <c r="AY385" i="5"/>
  <c r="AZ385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91" i="5"/>
  <c r="AQ391" i="5"/>
  <c r="AR391" i="5"/>
  <c r="AS391" i="5"/>
  <c r="AT391" i="5"/>
  <c r="AU391" i="5"/>
  <c r="AV391" i="5"/>
  <c r="AW391" i="5"/>
  <c r="AX391" i="5"/>
  <c r="AY391" i="5"/>
  <c r="AZ391" i="5"/>
  <c r="AP388" i="5"/>
  <c r="AQ388" i="5"/>
  <c r="AR388" i="5"/>
  <c r="AS388" i="5"/>
  <c r="AT388" i="5"/>
  <c r="AU388" i="5"/>
  <c r="AV388" i="5"/>
  <c r="AW388" i="5"/>
  <c r="AX388" i="5"/>
  <c r="AY388" i="5"/>
  <c r="AZ388" i="5"/>
  <c r="AP392" i="5"/>
  <c r="AQ392" i="5"/>
  <c r="AR392" i="5"/>
  <c r="AS392" i="5"/>
  <c r="AT392" i="5"/>
  <c r="AU392" i="5"/>
  <c r="AV392" i="5"/>
  <c r="AW392" i="5"/>
  <c r="AX392" i="5"/>
  <c r="AY392" i="5"/>
  <c r="AZ392" i="5"/>
  <c r="AR396" i="5"/>
  <c r="AS396" i="5"/>
  <c r="AT396" i="5"/>
  <c r="AU396" i="5"/>
  <c r="AV396" i="5"/>
  <c r="AW396" i="5"/>
  <c r="AX396" i="5"/>
  <c r="AY396" i="5"/>
  <c r="AR395" i="5"/>
  <c r="AS395" i="5"/>
  <c r="AT395" i="5"/>
  <c r="AU395" i="5"/>
  <c r="AV395" i="5"/>
  <c r="AW395" i="5"/>
  <c r="AX395" i="5"/>
  <c r="AY395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17" i="5"/>
  <c r="AS417" i="5"/>
  <c r="AT417" i="5"/>
  <c r="AU417" i="5"/>
  <c r="AV417" i="5"/>
  <c r="AW417" i="5"/>
  <c r="AX417" i="5"/>
  <c r="AY417" i="5"/>
  <c r="AR407" i="5"/>
  <c r="AS407" i="5"/>
  <c r="AT407" i="5"/>
  <c r="AU407" i="5"/>
  <c r="AV407" i="5"/>
  <c r="AW407" i="5"/>
  <c r="AX407" i="5"/>
  <c r="AY407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9" i="4"/>
  <c r="AC40" i="4"/>
  <c r="AC41" i="4"/>
  <c r="AC42" i="4"/>
  <c r="AC43" i="4"/>
  <c r="AC44" i="4"/>
  <c r="AC45" i="4"/>
  <c r="AC46" i="4"/>
  <c r="AC47" i="4"/>
  <c r="AC48" i="4"/>
  <c r="AC139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5" i="4"/>
  <c r="AC76" i="4"/>
  <c r="AC77" i="4"/>
  <c r="AC78" i="4"/>
  <c r="AC79" i="4"/>
  <c r="AC80" i="4"/>
  <c r="AC81" i="4"/>
  <c r="AC82" i="4"/>
  <c r="AC83" i="4"/>
  <c r="AC84" i="4"/>
  <c r="AC85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1" i="4"/>
  <c r="AC202" i="4"/>
  <c r="AC203" i="4"/>
  <c r="AC204" i="4"/>
  <c r="AC205" i="4"/>
  <c r="AC206" i="4"/>
  <c r="AC207" i="4"/>
  <c r="AC208" i="4"/>
  <c r="AC209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7" i="4"/>
  <c r="AC275" i="4"/>
  <c r="AC276" i="4"/>
  <c r="AC285" i="4"/>
  <c r="AC278" i="4"/>
  <c r="AC279" i="4"/>
  <c r="AC280" i="4"/>
  <c r="AC281" i="4"/>
  <c r="AC282" i="4"/>
  <c r="AC283" i="4"/>
  <c r="AC284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4" i="4"/>
  <c r="AC343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3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2" i="4"/>
  <c r="AD2" i="4"/>
  <c r="BD115" i="5"/>
  <c r="BD196" i="5"/>
  <c r="BD195" i="5"/>
  <c r="BD21" i="5"/>
  <c r="BD171" i="5"/>
  <c r="BD110" i="5"/>
  <c r="BD251" i="5"/>
  <c r="BD118" i="5"/>
  <c r="BD172" i="5"/>
  <c r="BD293" i="5"/>
  <c r="BD228" i="5"/>
  <c r="BD140" i="5"/>
  <c r="BD77" i="5"/>
  <c r="BD242" i="5"/>
  <c r="BD223" i="5"/>
  <c r="BD79" i="5"/>
  <c r="BD174" i="5"/>
  <c r="BD265" i="5"/>
  <c r="BD166" i="5"/>
  <c r="BD167" i="5"/>
  <c r="BD185" i="5"/>
  <c r="BD187" i="5"/>
  <c r="BD188" i="5"/>
  <c r="BD336" i="5"/>
  <c r="BD392" i="5"/>
  <c r="BD388" i="5"/>
  <c r="BD389" i="5"/>
  <c r="BD397" i="5"/>
  <c r="BD413" i="5"/>
  <c r="BD414" i="5"/>
  <c r="BD394" i="5"/>
  <c r="BD51" i="5"/>
  <c r="BD52" i="5"/>
  <c r="BD121" i="5"/>
  <c r="BD50" i="5"/>
  <c r="BD53" i="5"/>
  <c r="BD66" i="5"/>
  <c r="BD123" i="5"/>
  <c r="BD139" i="5"/>
  <c r="BD258" i="5"/>
  <c r="BD170" i="5"/>
  <c r="BD163" i="5"/>
  <c r="BD155" i="5"/>
  <c r="BD169" i="5"/>
  <c r="BD41" i="5"/>
  <c r="BD125" i="5"/>
  <c r="BD42" i="5"/>
  <c r="BD56" i="5"/>
  <c r="BD243" i="5"/>
  <c r="BD55" i="5"/>
  <c r="BD112" i="5"/>
  <c r="BD250" i="5"/>
  <c r="BD48" i="5"/>
  <c r="BD62" i="5"/>
  <c r="BD259" i="5"/>
  <c r="BD122" i="5"/>
  <c r="BD162" i="5"/>
  <c r="BD191" i="5"/>
  <c r="BD193" i="5"/>
  <c r="BD72" i="5"/>
  <c r="BD264" i="5"/>
  <c r="BD85" i="5"/>
  <c r="BD18" i="5"/>
  <c r="BD60" i="5"/>
  <c r="BD263" i="5"/>
  <c r="BD253" i="5"/>
  <c r="BD245" i="5"/>
  <c r="BD248" i="5"/>
  <c r="BD116" i="5"/>
  <c r="BD127" i="5"/>
  <c r="BD17" i="5"/>
  <c r="BD59" i="5"/>
  <c r="BD282" i="5"/>
  <c r="BD247" i="5"/>
  <c r="BD249" i="5"/>
  <c r="BD32" i="5"/>
  <c r="BD65" i="5"/>
  <c r="BD70" i="5"/>
  <c r="BD283" i="5"/>
  <c r="BD37" i="5"/>
  <c r="BD81" i="5"/>
  <c r="BD83" i="5"/>
  <c r="BD255" i="5"/>
  <c r="BD277" i="5"/>
  <c r="BD257" i="5"/>
  <c r="BD22" i="5"/>
  <c r="BD246" i="5"/>
  <c r="BD97" i="5"/>
  <c r="BD208" i="5"/>
  <c r="BD86" i="5"/>
  <c r="BD34" i="5"/>
  <c r="BD38" i="5"/>
  <c r="BD285" i="5"/>
  <c r="BD71" i="5"/>
  <c r="BD23" i="5"/>
  <c r="BD24" i="5"/>
  <c r="BD74" i="5"/>
  <c r="BD94" i="5"/>
  <c r="BD40" i="5"/>
  <c r="BD84" i="5"/>
  <c r="BD10" i="5"/>
  <c r="BD295" i="5"/>
  <c r="BD33" i="5"/>
  <c r="BD168" i="5"/>
  <c r="BD136" i="5"/>
  <c r="BD138" i="5"/>
  <c r="BD239" i="5"/>
  <c r="BD158" i="5"/>
  <c r="BD192" i="5"/>
  <c r="BD289" i="5"/>
  <c r="BD47" i="5"/>
  <c r="BD69" i="5"/>
  <c r="BD80" i="5"/>
  <c r="BD291" i="5"/>
  <c r="BD292" i="5"/>
  <c r="BD294" i="5"/>
  <c r="BD275" i="5"/>
  <c r="BD82" i="5"/>
  <c r="BD2" i="5"/>
  <c r="BD164" i="5"/>
  <c r="BD236" i="5"/>
  <c r="BD194" i="5"/>
  <c r="BD287" i="5"/>
  <c r="BD244" i="5"/>
  <c r="BD237" i="5"/>
  <c r="BD31" i="5"/>
  <c r="BD286" i="5"/>
  <c r="BD63" i="5"/>
  <c r="BD232" i="5"/>
  <c r="BD234" i="5"/>
  <c r="BD260" i="5"/>
  <c r="BD6" i="5"/>
  <c r="BD238" i="5"/>
  <c r="BD76" i="5"/>
  <c r="BD262" i="5"/>
  <c r="BD11" i="5"/>
  <c r="BD16" i="5"/>
  <c r="BD202" i="5"/>
  <c r="BD203" i="5"/>
  <c r="BD39" i="5"/>
  <c r="BD290" i="5"/>
  <c r="BD95" i="5"/>
  <c r="BD36" i="5"/>
  <c r="BD207" i="5"/>
  <c r="BD35" i="5"/>
  <c r="BD67" i="5"/>
  <c r="BD93" i="5"/>
  <c r="BD26" i="5"/>
  <c r="BD25" i="5"/>
  <c r="BD126" i="5"/>
  <c r="BD45" i="5"/>
  <c r="BD297" i="5"/>
  <c r="BD114" i="5"/>
  <c r="BD7" i="5"/>
  <c r="BD44" i="5"/>
  <c r="BD75" i="5"/>
  <c r="BD261" i="5"/>
  <c r="BD235" i="5"/>
  <c r="BD68" i="5"/>
  <c r="BD128" i="5"/>
  <c r="BD204" i="5"/>
  <c r="BD8" i="5"/>
  <c r="BD296" i="5"/>
  <c r="BD197" i="5"/>
  <c r="BD198" i="5"/>
  <c r="BD3" i="5"/>
  <c r="BD58" i="5"/>
  <c r="BD206" i="5"/>
  <c r="BD57" i="5"/>
  <c r="BD205" i="5"/>
  <c r="BD201" i="5"/>
  <c r="BD281" i="5"/>
  <c r="BD150" i="5"/>
  <c r="BD43" i="5"/>
  <c r="BD28" i="5"/>
  <c r="BD100" i="5"/>
  <c r="BD279" i="5"/>
  <c r="BD49" i="5"/>
  <c r="BD284" i="5"/>
  <c r="BD209" i="5"/>
  <c r="BD64" i="5"/>
  <c r="BD101" i="5"/>
  <c r="BD219" i="5"/>
  <c r="BD288" i="5"/>
  <c r="BD144" i="5"/>
  <c r="BD30" i="5"/>
  <c r="BD256" i="5"/>
  <c r="BD143" i="5"/>
  <c r="BD154" i="5"/>
  <c r="BD61" i="5"/>
  <c r="BD92" i="5"/>
  <c r="BD157" i="5"/>
  <c r="BD299" i="5"/>
  <c r="BD178" i="5"/>
  <c r="BD254" i="5"/>
  <c r="BD176" i="5"/>
  <c r="BD189" i="5"/>
  <c r="BD267" i="5"/>
  <c r="BD266" i="5"/>
  <c r="BD280" i="5"/>
  <c r="BD177" i="5"/>
  <c r="BD54" i="5"/>
  <c r="BD134" i="5"/>
  <c r="BD270" i="5"/>
  <c r="BD102" i="5"/>
  <c r="BD29" i="5"/>
  <c r="BD46" i="5"/>
  <c r="BD96" i="5"/>
  <c r="BD252" i="5"/>
  <c r="BD99" i="5"/>
  <c r="BD233" i="5"/>
  <c r="BD268" i="5"/>
  <c r="BD119" i="5"/>
  <c r="BD173" i="5"/>
  <c r="BD298" i="5"/>
  <c r="BD152" i="5"/>
  <c r="BD276" i="5"/>
  <c r="BD135" i="5"/>
  <c r="BD91" i="5"/>
  <c r="BD148" i="5"/>
  <c r="BD4" i="5"/>
  <c r="BD90" i="5"/>
  <c r="BD137" i="5"/>
  <c r="BD224" i="5"/>
  <c r="BD179" i="5"/>
  <c r="BD225" i="5"/>
  <c r="BD113" i="5"/>
  <c r="BD160" i="5"/>
  <c r="BD153" i="5"/>
  <c r="BD15" i="5"/>
  <c r="BD133" i="5"/>
  <c r="BD240" i="5"/>
  <c r="BD120" i="5"/>
  <c r="BD27" i="5"/>
  <c r="BD106" i="5"/>
  <c r="BD14" i="5"/>
  <c r="BD130" i="5"/>
  <c r="BD5" i="5"/>
  <c r="BD103" i="5"/>
  <c r="BD104" i="5"/>
  <c r="BD230" i="5"/>
  <c r="BD105" i="5"/>
  <c r="BD147" i="5"/>
  <c r="BD159" i="5"/>
  <c r="BD231" i="5"/>
  <c r="BD146" i="5"/>
  <c r="BD200" i="5"/>
  <c r="BD87" i="5"/>
  <c r="BD214" i="5"/>
  <c r="BD107" i="5"/>
  <c r="BD108" i="5"/>
  <c r="BD109" i="5"/>
  <c r="BD161" i="5"/>
  <c r="BD141" i="5"/>
  <c r="BD271" i="5"/>
  <c r="BD73" i="5"/>
  <c r="BD215" i="5"/>
  <c r="BD131" i="5"/>
  <c r="BD180" i="5"/>
  <c r="BD210" i="5"/>
  <c r="BD212" i="5"/>
  <c r="BD111" i="5"/>
  <c r="BD199" i="5"/>
  <c r="BD213" i="5"/>
  <c r="BD78" i="5"/>
  <c r="BD129" i="5"/>
  <c r="BD88" i="5"/>
  <c r="BD89" i="5"/>
  <c r="BD156" i="5"/>
  <c r="BD151" i="5"/>
  <c r="BD269" i="5"/>
  <c r="BD9" i="5"/>
  <c r="BD211" i="5"/>
  <c r="BD142" i="5"/>
  <c r="BD226" i="5"/>
  <c r="BD132" i="5"/>
  <c r="BD221" i="5"/>
  <c r="BD220" i="5"/>
  <c r="BD272" i="5"/>
  <c r="BD12" i="5"/>
  <c r="BD217" i="5"/>
  <c r="BD117" i="5"/>
  <c r="BD13" i="5"/>
  <c r="BD273" i="5"/>
  <c r="BD274" i="5"/>
  <c r="BD124" i="5"/>
  <c r="BD145" i="5"/>
  <c r="BD149" i="5"/>
  <c r="BD278" i="5"/>
  <c r="BD165" i="5"/>
  <c r="BD175" i="5"/>
  <c r="BD181" i="5"/>
  <c r="BD182" i="5"/>
  <c r="BD183" i="5"/>
  <c r="BD184" i="5"/>
  <c r="BD186" i="5"/>
  <c r="BD216" i="5"/>
  <c r="BD218" i="5"/>
  <c r="BD222" i="5"/>
  <c r="BD227" i="5"/>
  <c r="BD229" i="5"/>
  <c r="BD307" i="5"/>
  <c r="BD319" i="5"/>
  <c r="BD309" i="5"/>
  <c r="BD310" i="5"/>
  <c r="BD305" i="5"/>
  <c r="BD313" i="5"/>
  <c r="BD317" i="5"/>
  <c r="BD318" i="5"/>
  <c r="BD311" i="5"/>
  <c r="BD316" i="5"/>
  <c r="BD306" i="5"/>
  <c r="BD314" i="5"/>
  <c r="BD312" i="5"/>
  <c r="BD304" i="5"/>
  <c r="BD315" i="5"/>
  <c r="BD330" i="5"/>
  <c r="BD329" i="5"/>
  <c r="BD328" i="5"/>
  <c r="BD343" i="5"/>
  <c r="BD345" i="5"/>
  <c r="BD350" i="5"/>
  <c r="BD349" i="5"/>
  <c r="BD351" i="5"/>
  <c r="BD341" i="5"/>
  <c r="BD335" i="5"/>
  <c r="BD325" i="5"/>
  <c r="BD320" i="5"/>
  <c r="BD321" i="5"/>
  <c r="BD322" i="5"/>
  <c r="BD323" i="5"/>
  <c r="BD324" i="5"/>
  <c r="BD326" i="5"/>
  <c r="BD327" i="5"/>
  <c r="BD331" i="5"/>
  <c r="BD332" i="5"/>
  <c r="BD333" i="5"/>
  <c r="BD334" i="5"/>
  <c r="BD337" i="5"/>
  <c r="BD338" i="5"/>
  <c r="BD339" i="5"/>
  <c r="BD340" i="5"/>
  <c r="BD342" i="5"/>
  <c r="BD344" i="5"/>
  <c r="BD346" i="5"/>
  <c r="BD347" i="5"/>
  <c r="BD348" i="5"/>
  <c r="BD352" i="5"/>
  <c r="BD356" i="5"/>
  <c r="BD358" i="5"/>
  <c r="BD357" i="5"/>
  <c r="BD355" i="5"/>
  <c r="BD373" i="5"/>
  <c r="BD372" i="5"/>
  <c r="BD364" i="5"/>
  <c r="BD374" i="5"/>
  <c r="BD365" i="5"/>
  <c r="BD367" i="5"/>
  <c r="BD370" i="5"/>
  <c r="BD368" i="5"/>
  <c r="BD366" i="5"/>
  <c r="BD369" i="5"/>
  <c r="BD354" i="5"/>
  <c r="BD363" i="5"/>
  <c r="BD353" i="5"/>
  <c r="BD362" i="5"/>
  <c r="BD361" i="5"/>
  <c r="BD371" i="5"/>
  <c r="BD360" i="5"/>
  <c r="BD359" i="5"/>
  <c r="BD381" i="5"/>
  <c r="BD378" i="5"/>
  <c r="BD379" i="5"/>
  <c r="BD376" i="5"/>
  <c r="BD385" i="5"/>
  <c r="BD384" i="5"/>
  <c r="BD380" i="5"/>
  <c r="BD377" i="5"/>
  <c r="BD382" i="5"/>
  <c r="BD383" i="5"/>
  <c r="BD375" i="5"/>
  <c r="BD390" i="5"/>
  <c r="BD391" i="5"/>
  <c r="BD393" i="5"/>
  <c r="BD395" i="5"/>
  <c r="BD398" i="5"/>
  <c r="BD399" i="5"/>
  <c r="BD400" i="5"/>
  <c r="BD404" i="5"/>
  <c r="BD405" i="5"/>
  <c r="BD406" i="5"/>
  <c r="BD407" i="5"/>
  <c r="BD408" i="5"/>
  <c r="BD409" i="5"/>
  <c r="BD411" i="5"/>
  <c r="BD412" i="5"/>
  <c r="BD415" i="5"/>
  <c r="BD416" i="5"/>
  <c r="BD417" i="5"/>
  <c r="BD396" i="5"/>
  <c r="BD401" i="5"/>
  <c r="BD410" i="5"/>
  <c r="BD403" i="5"/>
  <c r="BD402" i="5"/>
  <c r="BD190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9" i="4"/>
  <c r="AD40" i="4"/>
  <c r="AD41" i="4"/>
  <c r="AD42" i="4"/>
  <c r="AD43" i="4"/>
  <c r="AD44" i="4"/>
  <c r="AD45" i="4"/>
  <c r="AD46" i="4"/>
  <c r="AD47" i="4"/>
  <c r="AD48" i="4"/>
  <c r="AD139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5" i="4"/>
  <c r="AD76" i="4"/>
  <c r="AD77" i="4"/>
  <c r="AD78" i="4"/>
  <c r="AD79" i="4"/>
  <c r="AD80" i="4"/>
  <c r="AD81" i="4"/>
  <c r="AD82" i="4"/>
  <c r="AD83" i="4"/>
  <c r="AD84" i="4"/>
  <c r="AD85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1" i="4"/>
  <c r="AD202" i="4"/>
  <c r="AD203" i="4"/>
  <c r="AD204" i="4"/>
  <c r="AD205" i="4"/>
  <c r="AD206" i="4"/>
  <c r="AD207" i="4"/>
  <c r="AD208" i="4"/>
  <c r="AD209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7" i="4"/>
  <c r="AD275" i="4"/>
  <c r="AD276" i="4"/>
  <c r="AD285" i="4"/>
  <c r="AD278" i="4"/>
  <c r="AD279" i="4"/>
  <c r="AD280" i="4"/>
  <c r="AD281" i="4"/>
  <c r="AD282" i="4"/>
  <c r="AD283" i="4"/>
  <c r="AD284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4" i="4"/>
  <c r="AD343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3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6" i="4"/>
  <c r="AE5" i="4"/>
  <c r="AE6" i="4"/>
  <c r="AE8" i="4"/>
  <c r="AE178" i="4"/>
  <c r="AE129" i="4"/>
  <c r="AE130" i="4"/>
  <c r="AE162" i="4"/>
  <c r="AE168" i="4"/>
  <c r="AE280" i="4"/>
  <c r="AE94" i="4"/>
  <c r="AE19" i="4"/>
  <c r="AE105" i="4"/>
  <c r="AE128" i="4"/>
  <c r="AE303" i="4"/>
  <c r="AE277" i="4"/>
  <c r="AE285" i="4"/>
  <c r="AE153" i="4"/>
  <c r="AE164" i="4"/>
  <c r="AE302" i="4"/>
  <c r="AE261" i="4"/>
  <c r="AE181" i="4"/>
  <c r="AE182" i="4"/>
  <c r="AE3" i="4"/>
  <c r="AE80" i="4"/>
  <c r="AE83" i="4"/>
  <c r="AE91" i="4"/>
  <c r="AE93" i="4"/>
  <c r="AE251" i="4"/>
  <c r="AE96" i="4"/>
  <c r="AE97" i="4"/>
  <c r="AE98" i="4"/>
  <c r="AE99" i="4"/>
  <c r="AE100" i="4"/>
  <c r="AE101" i="4"/>
  <c r="AE108" i="4"/>
  <c r="AE109" i="4"/>
  <c r="AE110" i="4"/>
  <c r="AE125" i="4"/>
  <c r="AE267" i="4"/>
  <c r="AE156" i="4"/>
  <c r="AE166" i="4"/>
  <c r="AE167" i="4"/>
  <c r="AE174" i="4"/>
  <c r="AE54" i="4"/>
  <c r="AE287" i="4"/>
  <c r="AE298" i="4"/>
  <c r="AE299" i="4"/>
  <c r="AE237" i="4"/>
  <c r="AE238" i="4"/>
  <c r="AE239" i="4"/>
  <c r="AE240" i="4"/>
  <c r="AE241" i="4"/>
  <c r="AE242" i="4"/>
  <c r="AE243" i="4"/>
  <c r="AE253" i="4"/>
  <c r="AE92" i="4"/>
  <c r="AE16" i="4"/>
  <c r="AE102" i="4"/>
  <c r="AE103" i="4"/>
  <c r="AE104" i="4"/>
  <c r="AE111" i="4"/>
  <c r="AE44" i="4"/>
  <c r="AE45" i="4"/>
  <c r="AE293" i="4"/>
  <c r="AE141" i="4"/>
  <c r="AE145" i="4"/>
  <c r="AE258" i="4"/>
  <c r="AE275" i="4"/>
  <c r="AE51" i="4"/>
  <c r="AE152" i="4"/>
  <c r="AE154" i="4"/>
  <c r="AE278" i="4"/>
  <c r="AE158" i="4"/>
  <c r="AE269" i="4"/>
  <c r="AE260" i="4"/>
  <c r="AE175" i="4"/>
  <c r="AE176" i="4"/>
  <c r="AE294" i="4"/>
  <c r="AE295" i="4"/>
  <c r="AE296" i="4"/>
  <c r="AE55" i="4"/>
  <c r="AE56" i="4"/>
  <c r="AE297" i="4"/>
  <c r="AE202" i="4"/>
  <c r="AE203" i="4"/>
  <c r="AE204" i="4"/>
  <c r="AE205" i="4"/>
  <c r="AE206" i="4"/>
  <c r="AE207" i="4"/>
  <c r="AE264" i="4"/>
  <c r="AE208" i="4"/>
  <c r="AE209" i="4"/>
  <c r="AE216" i="4"/>
  <c r="AE72" i="4"/>
  <c r="AE244" i="4"/>
  <c r="AE300" i="4"/>
  <c r="AE247" i="4"/>
  <c r="AE88" i="4"/>
  <c r="AE89" i="4"/>
  <c r="AE90" i="4"/>
  <c r="AE17" i="4"/>
  <c r="AE106" i="4"/>
  <c r="AE107" i="4"/>
  <c r="AE140" i="4"/>
  <c r="AE259" i="4"/>
  <c r="AE53" i="4"/>
  <c r="AE179" i="4"/>
  <c r="AE180" i="4"/>
  <c r="AE62" i="4"/>
  <c r="AE282" i="4"/>
  <c r="AE75" i="4"/>
  <c r="AE76" i="4"/>
  <c r="AE77" i="4"/>
  <c r="AE79" i="4"/>
  <c r="AE249" i="4"/>
  <c r="AE18" i="4"/>
  <c r="AE124" i="4"/>
  <c r="AE134" i="4"/>
  <c r="AE135" i="4"/>
  <c r="AE136" i="4"/>
  <c r="AE139" i="4"/>
  <c r="AE301" i="4"/>
  <c r="AE143" i="4"/>
  <c r="AE13" i="4"/>
  <c r="AE14" i="4"/>
  <c r="AE9" i="4"/>
  <c r="AE183" i="4"/>
  <c r="AE10" i="4"/>
  <c r="AE11" i="4"/>
  <c r="AE63" i="4"/>
  <c r="AE64" i="4"/>
  <c r="AE194" i="4"/>
  <c r="AE67" i="4"/>
  <c r="AE68" i="4"/>
  <c r="AE69" i="4"/>
  <c r="AE70" i="4"/>
  <c r="AE221" i="4"/>
  <c r="AE78" i="4"/>
  <c r="AE81" i="4"/>
  <c r="AE82" i="4"/>
  <c r="AE84" i="4"/>
  <c r="AE248" i="4"/>
  <c r="AE250" i="4"/>
  <c r="AE252" i="4"/>
  <c r="AE288" i="4"/>
  <c r="AE121" i="4"/>
  <c r="AE35" i="4"/>
  <c r="AE127" i="4"/>
  <c r="AE48" i="4"/>
  <c r="AE137" i="4"/>
  <c r="AE256" i="4"/>
  <c r="AE257" i="4"/>
  <c r="AE266" i="4"/>
  <c r="AE160" i="4"/>
  <c r="AE163" i="4"/>
  <c r="AE165" i="4"/>
  <c r="AE289" i="4"/>
  <c r="AE286" i="4"/>
  <c r="AE290" i="4"/>
  <c r="AE291" i="4"/>
  <c r="AE184" i="4"/>
  <c r="AE185" i="4"/>
  <c r="AE186" i="4"/>
  <c r="AE187" i="4"/>
  <c r="AE188" i="4"/>
  <c r="AE189" i="4"/>
  <c r="AE190" i="4"/>
  <c r="AE195" i="4"/>
  <c r="AE196" i="4"/>
  <c r="AE197" i="4"/>
  <c r="AE198" i="4"/>
  <c r="AE65" i="4"/>
  <c r="AE66" i="4"/>
  <c r="AE231" i="4"/>
  <c r="AE265" i="4"/>
  <c r="AE87" i="4"/>
  <c r="AE245" i="4"/>
  <c r="AE246" i="4"/>
  <c r="AE227" i="4"/>
  <c r="AE228" i="4"/>
  <c r="AE229" i="4"/>
  <c r="AE118" i="4"/>
  <c r="AE119" i="4"/>
  <c r="AE120" i="4"/>
  <c r="AE123" i="4"/>
  <c r="AE49" i="4"/>
  <c r="AE144" i="4"/>
  <c r="AE149" i="4"/>
  <c r="AE170" i="4"/>
  <c r="AE171" i="4"/>
  <c r="AE191" i="4"/>
  <c r="AE201" i="4"/>
  <c r="AE292" i="4"/>
  <c r="AE230" i="4"/>
  <c r="AE273" i="4"/>
  <c r="AE274" i="4"/>
  <c r="AE226" i="4"/>
  <c r="AE117" i="4"/>
  <c r="AE46" i="4"/>
  <c r="AE7" i="4"/>
  <c r="AE262" i="4"/>
  <c r="AE263" i="4"/>
  <c r="AE192" i="4"/>
  <c r="AE193" i="4"/>
  <c r="AE234" i="4"/>
  <c r="AE131" i="4"/>
  <c r="AE138" i="4"/>
  <c r="AE157" i="4"/>
  <c r="AE52" i="4"/>
  <c r="AE279" i="4"/>
  <c r="AE177" i="4"/>
  <c r="AE212" i="4"/>
  <c r="AE213" i="4"/>
  <c r="AE214" i="4"/>
  <c r="AE114" i="4"/>
  <c r="AE132" i="4"/>
  <c r="AE133" i="4"/>
  <c r="AE150" i="4"/>
  <c r="AE159" i="4"/>
  <c r="AE268" i="4"/>
  <c r="AE270" i="4"/>
  <c r="AE271" i="4"/>
  <c r="AE272" i="4"/>
  <c r="AE215" i="4"/>
  <c r="AE218" i="4"/>
  <c r="AE219" i="4"/>
  <c r="AE233" i="4"/>
  <c r="AE20" i="4"/>
  <c r="AE112" i="4"/>
  <c r="AE113" i="4"/>
  <c r="AE115" i="4"/>
  <c r="AE116" i="4"/>
  <c r="AE122" i="4"/>
  <c r="AE29" i="4"/>
  <c r="AE146" i="4"/>
  <c r="AE50" i="4"/>
  <c r="AE147" i="4"/>
  <c r="AE151" i="4"/>
  <c r="AE161" i="4"/>
  <c r="AE15" i="4"/>
  <c r="AE169" i="4"/>
  <c r="AE57" i="4"/>
  <c r="AE59" i="4"/>
  <c r="AE220" i="4"/>
  <c r="AE71" i="4"/>
  <c r="AE223" i="4"/>
  <c r="AE224" i="4"/>
  <c r="AE225" i="4"/>
  <c r="AE40" i="4"/>
  <c r="AE41" i="4"/>
  <c r="AE23" i="4"/>
  <c r="AE42" i="4"/>
  <c r="AE24" i="4"/>
  <c r="AE25" i="4"/>
  <c r="AE43" i="4"/>
  <c r="AE27" i="4"/>
  <c r="AE95" i="4"/>
  <c r="AE21" i="4"/>
  <c r="AE30" i="4"/>
  <c r="AE31" i="4"/>
  <c r="AE32" i="4"/>
  <c r="AE33" i="4"/>
  <c r="AE34" i="4"/>
  <c r="AE47" i="4"/>
  <c r="AE284" i="4"/>
  <c r="AE126" i="4"/>
  <c r="AE12" i="4"/>
  <c r="AE155" i="4"/>
  <c r="AE172" i="4"/>
  <c r="AE173" i="4"/>
  <c r="AE58" i="4"/>
  <c r="AE235" i="4"/>
  <c r="AE236" i="4"/>
  <c r="AE85" i="4"/>
  <c r="AE283" i="4"/>
  <c r="AE39" i="4"/>
  <c r="AE22" i="4"/>
  <c r="AE26" i="4"/>
  <c r="AE28" i="4"/>
  <c r="AE4" i="4"/>
  <c r="AE148" i="4"/>
  <c r="AE60" i="4"/>
  <c r="AE61" i="4"/>
  <c r="AE217" i="4"/>
  <c r="AE281" i="4"/>
  <c r="AE232" i="4"/>
  <c r="AE37" i="4"/>
  <c r="AE142" i="4"/>
  <c r="AE222" i="4"/>
  <c r="AE199" i="4"/>
  <c r="AE310" i="4"/>
  <c r="AE308" i="4"/>
  <c r="AE309" i="4"/>
  <c r="AE311" i="4"/>
  <c r="AE312" i="4"/>
  <c r="AE306" i="4"/>
  <c r="AE307" i="4"/>
  <c r="AE305" i="4"/>
  <c r="AE304" i="4"/>
  <c r="AE318" i="4"/>
  <c r="AE313" i="4"/>
  <c r="AE315" i="4"/>
  <c r="AE316" i="4"/>
  <c r="AE317" i="4"/>
  <c r="AE319" i="4"/>
  <c r="AE323" i="4"/>
  <c r="AE341" i="4"/>
  <c r="AE322" i="4"/>
  <c r="AE324" i="4"/>
  <c r="AE325" i="4"/>
  <c r="AE326" i="4"/>
  <c r="AE340" i="4"/>
  <c r="AE342" i="4"/>
  <c r="AE346" i="4"/>
  <c r="AE328" i="4"/>
  <c r="AE329" i="4"/>
  <c r="AE330" i="4"/>
  <c r="AE331" i="4"/>
  <c r="AE344" i="4"/>
  <c r="AE333" i="4"/>
  <c r="AE334" i="4"/>
  <c r="AE335" i="4"/>
  <c r="AE343" i="4"/>
  <c r="AE345" i="4"/>
  <c r="AE320" i="4"/>
  <c r="AE321" i="4"/>
  <c r="AE348" i="4"/>
  <c r="AE349" i="4"/>
  <c r="AE347" i="4"/>
  <c r="AE350" i="4"/>
  <c r="AE351" i="4"/>
  <c r="AE332" i="4"/>
  <c r="AE339" i="4"/>
  <c r="AE336" i="4"/>
  <c r="AE337" i="4"/>
  <c r="AE338" i="4"/>
  <c r="AE352" i="4"/>
  <c r="AE327" i="4"/>
  <c r="AE360" i="4"/>
  <c r="AE364" i="4"/>
  <c r="AE353" i="4"/>
  <c r="AE359" i="4"/>
  <c r="AE369" i="4"/>
  <c r="AE370" i="4"/>
  <c r="AE371" i="4"/>
  <c r="AE372" i="4"/>
  <c r="AE368" i="4"/>
  <c r="AE373" i="4"/>
  <c r="AE374" i="4"/>
  <c r="AE361" i="4"/>
  <c r="AE362" i="4"/>
  <c r="AE354" i="4"/>
  <c r="AE355" i="4"/>
  <c r="AE357" i="4"/>
  <c r="AE356" i="4"/>
  <c r="AE358" i="4"/>
  <c r="AE363" i="4"/>
  <c r="AE365" i="4"/>
  <c r="AE366" i="4"/>
  <c r="AE367" i="4"/>
  <c r="AE380" i="4"/>
  <c r="AE375" i="4"/>
  <c r="AE387" i="4"/>
  <c r="AE379" i="4"/>
  <c r="AE385" i="4"/>
  <c r="AE386" i="4"/>
  <c r="AE381" i="4"/>
  <c r="AE376" i="4"/>
  <c r="AE377" i="4"/>
  <c r="AE378" i="4"/>
  <c r="AE383" i="4"/>
  <c r="AE392" i="4"/>
  <c r="AE388" i="4"/>
  <c r="AE391" i="4"/>
  <c r="AE389" i="4"/>
  <c r="AE390" i="4"/>
  <c r="AE401" i="4"/>
  <c r="AE406" i="4"/>
  <c r="AE407" i="4"/>
  <c r="AE393" i="4"/>
  <c r="AE408" i="4"/>
  <c r="AE409" i="4"/>
  <c r="AE410" i="4"/>
  <c r="AE412" i="4"/>
  <c r="AE394" i="4"/>
  <c r="AE405" i="4"/>
  <c r="AE396" i="4"/>
  <c r="AE397" i="4"/>
  <c r="AE398" i="4"/>
  <c r="AE399" i="4"/>
  <c r="AE417" i="4"/>
  <c r="AE411" i="4"/>
  <c r="AE400" i="4"/>
  <c r="AE402" i="4"/>
  <c r="AE403" i="4"/>
  <c r="AE413" i="4"/>
  <c r="AE404" i="4"/>
  <c r="AE395" i="4"/>
  <c r="AE414" i="4"/>
  <c r="AE415" i="4"/>
  <c r="AE416" i="4"/>
  <c r="AE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9" i="4"/>
  <c r="AG390" i="4"/>
  <c r="AG392" i="4"/>
  <c r="AG391" i="4"/>
  <c r="AG388" i="4"/>
  <c r="AG405" i="4"/>
  <c r="AG406" i="4"/>
  <c r="AG407" i="4"/>
  <c r="AG393" i="4"/>
  <c r="AG396" i="4"/>
  <c r="AG397" i="4"/>
  <c r="AG398" i="4"/>
  <c r="AG399" i="4"/>
  <c r="AG417" i="4"/>
  <c r="AG408" i="4"/>
  <c r="AG409" i="4"/>
  <c r="AG410" i="4"/>
  <c r="AG411" i="4"/>
  <c r="AG400" i="4"/>
  <c r="AG401" i="4"/>
  <c r="AG402" i="4"/>
  <c r="AG403" i="4"/>
  <c r="AG412" i="4"/>
  <c r="AG394" i="4"/>
  <c r="AG413" i="4"/>
  <c r="AG404" i="4"/>
  <c r="AG395" i="4"/>
  <c r="AG414" i="4"/>
  <c r="AG415" i="4"/>
  <c r="AG416" i="4"/>
  <c r="AJ306" i="4"/>
  <c r="AJ307" i="4"/>
  <c r="AJ305" i="4"/>
  <c r="AJ304" i="4"/>
  <c r="AJ308" i="4"/>
  <c r="AJ313" i="4"/>
  <c r="AJ315" i="4"/>
  <c r="AJ316" i="4"/>
  <c r="AJ317" i="4"/>
  <c r="AJ309" i="4"/>
  <c r="AJ319" i="4"/>
  <c r="AJ318" i="4"/>
  <c r="AJ310" i="4"/>
  <c r="AJ311" i="4"/>
  <c r="AJ312" i="4"/>
  <c r="AJ336" i="4"/>
  <c r="AJ337" i="4"/>
  <c r="AJ338" i="4"/>
  <c r="AJ320" i="4"/>
  <c r="AJ321" i="4"/>
  <c r="AJ322" i="4"/>
  <c r="AJ323" i="4"/>
  <c r="AJ324" i="4"/>
  <c r="AJ325" i="4"/>
  <c r="AJ326" i="4"/>
  <c r="AJ327" i="4"/>
  <c r="AJ348" i="4"/>
  <c r="AJ349" i="4"/>
  <c r="AJ347" i="4"/>
  <c r="AJ350" i="4"/>
  <c r="AJ351" i="4"/>
  <c r="AJ339" i="4"/>
  <c r="AJ340" i="4"/>
  <c r="AJ341" i="4"/>
  <c r="AJ342" i="4"/>
  <c r="AJ352" i="4"/>
  <c r="AJ328" i="4"/>
  <c r="AJ329" i="4"/>
  <c r="AJ330" i="4"/>
  <c r="AJ331" i="4"/>
  <c r="AJ332" i="4"/>
  <c r="AJ333" i="4"/>
  <c r="AJ334" i="4"/>
  <c r="AJ335" i="4"/>
  <c r="AJ343" i="4"/>
  <c r="AJ345" i="4"/>
  <c r="AJ346" i="4"/>
  <c r="AJ344" i="4"/>
  <c r="AJ353" i="4"/>
  <c r="AJ373" i="4"/>
  <c r="AJ374" i="4"/>
  <c r="AJ372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8" i="4"/>
  <c r="AJ376" i="4"/>
  <c r="AJ379" i="4"/>
  <c r="AJ385" i="4"/>
  <c r="AJ380" i="4"/>
  <c r="AJ375" i="4"/>
  <c r="AJ386" i="4"/>
  <c r="AJ381" i="4"/>
  <c r="AJ387" i="4"/>
  <c r="AJ377" i="4"/>
  <c r="AJ383" i="4"/>
  <c r="AJ389" i="4"/>
  <c r="AJ390" i="4"/>
  <c r="AJ392" i="4"/>
  <c r="AJ391" i="4"/>
  <c r="AJ388" i="4"/>
  <c r="AJ405" i="4"/>
  <c r="AJ406" i="4"/>
  <c r="AJ407" i="4"/>
  <c r="AJ393" i="4"/>
  <c r="AJ396" i="4"/>
  <c r="AJ397" i="4"/>
  <c r="AJ398" i="4"/>
  <c r="AJ399" i="4"/>
  <c r="AJ417" i="4"/>
  <c r="AJ408" i="4"/>
  <c r="AJ409" i="4"/>
  <c r="AJ410" i="4"/>
  <c r="AJ411" i="4"/>
  <c r="AJ400" i="4"/>
  <c r="AJ401" i="4"/>
  <c r="AJ402" i="4"/>
  <c r="AJ403" i="4"/>
  <c r="AJ412" i="4"/>
  <c r="AJ394" i="4"/>
  <c r="AJ413" i="4"/>
  <c r="AJ404" i="4"/>
  <c r="AJ395" i="4"/>
  <c r="AJ414" i="4"/>
  <c r="AJ415" i="4"/>
  <c r="AJ416" i="4"/>
  <c r="AG93" i="4"/>
  <c r="AG103" i="4"/>
  <c r="AG104" i="4"/>
  <c r="AG108" i="4"/>
  <c r="AG109" i="4"/>
  <c r="AG110" i="4"/>
  <c r="AG111" i="4"/>
  <c r="AG46" i="4"/>
  <c r="AG47" i="4"/>
  <c r="AG141" i="4"/>
  <c r="AG163" i="4"/>
  <c r="AG175" i="4"/>
  <c r="AG298" i="4"/>
  <c r="AG299" i="4"/>
  <c r="AG237" i="4"/>
  <c r="AG96" i="4"/>
  <c r="AG97" i="4"/>
  <c r="AG100" i="4"/>
  <c r="AG174" i="4"/>
  <c r="AG145" i="4"/>
  <c r="AG154" i="4"/>
  <c r="AG277" i="4"/>
  <c r="AG267" i="4"/>
  <c r="AG44" i="4"/>
  <c r="AG45" i="4"/>
  <c r="AG13" i="4"/>
  <c r="AG6" i="4"/>
  <c r="AG54" i="4"/>
  <c r="AG55" i="4"/>
  <c r="AG56" i="4"/>
  <c r="AG98" i="4"/>
  <c r="AG99" i="4"/>
  <c r="AG101" i="4"/>
  <c r="AG176" i="4"/>
  <c r="AG53" i="4"/>
  <c r="AG253" i="4"/>
  <c r="AG106" i="4"/>
  <c r="AG107" i="4"/>
  <c r="AG125" i="4"/>
  <c r="AG156" i="4"/>
  <c r="AG269" i="4"/>
  <c r="AG276" i="4"/>
  <c r="AG165" i="4"/>
  <c r="AG302" i="4"/>
  <c r="AG204" i="4"/>
  <c r="AG205" i="4"/>
  <c r="AG207" i="4"/>
  <c r="AG264" i="4"/>
  <c r="AG208" i="4"/>
  <c r="AG209" i="4"/>
  <c r="AG202" i="4"/>
  <c r="AG203" i="4"/>
  <c r="AG206" i="4"/>
  <c r="AG88" i="4"/>
  <c r="AG89" i="4"/>
  <c r="AG90" i="4"/>
  <c r="AG91" i="4"/>
  <c r="AG92" i="4"/>
  <c r="AG251" i="4"/>
  <c r="AG94" i="4"/>
  <c r="AG252" i="4"/>
  <c r="AG102" i="4"/>
  <c r="AG105" i="4"/>
  <c r="AG36" i="4"/>
  <c r="AG285" i="4"/>
  <c r="AG282" i="4"/>
  <c r="AG238" i="4"/>
  <c r="AG239" i="4"/>
  <c r="AG240" i="4"/>
  <c r="AG241" i="4"/>
  <c r="AG242" i="4"/>
  <c r="AG243" i="4"/>
  <c r="AG5" i="4"/>
  <c r="AG8" i="4"/>
  <c r="AG75" i="4"/>
  <c r="AG76" i="4"/>
  <c r="AG77" i="4"/>
  <c r="AG78" i="4"/>
  <c r="AG79" i="4"/>
  <c r="AG288" i="4"/>
  <c r="AG289" i="4"/>
  <c r="AG286" i="4"/>
  <c r="AG291" i="4"/>
  <c r="AG16" i="4"/>
  <c r="AG17" i="4"/>
  <c r="AG18" i="4"/>
  <c r="AG19" i="4"/>
  <c r="AG293" i="4"/>
  <c r="AG295" i="4"/>
  <c r="AG297" i="4"/>
  <c r="AG290" i="4"/>
  <c r="AG281" i="4"/>
  <c r="AG300" i="4"/>
  <c r="AG248" i="4"/>
  <c r="AG249" i="4"/>
  <c r="AG250" i="4"/>
  <c r="AG258" i="4"/>
  <c r="AG278" i="4"/>
  <c r="AG260" i="4"/>
  <c r="AG296" i="4"/>
  <c r="AG135" i="4"/>
  <c r="AG136" i="4"/>
  <c r="AG49" i="4"/>
  <c r="AG12" i="4"/>
  <c r="AG177" i="4"/>
  <c r="AG179" i="4"/>
  <c r="AG63" i="4"/>
  <c r="AG70" i="4"/>
  <c r="AG82" i="4"/>
  <c r="AG84" i="4"/>
  <c r="AG244" i="4"/>
  <c r="AG87" i="4"/>
  <c r="AG247" i="4"/>
  <c r="AG284" i="4"/>
  <c r="AG126" i="4"/>
  <c r="AG48" i="4"/>
  <c r="AG134" i="4"/>
  <c r="AG256" i="4"/>
  <c r="AG52" i="4"/>
  <c r="AG60" i="4"/>
  <c r="AG261" i="4"/>
  <c r="AG9" i="4"/>
  <c r="AG10" i="4"/>
  <c r="AG11" i="4"/>
  <c r="AG185" i="4"/>
  <c r="AG67" i="4"/>
  <c r="AG214" i="4"/>
  <c r="AG118" i="4"/>
  <c r="AG139" i="4"/>
  <c r="AG68" i="4"/>
  <c r="AG69" i="4"/>
  <c r="AG80" i="4"/>
  <c r="AG81" i="4"/>
  <c r="AG245" i="4"/>
  <c r="AG246" i="4"/>
  <c r="AG180" i="4"/>
  <c r="AG64" i="4"/>
  <c r="AG65" i="4"/>
  <c r="AG66" i="4"/>
  <c r="AG230" i="4"/>
  <c r="AG72" i="4"/>
  <c r="AG83" i="4"/>
  <c r="AG129" i="4"/>
  <c r="AG130" i="4"/>
  <c r="AG148" i="4"/>
  <c r="AG14" i="4"/>
  <c r="AG7" i="4"/>
  <c r="AG162" i="4"/>
  <c r="AG15" i="4"/>
  <c r="AG57" i="4"/>
  <c r="AG58" i="4"/>
  <c r="AG59" i="4"/>
  <c r="AG181" i="4"/>
  <c r="AG221" i="4"/>
  <c r="AG226" i="4"/>
  <c r="AG227" i="4"/>
  <c r="AG228" i="4"/>
  <c r="AG229" i="4"/>
  <c r="AG117" i="4"/>
  <c r="AG121" i="4"/>
  <c r="AG127" i="4"/>
  <c r="AG137" i="4"/>
  <c r="AG301" i="4"/>
  <c r="AG266" i="4"/>
  <c r="AG275" i="4"/>
  <c r="AG152" i="4"/>
  <c r="AG153" i="4"/>
  <c r="AG160" i="4"/>
  <c r="AG164" i="4"/>
  <c r="AG166" i="4"/>
  <c r="AG167" i="4"/>
  <c r="AG168" i="4"/>
  <c r="AG170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12" i="4"/>
  <c r="AG213" i="4"/>
  <c r="AG216" i="4"/>
  <c r="AG273" i="4"/>
  <c r="AG274" i="4"/>
  <c r="AG265" i="4"/>
  <c r="AG234" i="4"/>
  <c r="AG138" i="4"/>
  <c r="AG143" i="4"/>
  <c r="AG144" i="4"/>
  <c r="AG268" i="4"/>
  <c r="AG184" i="4"/>
  <c r="AG262" i="4"/>
  <c r="AG263" i="4"/>
  <c r="AG270" i="4"/>
  <c r="AG271" i="4"/>
  <c r="AG272" i="4"/>
  <c r="AG292" i="4"/>
  <c r="AG280" i="4"/>
  <c r="AG37" i="4"/>
  <c r="AG146" i="4"/>
  <c r="AG159" i="4"/>
  <c r="AG279" i="4"/>
  <c r="AG169" i="4"/>
  <c r="AG223" i="4"/>
  <c r="AG224" i="4"/>
  <c r="AG225" i="4"/>
  <c r="AG231" i="4"/>
  <c r="AG233" i="4"/>
  <c r="AG283" i="4"/>
  <c r="AG4" i="4"/>
  <c r="AG20" i="4"/>
  <c r="AG21" i="4"/>
  <c r="AG41" i="4"/>
  <c r="AG22" i="4"/>
  <c r="AG23" i="4"/>
  <c r="AG42" i="4"/>
  <c r="AG24" i="4"/>
  <c r="AG25" i="4"/>
  <c r="AG43" i="4"/>
  <c r="AG26" i="4"/>
  <c r="AG27" i="4"/>
  <c r="AG28" i="4"/>
  <c r="AG2" i="4"/>
  <c r="AG29" i="4"/>
  <c r="AG30" i="4"/>
  <c r="AG31" i="4"/>
  <c r="AG35" i="4"/>
  <c r="AG140" i="4"/>
  <c r="AG257" i="4"/>
  <c r="AG40" i="4"/>
  <c r="AG95" i="4"/>
  <c r="AG112" i="4"/>
  <c r="AG113" i="4"/>
  <c r="AG114" i="4"/>
  <c r="AG115" i="4"/>
  <c r="AG116" i="4"/>
  <c r="AG119" i="4"/>
  <c r="AG124" i="4"/>
  <c r="AG147" i="4"/>
  <c r="AG149" i="4"/>
  <c r="AG150" i="4"/>
  <c r="AG155" i="4"/>
  <c r="AG158" i="4"/>
  <c r="AG294" i="4"/>
  <c r="AG62" i="4"/>
  <c r="AG3" i="4"/>
  <c r="AG183" i="4"/>
  <c r="AG201" i="4"/>
  <c r="AG235" i="4"/>
  <c r="AG236" i="4"/>
  <c r="AG120" i="4"/>
  <c r="AG32" i="4"/>
  <c r="AG33" i="4"/>
  <c r="AG34" i="4"/>
  <c r="AG131" i="4"/>
  <c r="AG132" i="4"/>
  <c r="AG133" i="4"/>
  <c r="AG61" i="4"/>
  <c r="AG303" i="4"/>
  <c r="AG259" i="4"/>
  <c r="AG39" i="4"/>
  <c r="AG122" i="4"/>
  <c r="AG123" i="4"/>
  <c r="AG142" i="4"/>
  <c r="AG50" i="4"/>
  <c r="AG151" i="4"/>
  <c r="AG51" i="4"/>
  <c r="AG157" i="4"/>
  <c r="AG161" i="4"/>
  <c r="AG171" i="4"/>
  <c r="AG172" i="4"/>
  <c r="AG173" i="4"/>
  <c r="AG178" i="4"/>
  <c r="AG182" i="4"/>
  <c r="AG215" i="4"/>
  <c r="AG217" i="4"/>
  <c r="AG218" i="4"/>
  <c r="AG219" i="4"/>
  <c r="AG220" i="4"/>
  <c r="AG71" i="4"/>
  <c r="AG222" i="4"/>
  <c r="AG287" i="4"/>
  <c r="AG232" i="4"/>
  <c r="AG85" i="4"/>
  <c r="AG306" i="4"/>
  <c r="AG307" i="4"/>
  <c r="AG305" i="4"/>
  <c r="AG304" i="4"/>
  <c r="AG308" i="4"/>
  <c r="AG313" i="4"/>
  <c r="AG315" i="4"/>
  <c r="AG316" i="4"/>
  <c r="AG317" i="4"/>
  <c r="AG309" i="4"/>
  <c r="AG319" i="4"/>
  <c r="AG318" i="4"/>
  <c r="AG310" i="4"/>
  <c r="AG311" i="4"/>
  <c r="AG312" i="4"/>
  <c r="AG336" i="4"/>
  <c r="AG337" i="4"/>
  <c r="AG338" i="4"/>
  <c r="AG320" i="4"/>
  <c r="AG321" i="4"/>
  <c r="AG322" i="4"/>
  <c r="AG323" i="4"/>
  <c r="AG324" i="4"/>
  <c r="AG325" i="4"/>
  <c r="AG326" i="4"/>
  <c r="AG327" i="4"/>
  <c r="AG348" i="4"/>
  <c r="AG349" i="4"/>
  <c r="AG347" i="4"/>
  <c r="AG350" i="4"/>
  <c r="AG351" i="4"/>
  <c r="AG339" i="4"/>
  <c r="AG340" i="4"/>
  <c r="AG341" i="4"/>
  <c r="AG342" i="4"/>
  <c r="AG352" i="4"/>
  <c r="AG328" i="4"/>
  <c r="AG329" i="4"/>
  <c r="AG330" i="4"/>
  <c r="AG331" i="4"/>
  <c r="AG332" i="4"/>
  <c r="AG333" i="4"/>
  <c r="AG334" i="4"/>
  <c r="AG335" i="4"/>
  <c r="AG343" i="4"/>
  <c r="AG345" i="4"/>
  <c r="AG346" i="4"/>
  <c r="AG344" i="4"/>
  <c r="AG353" i="4"/>
  <c r="AG373" i="4"/>
  <c r="AG374" i="4"/>
  <c r="AG372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8" i="4"/>
  <c r="AG376" i="4"/>
  <c r="AG379" i="4"/>
  <c r="AG385" i="4"/>
  <c r="AG380" i="4"/>
  <c r="AG375" i="4"/>
  <c r="AG386" i="4"/>
  <c r="AG381" i="4"/>
  <c r="AG387" i="4"/>
  <c r="AG377" i="4"/>
  <c r="AG383" i="4"/>
  <c r="AG128" i="4"/>
  <c r="B299" i="5"/>
  <c r="AM299" i="5"/>
  <c r="AQ299" i="5"/>
  <c r="B203" i="5"/>
  <c r="AM203" i="5"/>
  <c r="AQ203" i="5"/>
  <c r="B206" i="5"/>
  <c r="AM206" i="5"/>
  <c r="AQ206" i="5"/>
  <c r="B198" i="5"/>
  <c r="AM198" i="5"/>
  <c r="AQ198" i="5"/>
  <c r="B208" i="5"/>
  <c r="AM208" i="5"/>
  <c r="AQ208" i="5"/>
  <c r="B23" i="5"/>
  <c r="AM23" i="5"/>
  <c r="AQ23" i="5"/>
  <c r="B69" i="5"/>
  <c r="AM69" i="5"/>
  <c r="AQ69" i="5"/>
  <c r="AM47" i="2"/>
  <c r="AM46" i="2"/>
  <c r="AM51" i="2"/>
  <c r="AM50" i="2"/>
  <c r="AM52" i="2"/>
  <c r="AP91" i="2"/>
  <c r="AP90" i="2"/>
  <c r="AP92" i="2"/>
  <c r="AP97" i="2"/>
  <c r="AP94" i="2"/>
  <c r="AP93" i="2"/>
  <c r="AP95" i="2"/>
  <c r="AP96" i="2"/>
  <c r="AP98" i="2"/>
  <c r="AP100" i="2"/>
  <c r="AP99" i="2"/>
  <c r="AP101" i="2"/>
  <c r="AP102" i="2"/>
  <c r="AQ91" i="2"/>
  <c r="AQ90" i="2"/>
  <c r="AQ92" i="2"/>
  <c r="AQ97" i="2"/>
  <c r="AQ94" i="2"/>
  <c r="AQ93" i="2"/>
  <c r="AQ95" i="2"/>
  <c r="AQ96" i="2"/>
  <c r="AQ98" i="2"/>
  <c r="AQ100" i="2"/>
  <c r="AQ99" i="2"/>
  <c r="AQ101" i="2"/>
  <c r="AQ102" i="2"/>
  <c r="AR91" i="2"/>
  <c r="AR90" i="2"/>
  <c r="AR92" i="2"/>
  <c r="AR97" i="2"/>
  <c r="AR94" i="2"/>
  <c r="AR93" i="2"/>
  <c r="AR95" i="2"/>
  <c r="AR96" i="2"/>
  <c r="AR98" i="2"/>
  <c r="AR100" i="2"/>
  <c r="AR99" i="2"/>
  <c r="AR101" i="2"/>
  <c r="AR102" i="2"/>
  <c r="AS91" i="2"/>
  <c r="AS90" i="2"/>
  <c r="AS92" i="2"/>
  <c r="AS97" i="2"/>
  <c r="AS94" i="2"/>
  <c r="AS93" i="2"/>
  <c r="AS95" i="2"/>
  <c r="AS96" i="2"/>
  <c r="AS98" i="2"/>
  <c r="AS100" i="2"/>
  <c r="AS99" i="2"/>
  <c r="AS101" i="2"/>
  <c r="AS102" i="2"/>
  <c r="AT91" i="2"/>
  <c r="AT90" i="2"/>
  <c r="AT92" i="2"/>
  <c r="AT97" i="2"/>
  <c r="AT94" i="2"/>
  <c r="AT93" i="2"/>
  <c r="AT95" i="2"/>
  <c r="AT96" i="2"/>
  <c r="AT98" i="2"/>
  <c r="AT100" i="2"/>
  <c r="AT99" i="2"/>
  <c r="AT101" i="2"/>
  <c r="AT102" i="2"/>
  <c r="AU91" i="2"/>
  <c r="AU90" i="2"/>
  <c r="AU92" i="2"/>
  <c r="AU97" i="2"/>
  <c r="AU94" i="2"/>
  <c r="AU93" i="2"/>
  <c r="AU95" i="2"/>
  <c r="AU96" i="2"/>
  <c r="AU98" i="2"/>
  <c r="AU100" i="2"/>
  <c r="AU99" i="2"/>
  <c r="AU101" i="2"/>
  <c r="AU102" i="2"/>
  <c r="AV91" i="2"/>
  <c r="AV90" i="2"/>
  <c r="AV92" i="2"/>
  <c r="AV97" i="2"/>
  <c r="AV94" i="2"/>
  <c r="AV93" i="2"/>
  <c r="AV95" i="2"/>
  <c r="AV96" i="2"/>
  <c r="AV98" i="2"/>
  <c r="AV100" i="2"/>
  <c r="AV99" i="2"/>
  <c r="AV101" i="2"/>
  <c r="AV102" i="2"/>
  <c r="AW91" i="2"/>
  <c r="AW90" i="2"/>
  <c r="AW92" i="2"/>
  <c r="AW97" i="2"/>
  <c r="AW94" i="2"/>
  <c r="AW93" i="2"/>
  <c r="AW95" i="2"/>
  <c r="AW96" i="2"/>
  <c r="AW98" i="2"/>
  <c r="AW100" i="2"/>
  <c r="AW99" i="2"/>
  <c r="AW101" i="2"/>
  <c r="AW102" i="2"/>
  <c r="AX91" i="2"/>
  <c r="AX90" i="2"/>
  <c r="AX92" i="2"/>
  <c r="AX97" i="2"/>
  <c r="AX94" i="2"/>
  <c r="AX93" i="2"/>
  <c r="AX95" i="2"/>
  <c r="AX96" i="2"/>
  <c r="AX98" i="2"/>
  <c r="AX100" i="2"/>
  <c r="AX99" i="2"/>
  <c r="AX101" i="2"/>
  <c r="AX102" i="2"/>
  <c r="AY91" i="2"/>
  <c r="AY90" i="2"/>
  <c r="AY92" i="2"/>
  <c r="AY97" i="2"/>
  <c r="AY94" i="2"/>
  <c r="AY93" i="2"/>
  <c r="AY95" i="2"/>
  <c r="AY96" i="2"/>
  <c r="AY98" i="2"/>
  <c r="AY100" i="2"/>
  <c r="AY99" i="2"/>
  <c r="AY101" i="2"/>
  <c r="AY102" i="2"/>
  <c r="AZ91" i="2"/>
  <c r="AZ90" i="2"/>
  <c r="AZ92" i="2"/>
  <c r="AZ97" i="2"/>
  <c r="AZ94" i="2"/>
  <c r="AZ93" i="2"/>
  <c r="AZ95" i="2"/>
  <c r="AZ96" i="2"/>
  <c r="AZ98" i="2"/>
  <c r="AZ100" i="2"/>
  <c r="AZ99" i="2"/>
  <c r="AZ101" i="2"/>
  <c r="AZ102" i="2"/>
  <c r="BA91" i="2"/>
  <c r="BA90" i="2"/>
  <c r="BA92" i="2"/>
  <c r="BA97" i="2"/>
  <c r="BA94" i="2"/>
  <c r="BA93" i="2"/>
  <c r="BA95" i="2"/>
  <c r="BA96" i="2"/>
  <c r="BA98" i="2"/>
  <c r="BA100" i="2"/>
  <c r="BA99" i="2"/>
  <c r="BA101" i="2"/>
  <c r="BA102" i="2"/>
  <c r="BB91" i="2"/>
  <c r="BB90" i="2"/>
  <c r="BB92" i="2"/>
  <c r="BB97" i="2"/>
  <c r="BB94" i="2"/>
  <c r="BB93" i="2"/>
  <c r="BB95" i="2"/>
  <c r="BB96" i="2"/>
  <c r="BB98" i="2"/>
  <c r="BB100" i="2"/>
  <c r="BB99" i="2"/>
  <c r="BB101" i="2"/>
  <c r="BB102" i="2"/>
  <c r="BC91" i="2"/>
  <c r="BC90" i="2"/>
  <c r="BC92" i="2"/>
  <c r="BC97" i="2"/>
  <c r="BC94" i="2"/>
  <c r="BC93" i="2"/>
  <c r="BC95" i="2"/>
  <c r="BC96" i="2"/>
  <c r="BC98" i="2"/>
  <c r="BC100" i="2"/>
  <c r="BC99" i="2"/>
  <c r="BC101" i="2"/>
  <c r="BC102" i="2"/>
  <c r="BD91" i="2"/>
  <c r="BD90" i="2"/>
  <c r="BD92" i="2"/>
  <c r="BD97" i="2"/>
  <c r="BD94" i="2"/>
  <c r="BD93" i="2"/>
  <c r="BD95" i="2"/>
  <c r="BD96" i="2"/>
  <c r="BD98" i="2"/>
  <c r="BD100" i="2"/>
  <c r="BD99" i="2"/>
  <c r="BD101" i="2"/>
  <c r="BD102" i="2"/>
  <c r="BE97" i="2"/>
  <c r="BE94" i="2"/>
  <c r="BE93" i="2"/>
  <c r="BE95" i="2"/>
  <c r="BE96" i="2"/>
  <c r="BE98" i="2"/>
  <c r="BE100" i="2"/>
  <c r="BE99" i="2"/>
  <c r="BE101" i="2"/>
  <c r="BF97" i="2"/>
  <c r="BF94" i="2"/>
  <c r="BF93" i="2"/>
  <c r="BF95" i="2"/>
  <c r="BF96" i="2"/>
  <c r="BF98" i="2"/>
  <c r="BF100" i="2"/>
  <c r="BF99" i="2"/>
  <c r="BF101" i="2"/>
  <c r="BG97" i="2"/>
  <c r="BG94" i="2"/>
  <c r="BG93" i="2"/>
  <c r="BG95" i="2"/>
  <c r="BG96" i="2"/>
  <c r="BG98" i="2"/>
  <c r="BG100" i="2"/>
  <c r="BG99" i="2"/>
  <c r="BG101" i="2"/>
  <c r="BH97" i="2"/>
  <c r="BH94" i="2"/>
  <c r="BH93" i="2"/>
  <c r="BH95" i="2"/>
  <c r="BH96" i="2"/>
  <c r="BH98" i="2"/>
  <c r="BH100" i="2"/>
  <c r="BH99" i="2"/>
  <c r="BH101" i="2"/>
  <c r="BI97" i="2"/>
  <c r="BI94" i="2"/>
  <c r="BI93" i="2"/>
  <c r="BI95" i="2"/>
  <c r="BI96" i="2"/>
  <c r="BI98" i="2"/>
  <c r="BI100" i="2"/>
  <c r="BI99" i="2"/>
  <c r="BI101" i="2"/>
  <c r="BJ97" i="2"/>
  <c r="BJ94" i="2"/>
  <c r="BJ93" i="2"/>
  <c r="BJ95" i="2"/>
  <c r="BJ96" i="2"/>
  <c r="BJ98" i="2"/>
  <c r="BJ100" i="2"/>
  <c r="BJ99" i="2"/>
  <c r="BJ101" i="2"/>
  <c r="BK97" i="2"/>
  <c r="BK94" i="2"/>
  <c r="BK93" i="2"/>
  <c r="BK95" i="2"/>
  <c r="BK96" i="2"/>
  <c r="BK98" i="2"/>
  <c r="BK100" i="2"/>
  <c r="BK99" i="2"/>
  <c r="BK101" i="2"/>
  <c r="BL97" i="2"/>
  <c r="BL94" i="2"/>
  <c r="BL93" i="2"/>
  <c r="BL95" i="2"/>
  <c r="BL96" i="2"/>
  <c r="BL98" i="2"/>
  <c r="BL100" i="2"/>
  <c r="BL99" i="2"/>
  <c r="BL101" i="2"/>
  <c r="AO91" i="2"/>
  <c r="AO90" i="2"/>
  <c r="AO92" i="2"/>
  <c r="AO97" i="2"/>
  <c r="AO94" i="2"/>
  <c r="AO93" i="2"/>
  <c r="AO95" i="2"/>
  <c r="AO96" i="2"/>
  <c r="AO98" i="2"/>
  <c r="AO100" i="2"/>
  <c r="AO99" i="2"/>
  <c r="AO101" i="2"/>
  <c r="AO102" i="2"/>
  <c r="B58" i="5"/>
  <c r="AM58" i="5"/>
  <c r="AQ58" i="5"/>
  <c r="B271" i="5"/>
  <c r="B295" i="5"/>
  <c r="B282" i="5"/>
  <c r="B2" i="5"/>
  <c r="B4" i="5"/>
  <c r="B29" i="5"/>
  <c r="B30" i="5"/>
  <c r="B32" i="5"/>
  <c r="B33" i="5"/>
  <c r="B31" i="5"/>
  <c r="B231" i="5"/>
  <c r="B12" i="5"/>
  <c r="B137" i="5"/>
  <c r="B66" i="5"/>
  <c r="B15" i="5"/>
  <c r="B27" i="5"/>
  <c r="B97" i="5"/>
  <c r="B10" i="5"/>
  <c r="B157" i="5"/>
  <c r="B151" i="5"/>
  <c r="B11" i="5"/>
  <c r="B67" i="5"/>
  <c r="B13" i="5"/>
  <c r="B230" i="5"/>
  <c r="B283" i="5"/>
  <c r="B37" i="5"/>
  <c r="B22" i="5"/>
  <c r="B24" i="5"/>
  <c r="B14" i="5"/>
  <c r="B289" i="5"/>
  <c r="B233" i="5"/>
  <c r="B291" i="5"/>
  <c r="B292" i="5"/>
  <c r="B287" i="5"/>
  <c r="B9" i="5"/>
  <c r="B275" i="5"/>
  <c r="B232" i="5"/>
  <c r="B6" i="5"/>
  <c r="B5" i="5"/>
  <c r="B35" i="5"/>
  <c r="B290" i="5"/>
  <c r="B36" i="5"/>
  <c r="B26" i="5"/>
  <c r="B25" i="5"/>
  <c r="B7" i="5"/>
  <c r="B297" i="5"/>
  <c r="B8" i="5"/>
  <c r="B296" i="5"/>
  <c r="B3" i="5"/>
  <c r="B281" i="5"/>
  <c r="B28" i="5"/>
  <c r="B284" i="5"/>
  <c r="B270" i="5"/>
  <c r="B288" i="5"/>
  <c r="B18" i="5"/>
  <c r="B17" i="5"/>
  <c r="B16" i="5"/>
  <c r="B184" i="5"/>
  <c r="B118" i="5"/>
  <c r="B159" i="5"/>
  <c r="B172" i="5"/>
  <c r="B229" i="5"/>
  <c r="B227" i="5"/>
  <c r="B154" i="5"/>
  <c r="B133" i="5"/>
  <c r="B185" i="5"/>
  <c r="B187" i="5"/>
  <c r="B188" i="5"/>
  <c r="B77" i="5"/>
  <c r="B96" i="5"/>
  <c r="B181" i="5"/>
  <c r="B141" i="5"/>
  <c r="B186" i="5"/>
  <c r="B223" i="5"/>
  <c r="B174" i="5"/>
  <c r="B242" i="5"/>
  <c r="B79" i="5"/>
  <c r="B228" i="5"/>
  <c r="B225" i="5"/>
  <c r="B224" i="5"/>
  <c r="B190" i="5"/>
  <c r="B88" i="5"/>
  <c r="B89" i="5"/>
  <c r="B99" i="5"/>
  <c r="B140" i="5"/>
  <c r="B156" i="5"/>
  <c r="B115" i="5"/>
  <c r="B183" i="5"/>
  <c r="B217" i="5"/>
  <c r="B196" i="5"/>
  <c r="B119" i="5"/>
  <c r="B142" i="5"/>
  <c r="B128" i="5"/>
  <c r="B195" i="5"/>
  <c r="B175" i="5"/>
  <c r="B171" i="5"/>
  <c r="B110" i="5"/>
  <c r="B251" i="5"/>
  <c r="B165" i="5"/>
  <c r="B166" i="5"/>
  <c r="B167" i="5"/>
  <c r="B272" i="5"/>
  <c r="B234" i="5"/>
  <c r="B91" i="5"/>
  <c r="B138" i="5"/>
  <c r="B90" i="5"/>
  <c r="B51" i="5"/>
  <c r="B52" i="5"/>
  <c r="B117" i="5"/>
  <c r="B103" i="5"/>
  <c r="B50" i="5"/>
  <c r="B104" i="5"/>
  <c r="B53" i="5"/>
  <c r="B121" i="5"/>
  <c r="B139" i="5"/>
  <c r="B124" i="5"/>
  <c r="B105" i="5"/>
  <c r="B147" i="5"/>
  <c r="B170" i="5"/>
  <c r="B143" i="5"/>
  <c r="B123" i="5"/>
  <c r="B146" i="5"/>
  <c r="B163" i="5"/>
  <c r="B155" i="5"/>
  <c r="B46" i="5"/>
  <c r="B200" i="5"/>
  <c r="B218" i="5"/>
  <c r="B169" i="5"/>
  <c r="B149" i="5"/>
  <c r="B41" i="5"/>
  <c r="B113" i="5"/>
  <c r="B240" i="5"/>
  <c r="B125" i="5"/>
  <c r="B56" i="5"/>
  <c r="B243" i="5"/>
  <c r="B87" i="5"/>
  <c r="B214" i="5"/>
  <c r="B182" i="5"/>
  <c r="B216" i="5"/>
  <c r="B55" i="5"/>
  <c r="B107" i="5"/>
  <c r="B108" i="5"/>
  <c r="B109" i="5"/>
  <c r="B112" i="5"/>
  <c r="B250" i="5"/>
  <c r="B48" i="5"/>
  <c r="B62" i="5"/>
  <c r="B122" i="5"/>
  <c r="B162" i="5"/>
  <c r="B191" i="5"/>
  <c r="B160" i="5"/>
  <c r="B161" i="5"/>
  <c r="B72" i="5"/>
  <c r="B85" i="5"/>
  <c r="B193" i="5"/>
  <c r="B73" i="5"/>
  <c r="B253" i="5"/>
  <c r="B92" i="5"/>
  <c r="B215" i="5"/>
  <c r="B60" i="5"/>
  <c r="B245" i="5"/>
  <c r="B248" i="5"/>
  <c r="B116" i="5"/>
  <c r="B120" i="5"/>
  <c r="B127" i="5"/>
  <c r="B247" i="5"/>
  <c r="B249" i="5"/>
  <c r="B59" i="5"/>
  <c r="B222" i="5"/>
  <c r="B65" i="5"/>
  <c r="B70" i="5"/>
  <c r="B131" i="5"/>
  <c r="B81" i="5"/>
  <c r="B83" i="5"/>
  <c r="B86" i="5"/>
  <c r="B180" i="5"/>
  <c r="B210" i="5"/>
  <c r="B212" i="5"/>
  <c r="B246" i="5"/>
  <c r="B255" i="5"/>
  <c r="B199" i="5"/>
  <c r="B145" i="5"/>
  <c r="B111" i="5"/>
  <c r="B213" i="5"/>
  <c r="B153" i="5"/>
  <c r="B38" i="5"/>
  <c r="B78" i="5"/>
  <c r="B94" i="5"/>
  <c r="B71" i="5"/>
  <c r="B74" i="5"/>
  <c r="B129" i="5"/>
  <c r="B84" i="5"/>
  <c r="B106" i="5"/>
  <c r="B168" i="5"/>
  <c r="B136" i="5"/>
  <c r="B239" i="5"/>
  <c r="B252" i="5"/>
  <c r="B82" i="5"/>
  <c r="B158" i="5"/>
  <c r="B192" i="5"/>
  <c r="B47" i="5"/>
  <c r="B178" i="5"/>
  <c r="B236" i="5"/>
  <c r="B164" i="5"/>
  <c r="B244" i="5"/>
  <c r="B237" i="5"/>
  <c r="B54" i="5"/>
  <c r="B63" i="5"/>
  <c r="B238" i="5"/>
  <c r="B202" i="5"/>
  <c r="B39" i="5"/>
  <c r="B95" i="5"/>
  <c r="B207" i="5"/>
  <c r="B134" i="5"/>
  <c r="B93" i="5"/>
  <c r="B211" i="5"/>
  <c r="B173" i="5"/>
  <c r="B126" i="5"/>
  <c r="B44" i="5"/>
  <c r="B226" i="5"/>
  <c r="B75" i="5"/>
  <c r="B235" i="5"/>
  <c r="B68" i="5"/>
  <c r="B204" i="5"/>
  <c r="B132" i="5"/>
  <c r="B57" i="5"/>
  <c r="B197" i="5"/>
  <c r="B205" i="5"/>
  <c r="B43" i="5"/>
  <c r="B221" i="5"/>
  <c r="B49" i="5"/>
  <c r="B100" i="5"/>
  <c r="B209" i="5"/>
  <c r="B220" i="5"/>
  <c r="B64" i="5"/>
  <c r="B101" i="5"/>
  <c r="B219" i="5"/>
  <c r="B179" i="5"/>
  <c r="B61" i="5"/>
  <c r="B130" i="5"/>
  <c r="B176" i="5"/>
  <c r="B189" i="5"/>
  <c r="B177" i="5"/>
  <c r="B150" i="5"/>
  <c r="B152" i="5"/>
  <c r="B258" i="5"/>
  <c r="B256" i="5"/>
  <c r="B42" i="5"/>
  <c r="B259" i="5"/>
  <c r="B135" i="5"/>
  <c r="B254" i="5"/>
  <c r="B264" i="5"/>
  <c r="B257" i="5"/>
  <c r="B40" i="5"/>
  <c r="B80" i="5"/>
  <c r="B148" i="5"/>
  <c r="B194" i="5"/>
  <c r="B76" i="5"/>
  <c r="B45" i="5"/>
  <c r="B114" i="5"/>
  <c r="B102" i="5"/>
  <c r="B144" i="5"/>
  <c r="B263" i="5"/>
  <c r="B260" i="5"/>
  <c r="B262" i="5"/>
  <c r="B261" i="5"/>
  <c r="B265" i="5"/>
  <c r="B293" i="5"/>
  <c r="B277" i="5"/>
  <c r="B298" i="5"/>
  <c r="B266" i="5"/>
  <c r="B268" i="5"/>
  <c r="B267" i="5"/>
  <c r="B279" i="5"/>
  <c r="B278" i="5"/>
  <c r="B274" i="5"/>
  <c r="B276" i="5"/>
  <c r="B286" i="5"/>
  <c r="B285" i="5"/>
  <c r="B294" i="5"/>
  <c r="B273" i="5"/>
  <c r="B269" i="5"/>
  <c r="B280" i="5"/>
  <c r="B304" i="5"/>
  <c r="B305" i="5"/>
  <c r="B306" i="5"/>
  <c r="B307" i="5"/>
  <c r="B309" i="5"/>
  <c r="B310" i="5"/>
  <c r="B311" i="5"/>
  <c r="B312" i="5"/>
  <c r="B313" i="5"/>
  <c r="B314" i="5"/>
  <c r="B315" i="5"/>
  <c r="B316" i="5"/>
  <c r="B317" i="5"/>
  <c r="B318" i="5"/>
  <c r="B319" i="5"/>
  <c r="B336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7" i="5"/>
  <c r="B338" i="5"/>
  <c r="B339" i="5"/>
  <c r="B340" i="5"/>
  <c r="B342" i="5"/>
  <c r="B343" i="5"/>
  <c r="B344" i="5"/>
  <c r="B345" i="5"/>
  <c r="B346" i="5"/>
  <c r="B347" i="5"/>
  <c r="B348" i="5"/>
  <c r="B349" i="5"/>
  <c r="B350" i="5"/>
  <c r="B351" i="5"/>
  <c r="B34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9" i="5"/>
  <c r="B375" i="5"/>
  <c r="B376" i="5"/>
  <c r="B377" i="5"/>
  <c r="B378" i="5"/>
  <c r="B380" i="5"/>
  <c r="B381" i="5"/>
  <c r="B382" i="5"/>
  <c r="B383" i="5"/>
  <c r="B384" i="5"/>
  <c r="B385" i="5"/>
  <c r="B388" i="5"/>
  <c r="B389" i="5"/>
  <c r="B392" i="5"/>
  <c r="B390" i="5"/>
  <c r="B391" i="5"/>
  <c r="B396" i="5"/>
  <c r="B411" i="5"/>
  <c r="B414" i="5"/>
  <c r="B393" i="5"/>
  <c r="B397" i="5"/>
  <c r="B398" i="5"/>
  <c r="B399" i="5"/>
  <c r="B400" i="5"/>
  <c r="B406" i="5"/>
  <c r="B407" i="5"/>
  <c r="B408" i="5"/>
  <c r="B409" i="5"/>
  <c r="B413" i="5"/>
  <c r="B394" i="5"/>
  <c r="B395" i="5"/>
  <c r="B404" i="5"/>
  <c r="B405" i="5"/>
  <c r="B412" i="5"/>
  <c r="B415" i="5"/>
  <c r="B416" i="5"/>
  <c r="B417" i="5"/>
  <c r="B401" i="5"/>
  <c r="B410" i="5"/>
  <c r="B403" i="5"/>
  <c r="B402" i="5"/>
  <c r="B34" i="5"/>
  <c r="AA89" i="4"/>
  <c r="AA90" i="4"/>
  <c r="AA93" i="4"/>
  <c r="AA91" i="4"/>
  <c r="AA92" i="4"/>
  <c r="AA248" i="4"/>
  <c r="AA251" i="4"/>
  <c r="AA249" i="4"/>
  <c r="AA250" i="4"/>
  <c r="AA94" i="4"/>
  <c r="AA252" i="4"/>
  <c r="AA16" i="4"/>
  <c r="AA17" i="4"/>
  <c r="AA18" i="4"/>
  <c r="AA19" i="4"/>
  <c r="AA4" i="4"/>
  <c r="AA20" i="4"/>
  <c r="AA95" i="4"/>
  <c r="AA21" i="4"/>
  <c r="AA96" i="4"/>
  <c r="AA97" i="4"/>
  <c r="AA98" i="4"/>
  <c r="AA99" i="4"/>
  <c r="AA100" i="4"/>
  <c r="AA101" i="4"/>
  <c r="AA288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41" i="4"/>
  <c r="AA22" i="4"/>
  <c r="AA23" i="4"/>
  <c r="AA42" i="4"/>
  <c r="AA24" i="4"/>
  <c r="AA25" i="4"/>
  <c r="AA43" i="4"/>
  <c r="AA26" i="4"/>
  <c r="AA27" i="4"/>
  <c r="AA28" i="4"/>
  <c r="AA2" i="4"/>
  <c r="AA122" i="4"/>
  <c r="AA123" i="4"/>
  <c r="AA124" i="4"/>
  <c r="AA44" i="4"/>
  <c r="AA45" i="4"/>
  <c r="AA29" i="4"/>
  <c r="AA30" i="4"/>
  <c r="AA31" i="4"/>
  <c r="AA32" i="4"/>
  <c r="AA33" i="4"/>
  <c r="AA34" i="4"/>
  <c r="AA35" i="4"/>
  <c r="AA46" i="4"/>
  <c r="AA125" i="4"/>
  <c r="AA253" i="4"/>
  <c r="AA47" i="4"/>
  <c r="AA284" i="4"/>
  <c r="AA126" i="4"/>
  <c r="AA127" i="4"/>
  <c r="AA128" i="4"/>
  <c r="AA129" i="4"/>
  <c r="AA130" i="4"/>
  <c r="AA48" i="4"/>
  <c r="AA131" i="4"/>
  <c r="AA132" i="4"/>
  <c r="AA133" i="4"/>
  <c r="AA293" i="4"/>
  <c r="AA134" i="4"/>
  <c r="AA135" i="4"/>
  <c r="AA136" i="4"/>
  <c r="AA137" i="4"/>
  <c r="AA138" i="4"/>
  <c r="AA139" i="4"/>
  <c r="AA140" i="4"/>
  <c r="AA141" i="4"/>
  <c r="AA142" i="4"/>
  <c r="AA301" i="4"/>
  <c r="AA256" i="4"/>
  <c r="AA49" i="4"/>
  <c r="AA257" i="4"/>
  <c r="AA12" i="4"/>
  <c r="AA36" i="4"/>
  <c r="AA303" i="4"/>
  <c r="AA266" i="4"/>
  <c r="AA143" i="4"/>
  <c r="AA144" i="4"/>
  <c r="AA277" i="4"/>
  <c r="AA145" i="4"/>
  <c r="AA285" i="4"/>
  <c r="AA267" i="4"/>
  <c r="AA146" i="4"/>
  <c r="AA258" i="4"/>
  <c r="AA50" i="4"/>
  <c r="AA275" i="4"/>
  <c r="AA147" i="4"/>
  <c r="AA148" i="4"/>
  <c r="AA13" i="4"/>
  <c r="AA37" i="4"/>
  <c r="AA149" i="4"/>
  <c r="AA5" i="4"/>
  <c r="AA150" i="4"/>
  <c r="AA151" i="4"/>
  <c r="AA51" i="4"/>
  <c r="AA152" i="4"/>
  <c r="AA14" i="4"/>
  <c r="AA153" i="4"/>
  <c r="AA154" i="4"/>
  <c r="AA155" i="4"/>
  <c r="AA156" i="4"/>
  <c r="AA278" i="4"/>
  <c r="AA6" i="4"/>
  <c r="AA157" i="4"/>
  <c r="AA52" i="4"/>
  <c r="AA158" i="4"/>
  <c r="AA159" i="4"/>
  <c r="AA7" i="4"/>
  <c r="AA160" i="4"/>
  <c r="AA268" i="4"/>
  <c r="AA161" i="4"/>
  <c r="AA162" i="4"/>
  <c r="AA163" i="4"/>
  <c r="AA164" i="4"/>
  <c r="AA15" i="4"/>
  <c r="AA8" i="4"/>
  <c r="AA269" i="4"/>
  <c r="AA276" i="4"/>
  <c r="AA165" i="4"/>
  <c r="AA259" i="4"/>
  <c r="AA166" i="4"/>
  <c r="AA279" i="4"/>
  <c r="AA167" i="4"/>
  <c r="AA168" i="4"/>
  <c r="AA260" i="4"/>
  <c r="AA169" i="4"/>
  <c r="AA302" i="4"/>
  <c r="AA170" i="4"/>
  <c r="AA171" i="4"/>
  <c r="AA172" i="4"/>
  <c r="AA173" i="4"/>
  <c r="AA174" i="4"/>
  <c r="AA175" i="4"/>
  <c r="AA176" i="4"/>
  <c r="AA53" i="4"/>
  <c r="AA177" i="4"/>
  <c r="AA294" i="4"/>
  <c r="AA295" i="4"/>
  <c r="AA296" i="4"/>
  <c r="AA54" i="4"/>
  <c r="AA55" i="4"/>
  <c r="AA56" i="4"/>
  <c r="AA57" i="4"/>
  <c r="AA58" i="4"/>
  <c r="AA59" i="4"/>
  <c r="AA297" i="4"/>
  <c r="AA60" i="4"/>
  <c r="AA61" i="4"/>
  <c r="AA261" i="4"/>
  <c r="AA178" i="4"/>
  <c r="AA289" i="4"/>
  <c r="AA286" i="4"/>
  <c r="AA290" i="4"/>
  <c r="AA179" i="4"/>
  <c r="AA180" i="4"/>
  <c r="AA62" i="4"/>
  <c r="AA181" i="4"/>
  <c r="AA182" i="4"/>
  <c r="AA3" i="4"/>
  <c r="AA9" i="4"/>
  <c r="AA183" i="4"/>
  <c r="AA10" i="4"/>
  <c r="AA11" i="4"/>
  <c r="AA291" i="4"/>
  <c r="AA184" i="4"/>
  <c r="AA185" i="4"/>
  <c r="AA186" i="4"/>
  <c r="AA187" i="4"/>
  <c r="AA188" i="4"/>
  <c r="AA189" i="4"/>
  <c r="AA190" i="4"/>
  <c r="AA191" i="4"/>
  <c r="AA262" i="4"/>
  <c r="AA263" i="4"/>
  <c r="AA63" i="4"/>
  <c r="AA64" i="4"/>
  <c r="AA192" i="4"/>
  <c r="AA193" i="4"/>
  <c r="AA194" i="4"/>
  <c r="AA195" i="4"/>
  <c r="AA196" i="4"/>
  <c r="AA197" i="4"/>
  <c r="AA198" i="4"/>
  <c r="AA199" i="4"/>
  <c r="AA270" i="4"/>
  <c r="AA271" i="4"/>
  <c r="AA272" i="4"/>
  <c r="AA201" i="4"/>
  <c r="AA202" i="4"/>
  <c r="AA203" i="4"/>
  <c r="AA204" i="4"/>
  <c r="AA65" i="4"/>
  <c r="AA66" i="4"/>
  <c r="AA67" i="4"/>
  <c r="AA68" i="4"/>
  <c r="AA69" i="4"/>
  <c r="AA70" i="4"/>
  <c r="AA205" i="4"/>
  <c r="AA206" i="4"/>
  <c r="AA207" i="4"/>
  <c r="AA264" i="4"/>
  <c r="AA208" i="4"/>
  <c r="AA209" i="4"/>
  <c r="AA212" i="4"/>
  <c r="AA213" i="4"/>
  <c r="AA214" i="4"/>
  <c r="AA215" i="4"/>
  <c r="AA216" i="4"/>
  <c r="AA217" i="4"/>
  <c r="AA218" i="4"/>
  <c r="AA219" i="4"/>
  <c r="AA220" i="4"/>
  <c r="AA221" i="4"/>
  <c r="AA225" i="4"/>
  <c r="AA226" i="4"/>
  <c r="AA227" i="4"/>
  <c r="AA228" i="4"/>
  <c r="AA229" i="4"/>
  <c r="AA292" i="4"/>
  <c r="AA230" i="4"/>
  <c r="AA72" i="4"/>
  <c r="AA280" i="4"/>
  <c r="AA71" i="4"/>
  <c r="AA281" i="4"/>
  <c r="AA231" i="4"/>
  <c r="AA282" i="4"/>
  <c r="AA287" i="4"/>
  <c r="AA273" i="4"/>
  <c r="AA274" i="4"/>
  <c r="AA265" i="4"/>
  <c r="AA298" i="4"/>
  <c r="AA233" i="4"/>
  <c r="AA234" i="4"/>
  <c r="AA235" i="4"/>
  <c r="AA236" i="4"/>
  <c r="AA222" i="4"/>
  <c r="AA299" i="4"/>
  <c r="AA75" i="4"/>
  <c r="AA76" i="4"/>
  <c r="AA77" i="4"/>
  <c r="AA78" i="4"/>
  <c r="AA79" i="4"/>
  <c r="AA80" i="4"/>
  <c r="AA81" i="4"/>
  <c r="AA82" i="4"/>
  <c r="AA83" i="4"/>
  <c r="AA223" i="4"/>
  <c r="AA224" i="4"/>
  <c r="AA84" i="4"/>
  <c r="AA85" i="4"/>
  <c r="AA283" i="4"/>
  <c r="AA237" i="4"/>
  <c r="AA232" i="4"/>
  <c r="AA238" i="4"/>
  <c r="AA239" i="4"/>
  <c r="AA240" i="4"/>
  <c r="AA241" i="4"/>
  <c r="AA242" i="4"/>
  <c r="AA243" i="4"/>
  <c r="AA244" i="4"/>
  <c r="AA300" i="4"/>
  <c r="AA87" i="4"/>
  <c r="AA39" i="4"/>
  <c r="AA245" i="4"/>
  <c r="AA246" i="4"/>
  <c r="AA247" i="4"/>
  <c r="AA40" i="4"/>
  <c r="AA306" i="4"/>
  <c r="AA307" i="4"/>
  <c r="AA305" i="4"/>
  <c r="AA304" i="4"/>
  <c r="AA308" i="4"/>
  <c r="AA313" i="4"/>
  <c r="AA315" i="4"/>
  <c r="AA316" i="4"/>
  <c r="AA317" i="4"/>
  <c r="AA309" i="4"/>
  <c r="AA319" i="4"/>
  <c r="AA318" i="4"/>
  <c r="AA310" i="4"/>
  <c r="AA311" i="4"/>
  <c r="AA312" i="4"/>
  <c r="AA336" i="4"/>
  <c r="AA337" i="4"/>
  <c r="AA338" i="4"/>
  <c r="AA320" i="4"/>
  <c r="AA321" i="4"/>
  <c r="AA322" i="4"/>
  <c r="AA323" i="4"/>
  <c r="AA324" i="4"/>
  <c r="AA325" i="4"/>
  <c r="AA326" i="4"/>
  <c r="AA327" i="4"/>
  <c r="AA348" i="4"/>
  <c r="AA349" i="4"/>
  <c r="AA347" i="4"/>
  <c r="AA350" i="4"/>
  <c r="AA351" i="4"/>
  <c r="AA339" i="4"/>
  <c r="AA340" i="4"/>
  <c r="AA341" i="4"/>
  <c r="AA342" i="4"/>
  <c r="AA346" i="4"/>
  <c r="AA352" i="4"/>
  <c r="AA328" i="4"/>
  <c r="AA329" i="4"/>
  <c r="AA330" i="4"/>
  <c r="AA331" i="4"/>
  <c r="AA332" i="4"/>
  <c r="AA344" i="4"/>
  <c r="AA333" i="4"/>
  <c r="AA334" i="4"/>
  <c r="AA335" i="4"/>
  <c r="AA343" i="4"/>
  <c r="AA345" i="4"/>
  <c r="AA353" i="4"/>
  <c r="AA373" i="4"/>
  <c r="AA368" i="4"/>
  <c r="AA374" i="4"/>
  <c r="AA372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9" i="4"/>
  <c r="AA370" i="4"/>
  <c r="AA367" i="4"/>
  <c r="AA371" i="4"/>
  <c r="AA378" i="4"/>
  <c r="AA376" i="4"/>
  <c r="AA379" i="4"/>
  <c r="AA385" i="4"/>
  <c r="AA380" i="4"/>
  <c r="AA375" i="4"/>
  <c r="AA386" i="4"/>
  <c r="AA381" i="4"/>
  <c r="AA387" i="4"/>
  <c r="AA377" i="4"/>
  <c r="AA383" i="4"/>
  <c r="AA392" i="4"/>
  <c r="AA391" i="4"/>
  <c r="AA390" i="4"/>
  <c r="AA389" i="4"/>
  <c r="AA388" i="4"/>
  <c r="AA405" i="4"/>
  <c r="AA406" i="4"/>
  <c r="AA407" i="4"/>
  <c r="AA393" i="4"/>
  <c r="AA396" i="4"/>
  <c r="AA397" i="4"/>
  <c r="AA398" i="4"/>
  <c r="AA399" i="4"/>
  <c r="AA417" i="4"/>
  <c r="AA408" i="4"/>
  <c r="AA409" i="4"/>
  <c r="AA410" i="4"/>
  <c r="AA411" i="4"/>
  <c r="AA400" i="4"/>
  <c r="AA401" i="4"/>
  <c r="AA402" i="4"/>
  <c r="AA403" i="4"/>
  <c r="AA412" i="4"/>
  <c r="AA394" i="4"/>
  <c r="AA413" i="4"/>
  <c r="AA404" i="4"/>
  <c r="AA395" i="4"/>
  <c r="AA414" i="4"/>
  <c r="AA415" i="4"/>
  <c r="AA416" i="4"/>
  <c r="AA88" i="4"/>
  <c r="AM119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5" i="5"/>
  <c r="AM326" i="5"/>
  <c r="AM336" i="5"/>
  <c r="AM338" i="5"/>
  <c r="AM340" i="5"/>
  <c r="AM346" i="5"/>
  <c r="AM79" i="5"/>
  <c r="AM349" i="5"/>
  <c r="AM350" i="5"/>
  <c r="AM351" i="5"/>
  <c r="AM88" i="5"/>
  <c r="AM89" i="5"/>
  <c r="AM10" i="5"/>
  <c r="AM11" i="5"/>
  <c r="AM96" i="5"/>
  <c r="AM97" i="5"/>
  <c r="AM99" i="5"/>
  <c r="AM104" i="5"/>
  <c r="AM110" i="5"/>
  <c r="AM379" i="5"/>
  <c r="AM388" i="5"/>
  <c r="AM113" i="5"/>
  <c r="AM2" i="5"/>
  <c r="AM389" i="5"/>
  <c r="AM12" i="5"/>
  <c r="AM118" i="5"/>
  <c r="AM13" i="5"/>
  <c r="AM271" i="5"/>
  <c r="AM14" i="5"/>
  <c r="AM356" i="5"/>
  <c r="AM357" i="5"/>
  <c r="AM274" i="5"/>
  <c r="AM15" i="5"/>
  <c r="AM276" i="5"/>
  <c r="AM359" i="5"/>
  <c r="AM128" i="5"/>
  <c r="AM130" i="5"/>
  <c r="AM131" i="5"/>
  <c r="AM133" i="5"/>
  <c r="AM134" i="5"/>
  <c r="AM4" i="5"/>
  <c r="AM137" i="5"/>
  <c r="AM256" i="5"/>
  <c r="AM138" i="5"/>
  <c r="AM140" i="5"/>
  <c r="AM141" i="5"/>
  <c r="AM277" i="5"/>
  <c r="AM150" i="5"/>
  <c r="AM151" i="5"/>
  <c r="AM278" i="5"/>
  <c r="AM279" i="5"/>
  <c r="AM280" i="5"/>
  <c r="AM152" i="5"/>
  <c r="AM154" i="5"/>
  <c r="AM159" i="5"/>
  <c r="AM165" i="5"/>
  <c r="AM166" i="5"/>
  <c r="AM167" i="5"/>
  <c r="AM171" i="5"/>
  <c r="AM174" i="5"/>
  <c r="AM175" i="5"/>
  <c r="AM181" i="5"/>
  <c r="AM182" i="5"/>
  <c r="AM183" i="5"/>
  <c r="AM184" i="5"/>
  <c r="AM185" i="5"/>
  <c r="AM186" i="5"/>
  <c r="AM187" i="5"/>
  <c r="AM188" i="5"/>
  <c r="AM195" i="5"/>
  <c r="AM196" i="5"/>
  <c r="AM197" i="5"/>
  <c r="AM199" i="5"/>
  <c r="AM295" i="5"/>
  <c r="AM27" i="5"/>
  <c r="AM224" i="5"/>
  <c r="AM228" i="5"/>
  <c r="AM229" i="5"/>
  <c r="AM395" i="5"/>
  <c r="AM396" i="5"/>
  <c r="AM397" i="5"/>
  <c r="AM398" i="5"/>
  <c r="AM399" i="5"/>
  <c r="AM400" i="5"/>
  <c r="AM401" i="5"/>
  <c r="AM403" i="5"/>
  <c r="AM404" i="5"/>
  <c r="AM405" i="5"/>
  <c r="AM406" i="5"/>
  <c r="AM407" i="5"/>
  <c r="AM408" i="5"/>
  <c r="AM409" i="5"/>
  <c r="AM410" i="5"/>
  <c r="AM242" i="5"/>
  <c r="AM412" i="5"/>
  <c r="AM413" i="5"/>
  <c r="AM415" i="5"/>
  <c r="AM416" i="5"/>
  <c r="AM417" i="5"/>
  <c r="AM251" i="5"/>
  <c r="AM36" i="5"/>
  <c r="AM37" i="5"/>
  <c r="AM252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6" i="5"/>
  <c r="AM267" i="5"/>
  <c r="AM55" i="5"/>
  <c r="AM56" i="5"/>
  <c r="AM57" i="5"/>
  <c r="AM59" i="5"/>
  <c r="AM60" i="5"/>
  <c r="AM62" i="5"/>
  <c r="AM63" i="5"/>
  <c r="AM64" i="5"/>
  <c r="AM68" i="5"/>
  <c r="AM70" i="5"/>
  <c r="AM71" i="5"/>
  <c r="AM320" i="5"/>
  <c r="AM321" i="5"/>
  <c r="AM322" i="5"/>
  <c r="AM323" i="5"/>
  <c r="AM324" i="5"/>
  <c r="AM327" i="5"/>
  <c r="AM328" i="5"/>
  <c r="AM329" i="5"/>
  <c r="AM330" i="5"/>
  <c r="AM331" i="5"/>
  <c r="AM332" i="5"/>
  <c r="AM333" i="5"/>
  <c r="AM334" i="5"/>
  <c r="AM335" i="5"/>
  <c r="AM337" i="5"/>
  <c r="AM339" i="5"/>
  <c r="AM342" i="5"/>
  <c r="AM343" i="5"/>
  <c r="AM344" i="5"/>
  <c r="AM345" i="5"/>
  <c r="AM72" i="5"/>
  <c r="AM9" i="5"/>
  <c r="AM73" i="5"/>
  <c r="AM347" i="5"/>
  <c r="AM74" i="5"/>
  <c r="AM75" i="5"/>
  <c r="AM76" i="5"/>
  <c r="AM77" i="5"/>
  <c r="AM78" i="5"/>
  <c r="AM304" i="5"/>
  <c r="AM305" i="5"/>
  <c r="AM353" i="5"/>
  <c r="AM80" i="5"/>
  <c r="AM81" i="5"/>
  <c r="AM268" i="5"/>
  <c r="AM82" i="5"/>
  <c r="AM83" i="5"/>
  <c r="AM84" i="5"/>
  <c r="AM85" i="5"/>
  <c r="AM260" i="5"/>
  <c r="AM261" i="5"/>
  <c r="AM86" i="5"/>
  <c r="AM262" i="5"/>
  <c r="AM254" i="5"/>
  <c r="AM348" i="5"/>
  <c r="AM87" i="5"/>
  <c r="AM90" i="5"/>
  <c r="AM91" i="5"/>
  <c r="AM306" i="5"/>
  <c r="AM307" i="5"/>
  <c r="AM92" i="5"/>
  <c r="AM93" i="5"/>
  <c r="AM94" i="5"/>
  <c r="AM95" i="5"/>
  <c r="AM263" i="5"/>
  <c r="AM255" i="5"/>
  <c r="AM264" i="5"/>
  <c r="AM100" i="5"/>
  <c r="AM101" i="5"/>
  <c r="AM102" i="5"/>
  <c r="AM103" i="5"/>
  <c r="AM105" i="5"/>
  <c r="AM106" i="5"/>
  <c r="AM107" i="5"/>
  <c r="AM108" i="5"/>
  <c r="AM109" i="5"/>
  <c r="AM375" i="5"/>
  <c r="AM376" i="5"/>
  <c r="AM377" i="5"/>
  <c r="AM378" i="5"/>
  <c r="AM380" i="5"/>
  <c r="AM381" i="5"/>
  <c r="AM382" i="5"/>
  <c r="AM383" i="5"/>
  <c r="AM384" i="5"/>
  <c r="AM354" i="5"/>
  <c r="AM355" i="5"/>
  <c r="AM111" i="5"/>
  <c r="AM112" i="5"/>
  <c r="AM114" i="5"/>
  <c r="AM309" i="5"/>
  <c r="AM115" i="5"/>
  <c r="AM310" i="5"/>
  <c r="AM311" i="5"/>
  <c r="AM312" i="5"/>
  <c r="AM313" i="5"/>
  <c r="AM116" i="5"/>
  <c r="AM117" i="5"/>
  <c r="AM341" i="5"/>
  <c r="AM269" i="5"/>
  <c r="AM270" i="5"/>
  <c r="AM390" i="5"/>
  <c r="AM272" i="5"/>
  <c r="AM273" i="5"/>
  <c r="AM120" i="5"/>
  <c r="AM121" i="5"/>
  <c r="AM391" i="5"/>
  <c r="AM122" i="5"/>
  <c r="AM123" i="5"/>
  <c r="AM124" i="5"/>
  <c r="AM125" i="5"/>
  <c r="AM275" i="5"/>
  <c r="AM358" i="5"/>
  <c r="AM126" i="5"/>
  <c r="AM127" i="5"/>
  <c r="AM360" i="5"/>
  <c r="AM361" i="5"/>
  <c r="AM362" i="5"/>
  <c r="AM129" i="5"/>
  <c r="AM132" i="5"/>
  <c r="AM3" i="5"/>
  <c r="AM135" i="5"/>
  <c r="AM136" i="5"/>
  <c r="AM139" i="5"/>
  <c r="AM142" i="5"/>
  <c r="AM143" i="5"/>
  <c r="AM144" i="5"/>
  <c r="AM145" i="5"/>
  <c r="AM146" i="5"/>
  <c r="AM147" i="5"/>
  <c r="AM148" i="5"/>
  <c r="AM149" i="5"/>
  <c r="AM153" i="5"/>
  <c r="AM281" i="5"/>
  <c r="AM155" i="5"/>
  <c r="AM156" i="5"/>
  <c r="AM157" i="5"/>
  <c r="AM352" i="5"/>
  <c r="AM363" i="5"/>
  <c r="AM364" i="5"/>
  <c r="AM365" i="5"/>
  <c r="AM366" i="5"/>
  <c r="AM367" i="5"/>
  <c r="AM368" i="5"/>
  <c r="AM369" i="5"/>
  <c r="AM370" i="5"/>
  <c r="AM158" i="5"/>
  <c r="AM160" i="5"/>
  <c r="AM161" i="5"/>
  <c r="AM162" i="5"/>
  <c r="AM163" i="5"/>
  <c r="AM257" i="5"/>
  <c r="AM258" i="5"/>
  <c r="AM164" i="5"/>
  <c r="AM16" i="5"/>
  <c r="AM17" i="5"/>
  <c r="AM18" i="5"/>
  <c r="AM168" i="5"/>
  <c r="AM169" i="5"/>
  <c r="AM170" i="5"/>
  <c r="AM172" i="5"/>
  <c r="AM173" i="5"/>
  <c r="AM176" i="5"/>
  <c r="AM177" i="5"/>
  <c r="AM178" i="5"/>
  <c r="AM179" i="5"/>
  <c r="AM180" i="5"/>
  <c r="AM189" i="5"/>
  <c r="AM190" i="5"/>
  <c r="AM191" i="5"/>
  <c r="AM192" i="5"/>
  <c r="AM193" i="5"/>
  <c r="AM282" i="5"/>
  <c r="AM283" i="5"/>
  <c r="AM284" i="5"/>
  <c r="AM194" i="5"/>
  <c r="AM285" i="5"/>
  <c r="AM286" i="5"/>
  <c r="AM287" i="5"/>
  <c r="AM288" i="5"/>
  <c r="AM5" i="5"/>
  <c r="AM289" i="5"/>
  <c r="AM290" i="5"/>
  <c r="AM291" i="5"/>
  <c r="AM292" i="5"/>
  <c r="AM200" i="5"/>
  <c r="AM294" i="5"/>
  <c r="AM201" i="5"/>
  <c r="AM21" i="5"/>
  <c r="AM202" i="5"/>
  <c r="AM204" i="5"/>
  <c r="AM205" i="5"/>
  <c r="AM207" i="5"/>
  <c r="AM22" i="5"/>
  <c r="AM24" i="5"/>
  <c r="AM25" i="5"/>
  <c r="AM26" i="5"/>
  <c r="AM6" i="5"/>
  <c r="AM7" i="5"/>
  <c r="AM209" i="5"/>
  <c r="AM210" i="5"/>
  <c r="AM211" i="5"/>
  <c r="AM212" i="5"/>
  <c r="AM213" i="5"/>
  <c r="AM259" i="5"/>
  <c r="AM214" i="5"/>
  <c r="AM215" i="5"/>
  <c r="AM216" i="5"/>
  <c r="AM217" i="5"/>
  <c r="AM218" i="5"/>
  <c r="AM314" i="5"/>
  <c r="AM219" i="5"/>
  <c r="AM28" i="5"/>
  <c r="AM220" i="5"/>
  <c r="AM221" i="5"/>
  <c r="AM222" i="5"/>
  <c r="AM223" i="5"/>
  <c r="AM225" i="5"/>
  <c r="AM226" i="5"/>
  <c r="AM227" i="5"/>
  <c r="AM296" i="5"/>
  <c r="AM297" i="5"/>
  <c r="AM8" i="5"/>
  <c r="AM230" i="5"/>
  <c r="AM231" i="5"/>
  <c r="AM315" i="5"/>
  <c r="AM316" i="5"/>
  <c r="AM232" i="5"/>
  <c r="AM371" i="5"/>
  <c r="AM298" i="5"/>
  <c r="AM233" i="5"/>
  <c r="AM29" i="5"/>
  <c r="AM30" i="5"/>
  <c r="AM31" i="5"/>
  <c r="AM32" i="5"/>
  <c r="AM33" i="5"/>
  <c r="AM234" i="5"/>
  <c r="AM34" i="5"/>
  <c r="AM317" i="5"/>
  <c r="AM385" i="5"/>
  <c r="AM235" i="5"/>
  <c r="AM236" i="5"/>
  <c r="AM237" i="5"/>
  <c r="AM238" i="5"/>
  <c r="AM239" i="5"/>
  <c r="AM240" i="5"/>
  <c r="AM393" i="5"/>
  <c r="AM394" i="5"/>
  <c r="AM402" i="5"/>
  <c r="AM411" i="5"/>
  <c r="AM414" i="5"/>
  <c r="AM243" i="5"/>
  <c r="AM244" i="5"/>
  <c r="AM245" i="5"/>
  <c r="AM246" i="5"/>
  <c r="AM247" i="5"/>
  <c r="AM248" i="5"/>
  <c r="AM249" i="5"/>
  <c r="AM392" i="5"/>
  <c r="AM250" i="5"/>
  <c r="AM372" i="5"/>
  <c r="AM373" i="5"/>
  <c r="AM374" i="5"/>
  <c r="AM35" i="5"/>
  <c r="AM318" i="5"/>
  <c r="AM319" i="5"/>
  <c r="AM253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9" i="5"/>
  <c r="AP409" i="5"/>
  <c r="AQ408" i="5"/>
  <c r="AP408" i="5"/>
  <c r="AQ393" i="5"/>
  <c r="AP393" i="5"/>
  <c r="AQ394" i="5"/>
  <c r="AP394" i="5"/>
  <c r="AQ385" i="5"/>
  <c r="AQ384" i="5"/>
  <c r="AQ383" i="5"/>
  <c r="AQ382" i="5"/>
  <c r="AQ381" i="5"/>
  <c r="AQ380" i="5"/>
  <c r="AQ378" i="5"/>
  <c r="AQ377" i="5"/>
  <c r="AQ376" i="5"/>
  <c r="AQ375" i="5"/>
  <c r="AQ370" i="5"/>
  <c r="AQ369" i="5"/>
  <c r="AQ368" i="5"/>
  <c r="AQ367" i="5"/>
  <c r="AQ366" i="5"/>
  <c r="AQ365" i="5"/>
  <c r="AQ364" i="5"/>
  <c r="AQ355" i="5"/>
  <c r="AQ353" i="5"/>
  <c r="AQ374" i="5"/>
  <c r="AQ373" i="5"/>
  <c r="AQ372" i="5"/>
  <c r="AQ371" i="5"/>
  <c r="AQ363" i="5"/>
  <c r="AQ362" i="5"/>
  <c r="AQ361" i="5"/>
  <c r="AQ360" i="5"/>
  <c r="AQ359" i="5"/>
  <c r="AQ358" i="5"/>
  <c r="AQ357" i="5"/>
  <c r="AQ356" i="5"/>
  <c r="AQ354" i="5"/>
  <c r="AQ352" i="5"/>
  <c r="AQ341" i="5"/>
  <c r="AQ351" i="5"/>
  <c r="AQ350" i="5"/>
  <c r="AQ349" i="5"/>
  <c r="AQ348" i="5"/>
  <c r="AQ347" i="5"/>
  <c r="AQ346" i="5"/>
  <c r="AQ345" i="5"/>
  <c r="AQ344" i="5"/>
  <c r="AQ343" i="5"/>
  <c r="AQ342" i="5"/>
  <c r="AQ340" i="5"/>
  <c r="AQ339" i="5"/>
  <c r="AQ338" i="5"/>
  <c r="AQ337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7" i="5"/>
  <c r="AQ306" i="5"/>
  <c r="AQ305" i="5"/>
  <c r="AQ304" i="5"/>
  <c r="AS34" i="5"/>
  <c r="AQ34" i="5"/>
  <c r="AS234" i="5"/>
  <c r="AQ234" i="5"/>
  <c r="AS33" i="5"/>
  <c r="AQ33" i="5"/>
  <c r="AS32" i="5"/>
  <c r="AQ32" i="5"/>
  <c r="AS31" i="5"/>
  <c r="AQ31" i="5"/>
  <c r="AQ176" i="5"/>
  <c r="AQ90" i="5"/>
  <c r="AS221" i="5"/>
  <c r="AS220" i="5"/>
  <c r="AS28" i="5"/>
  <c r="AQ28" i="5"/>
  <c r="AS219" i="5"/>
  <c r="AQ219" i="5"/>
  <c r="AS214" i="5"/>
  <c r="AS170" i="5"/>
  <c r="AQ170" i="5"/>
  <c r="AS169" i="5"/>
  <c r="AQ169" i="5"/>
  <c r="AQ134" i="5"/>
  <c r="AS127" i="5"/>
  <c r="AQ127" i="5"/>
  <c r="AS105" i="5"/>
  <c r="AS104" i="5"/>
  <c r="AS156" i="5"/>
  <c r="AS142" i="5"/>
  <c r="AS240" i="5"/>
  <c r="AS231" i="5"/>
  <c r="AS230" i="5"/>
  <c r="AS215" i="5"/>
  <c r="AS259" i="5"/>
  <c r="AQ259" i="5"/>
  <c r="AS213" i="5"/>
  <c r="AS212" i="5"/>
  <c r="AS211" i="5"/>
  <c r="AS210" i="5"/>
  <c r="AS209" i="5"/>
  <c r="AQ209" i="5"/>
  <c r="AS161" i="5"/>
  <c r="AS160" i="5"/>
  <c r="AS146" i="5"/>
  <c r="AQ143" i="5"/>
  <c r="AS139" i="5"/>
  <c r="AQ139" i="5"/>
  <c r="AS132" i="5"/>
  <c r="AS269" i="5"/>
  <c r="AS87" i="5"/>
  <c r="AS250" i="5"/>
  <c r="AQ250" i="5"/>
  <c r="AS232" i="5"/>
  <c r="AQ232" i="5"/>
  <c r="AS8" i="5"/>
  <c r="AQ8" i="5"/>
  <c r="AS297" i="5"/>
  <c r="AQ297" i="5"/>
  <c r="AS296" i="5"/>
  <c r="AQ296" i="5"/>
  <c r="AS7" i="5"/>
  <c r="AQ7" i="5"/>
  <c r="AS292" i="5"/>
  <c r="AQ292" i="5"/>
  <c r="AS291" i="5"/>
  <c r="AQ291" i="5"/>
  <c r="AS290" i="5"/>
  <c r="AQ290" i="5"/>
  <c r="AS289" i="5"/>
  <c r="AQ289" i="5"/>
  <c r="AS5" i="5"/>
  <c r="AS288" i="5"/>
  <c r="AQ288" i="5"/>
  <c r="AS287" i="5"/>
  <c r="AQ287" i="5"/>
  <c r="AS194" i="5"/>
  <c r="AQ194" i="5"/>
  <c r="AS284" i="5"/>
  <c r="AQ284" i="5"/>
  <c r="AS283" i="5"/>
  <c r="AQ283" i="5"/>
  <c r="AS282" i="5"/>
  <c r="AQ282" i="5"/>
  <c r="AS193" i="5"/>
  <c r="AQ193" i="5"/>
  <c r="AS158" i="5"/>
  <c r="AQ158" i="5"/>
  <c r="AS281" i="5"/>
  <c r="AQ281" i="5"/>
  <c r="AQ148" i="5"/>
  <c r="AS144" i="5"/>
  <c r="AQ144" i="5"/>
  <c r="AQ135" i="5"/>
  <c r="AS3" i="5"/>
  <c r="AQ3" i="5"/>
  <c r="AS275" i="5"/>
  <c r="AQ275" i="5"/>
  <c r="AQ270" i="5"/>
  <c r="AS2" i="5"/>
  <c r="AQ2" i="5"/>
  <c r="AS114" i="5"/>
  <c r="AQ114" i="5"/>
  <c r="AS112" i="5"/>
  <c r="AQ112" i="5"/>
  <c r="AS111" i="5"/>
  <c r="AS106" i="5"/>
  <c r="AQ102" i="5"/>
  <c r="AS101" i="5"/>
  <c r="AQ101" i="5"/>
  <c r="AS100" i="5"/>
  <c r="AQ100" i="5"/>
  <c r="AS80" i="5"/>
  <c r="AQ80" i="5"/>
  <c r="AS76" i="5"/>
  <c r="AQ76" i="5"/>
  <c r="AS6" i="5"/>
  <c r="AQ6" i="5"/>
  <c r="AS201" i="5"/>
  <c r="AQ201" i="5"/>
  <c r="AS24" i="5"/>
  <c r="AQ24" i="5"/>
  <c r="AS26" i="5"/>
  <c r="AQ26" i="5"/>
  <c r="AS25" i="5"/>
  <c r="AQ25" i="5"/>
  <c r="AS22" i="5"/>
  <c r="AQ22" i="5"/>
  <c r="AS294" i="5"/>
  <c r="AQ294" i="5"/>
  <c r="AS37" i="5"/>
  <c r="AQ37" i="5"/>
  <c r="AS35" i="5"/>
  <c r="AQ35" i="5"/>
  <c r="AS238" i="5"/>
  <c r="AQ238" i="5"/>
  <c r="AS207" i="5"/>
  <c r="AQ207" i="5"/>
  <c r="AS179" i="5"/>
  <c r="AQ179" i="5"/>
  <c r="AS164" i="5"/>
  <c r="AQ164" i="5"/>
  <c r="AS36" i="5"/>
  <c r="AQ36" i="5"/>
  <c r="AS239" i="5"/>
  <c r="AQ239" i="5"/>
  <c r="AS237" i="5"/>
  <c r="AQ237" i="5"/>
  <c r="AS236" i="5"/>
  <c r="AQ236" i="5"/>
  <c r="AS235" i="5"/>
  <c r="AQ235" i="5"/>
  <c r="AS205" i="5"/>
  <c r="AQ205" i="5"/>
  <c r="AS286" i="5"/>
  <c r="AQ286" i="5"/>
  <c r="AS285" i="5"/>
  <c r="AQ285" i="5"/>
  <c r="AS204" i="5"/>
  <c r="AQ204" i="5"/>
  <c r="AS180" i="5"/>
  <c r="AS202" i="5"/>
  <c r="AQ202" i="5"/>
  <c r="AS199" i="5"/>
  <c r="AS197" i="5"/>
  <c r="AQ197" i="5"/>
  <c r="AS18" i="5"/>
  <c r="AQ18" i="5"/>
  <c r="AS17" i="5"/>
  <c r="AQ17" i="5"/>
  <c r="AS16" i="5"/>
  <c r="AQ16" i="5"/>
  <c r="AS258" i="5"/>
  <c r="AQ258" i="5"/>
  <c r="AS162" i="5"/>
  <c r="AQ162" i="5"/>
  <c r="AS147" i="5"/>
  <c r="AS103" i="5"/>
  <c r="AS264" i="5"/>
  <c r="AQ264" i="5"/>
  <c r="AS255" i="5"/>
  <c r="AQ255" i="5"/>
  <c r="AS173" i="5"/>
  <c r="AQ173" i="5"/>
  <c r="AS120" i="5"/>
  <c r="AS109" i="5"/>
  <c r="AS108" i="5"/>
  <c r="AS107" i="5"/>
  <c r="AS95" i="5"/>
  <c r="AQ95" i="5"/>
  <c r="AS94" i="5"/>
  <c r="AQ94" i="5"/>
  <c r="AS93" i="5"/>
  <c r="AQ93" i="5"/>
  <c r="AS262" i="5"/>
  <c r="AQ262" i="5"/>
  <c r="AS261" i="5"/>
  <c r="AQ261" i="5"/>
  <c r="AS268" i="5"/>
  <c r="AQ268" i="5"/>
  <c r="AQ267" i="5"/>
  <c r="AS253" i="5"/>
  <c r="AQ253" i="5"/>
  <c r="AS263" i="5"/>
  <c r="AQ263" i="5"/>
  <c r="AQ92" i="5"/>
  <c r="AQ254" i="5"/>
  <c r="AS86" i="5"/>
  <c r="AQ86" i="5"/>
  <c r="AS260" i="5"/>
  <c r="AQ260" i="5"/>
  <c r="AS85" i="5"/>
  <c r="AQ85" i="5"/>
  <c r="AS84" i="5"/>
  <c r="AQ84" i="5"/>
  <c r="AS83" i="5"/>
  <c r="AQ83" i="5"/>
  <c r="AS82" i="5"/>
  <c r="AQ82" i="5"/>
  <c r="AS81" i="5"/>
  <c r="AQ81" i="5"/>
  <c r="AS233" i="5"/>
  <c r="AQ233" i="5"/>
  <c r="AS298" i="5"/>
  <c r="AQ298" i="5"/>
  <c r="AS223" i="5"/>
  <c r="AS200" i="5"/>
  <c r="AS172" i="5"/>
  <c r="AQ172" i="5"/>
  <c r="AS168" i="5"/>
  <c r="AQ168" i="5"/>
  <c r="AS153" i="5"/>
  <c r="AS136" i="5"/>
  <c r="AQ136" i="5"/>
  <c r="AS129" i="5"/>
  <c r="AS126" i="5"/>
  <c r="AQ126" i="5"/>
  <c r="AS78" i="5"/>
  <c r="AS75" i="5"/>
  <c r="AQ75" i="5"/>
  <c r="AS74" i="5"/>
  <c r="AQ74" i="5"/>
  <c r="AS73" i="5"/>
  <c r="AS9" i="5"/>
  <c r="AS72" i="5"/>
  <c r="AQ72" i="5"/>
  <c r="AQ266" i="5"/>
  <c r="AS245" i="5"/>
  <c r="AQ245" i="5"/>
  <c r="AQ29" i="5"/>
  <c r="AS116" i="5"/>
  <c r="AQ116" i="5"/>
  <c r="AS70" i="5"/>
  <c r="AQ70" i="5"/>
  <c r="AS243" i="5"/>
  <c r="AQ243" i="5"/>
  <c r="AQ225" i="5"/>
  <c r="AS272" i="5"/>
  <c r="AQ91" i="5"/>
  <c r="AS71" i="5"/>
  <c r="AQ71" i="5"/>
  <c r="AS68" i="5"/>
  <c r="AQ68" i="5"/>
  <c r="AS64" i="5"/>
  <c r="AQ64" i="5"/>
  <c r="AS48" i="5"/>
  <c r="AQ48" i="5"/>
  <c r="AS46" i="5"/>
  <c r="AQ46" i="5"/>
  <c r="AS123" i="5"/>
  <c r="AQ123" i="5"/>
  <c r="AS59" i="5"/>
  <c r="AQ59" i="5"/>
  <c r="AS57" i="5"/>
  <c r="AQ57" i="5"/>
  <c r="AS56" i="5"/>
  <c r="AQ56" i="5"/>
  <c r="AS257" i="5"/>
  <c r="AQ257" i="5"/>
  <c r="AS60" i="5"/>
  <c r="AQ60" i="5"/>
  <c r="AS55" i="5"/>
  <c r="AQ55" i="5"/>
  <c r="AS226" i="5"/>
  <c r="AQ178" i="5"/>
  <c r="AQ177" i="5"/>
  <c r="AS53" i="5"/>
  <c r="AQ53" i="5"/>
  <c r="AS52" i="5"/>
  <c r="AQ52" i="5"/>
  <c r="AS51" i="5"/>
  <c r="AQ51" i="5"/>
  <c r="AS50" i="5"/>
  <c r="AQ50" i="5"/>
  <c r="AS155" i="5"/>
  <c r="AQ155" i="5"/>
  <c r="AS45" i="5"/>
  <c r="AQ45" i="5"/>
  <c r="AS44" i="5"/>
  <c r="AQ44" i="5"/>
  <c r="AS43" i="5"/>
  <c r="AQ43" i="5"/>
  <c r="AS249" i="5"/>
  <c r="AQ249" i="5"/>
  <c r="AS248" i="5"/>
  <c r="AQ248" i="5"/>
  <c r="AS247" i="5"/>
  <c r="AQ247" i="5"/>
  <c r="AS244" i="5"/>
  <c r="AQ244" i="5"/>
  <c r="AS228" i="5"/>
  <c r="AQ228" i="5"/>
  <c r="AQ189" i="5"/>
  <c r="AQ157" i="5"/>
  <c r="AS122" i="5"/>
  <c r="AQ122" i="5"/>
  <c r="AS121" i="5"/>
  <c r="AQ121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7" i="5"/>
  <c r="AP397" i="5"/>
  <c r="AQ417" i="5"/>
  <c r="AP417" i="5"/>
  <c r="AQ412" i="5"/>
  <c r="AP412" i="5"/>
  <c r="AQ411" i="5"/>
  <c r="AP411" i="5"/>
  <c r="AQ410" i="5"/>
  <c r="AP410" i="5"/>
  <c r="AQ407" i="5"/>
  <c r="AP407" i="5"/>
  <c r="AQ406" i="5"/>
  <c r="AP406" i="5"/>
  <c r="AQ404" i="5"/>
  <c r="AP404" i="5"/>
  <c r="AQ403" i="5"/>
  <c r="AP403" i="5"/>
  <c r="AQ402" i="5"/>
  <c r="AP402" i="5"/>
  <c r="AQ400" i="5"/>
  <c r="AP400" i="5"/>
  <c r="AQ399" i="5"/>
  <c r="AP399" i="5"/>
  <c r="AQ396" i="5"/>
  <c r="AP396" i="5"/>
  <c r="AQ401" i="5"/>
  <c r="AP401" i="5"/>
  <c r="AQ395" i="5"/>
  <c r="AP395" i="5"/>
  <c r="AQ416" i="5"/>
  <c r="AP416" i="5"/>
  <c r="AQ415" i="5"/>
  <c r="AP415" i="5"/>
  <c r="AQ414" i="5"/>
  <c r="AP414" i="5"/>
  <c r="AQ413" i="5"/>
  <c r="AP413" i="5"/>
  <c r="AQ405" i="5"/>
  <c r="AP405" i="5"/>
  <c r="AQ398" i="5"/>
  <c r="AP398" i="5"/>
  <c r="AQ379" i="5"/>
  <c r="AQ336" i="5"/>
  <c r="AS150" i="5"/>
  <c r="AQ150" i="5"/>
  <c r="AS130" i="5"/>
  <c r="AS27" i="5"/>
  <c r="AS15" i="5"/>
  <c r="AS252" i="5"/>
  <c r="AQ252" i="5"/>
  <c r="AS293" i="5"/>
  <c r="AQ293" i="5"/>
  <c r="AS295" i="5"/>
  <c r="AQ295" i="5"/>
  <c r="AS21" i="5"/>
  <c r="AQ21" i="5"/>
  <c r="AS14" i="5"/>
  <c r="AS118" i="5"/>
  <c r="AQ118" i="5"/>
  <c r="AS140" i="5"/>
  <c r="AS77" i="5"/>
  <c r="AS196" i="5"/>
  <c r="AQ196" i="5"/>
  <c r="AS195" i="5"/>
  <c r="AQ195" i="5"/>
  <c r="AS190" i="5"/>
  <c r="AQ190" i="5"/>
  <c r="AS115" i="5"/>
  <c r="AQ115" i="5"/>
  <c r="AS138" i="5"/>
  <c r="AQ138" i="5"/>
  <c r="AQ4" i="5"/>
  <c r="AQ154" i="5"/>
  <c r="AQ152" i="5"/>
  <c r="AQ280" i="5"/>
  <c r="AS151" i="5"/>
  <c r="AQ137" i="5"/>
  <c r="AS125" i="5"/>
  <c r="AQ125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1" i="5"/>
  <c r="AS128" i="5"/>
  <c r="AQ128" i="5"/>
  <c r="AS271" i="5"/>
  <c r="AS277" i="5"/>
  <c r="AQ277" i="5"/>
  <c r="AQ276" i="5"/>
  <c r="AS246" i="5"/>
  <c r="AQ246" i="5"/>
  <c r="AS30" i="5"/>
  <c r="AQ30" i="5"/>
  <c r="AS192" i="5"/>
  <c r="AQ192" i="5"/>
  <c r="AS191" i="5"/>
  <c r="AQ191" i="5"/>
  <c r="AS163" i="5"/>
  <c r="AQ163" i="5"/>
  <c r="AS279" i="5"/>
  <c r="AQ279" i="5"/>
  <c r="AS99" i="5"/>
  <c r="AQ99" i="5"/>
  <c r="AS96" i="5"/>
  <c r="AQ96" i="5"/>
  <c r="AS251" i="5"/>
  <c r="AQ251" i="5"/>
  <c r="AS242" i="5"/>
  <c r="AS224" i="5"/>
  <c r="AQ224" i="5"/>
  <c r="AS171" i="5"/>
  <c r="AQ171" i="5"/>
  <c r="AS110" i="5"/>
  <c r="AQ110" i="5"/>
  <c r="AQ61" i="5"/>
  <c r="AQ256" i="5"/>
  <c r="AS119" i="5"/>
  <c r="AQ119" i="5"/>
  <c r="AS159" i="5"/>
  <c r="AS133" i="5"/>
  <c r="AS88" i="5"/>
  <c r="AS141" i="5"/>
  <c r="AS113" i="5"/>
  <c r="AQ113" i="5"/>
  <c r="AT32" i="5"/>
  <c r="AV32" i="5"/>
  <c r="AT61" i="5"/>
  <c r="AV61" i="5"/>
  <c r="AT33" i="5"/>
  <c r="AV33" i="5"/>
  <c r="AT234" i="5"/>
  <c r="AV234" i="5"/>
  <c r="AT177" i="5"/>
  <c r="AV177" i="5"/>
  <c r="AT130" i="5"/>
  <c r="AV130" i="5"/>
  <c r="AT150" i="5"/>
  <c r="AV150" i="5"/>
  <c r="AT189" i="5"/>
  <c r="AV189" i="5"/>
  <c r="AT176" i="5"/>
  <c r="AV176" i="5"/>
  <c r="AT31" i="5"/>
  <c r="AV31" i="5"/>
  <c r="AT34" i="5"/>
  <c r="AV34" i="5"/>
  <c r="AL29" i="2"/>
  <c r="BE90" i="2"/>
  <c r="BE91" i="2"/>
  <c r="BE92" i="2"/>
  <c r="BE102" i="2"/>
  <c r="BF90" i="2"/>
  <c r="BF91" i="2"/>
  <c r="BF92" i="2"/>
  <c r="BF102" i="2"/>
  <c r="AW34" i="5"/>
  <c r="AW31" i="5"/>
  <c r="AW176" i="5"/>
  <c r="AW189" i="5"/>
  <c r="AW150" i="5"/>
  <c r="AW130" i="5"/>
  <c r="AW177" i="5"/>
  <c r="AW234" i="5"/>
  <c r="AW33" i="5"/>
  <c r="AW61" i="5"/>
  <c r="AW32" i="5"/>
  <c r="AX32" i="5"/>
  <c r="AX61" i="5"/>
  <c r="AX33" i="5"/>
  <c r="AX234" i="5"/>
  <c r="AX177" i="5"/>
  <c r="AX130" i="5"/>
  <c r="AX150" i="5"/>
  <c r="AX189" i="5"/>
  <c r="AX176" i="5"/>
  <c r="AX31" i="5"/>
  <c r="AX34" i="5"/>
  <c r="AZ34" i="5"/>
  <c r="AZ31" i="5"/>
  <c r="AZ176" i="5"/>
  <c r="AZ189" i="5"/>
  <c r="AZ150" i="5"/>
  <c r="AZ130" i="5"/>
  <c r="AZ177" i="5"/>
  <c r="AZ234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90" i="2"/>
  <c r="BL91" i="2"/>
  <c r="BL92" i="2"/>
  <c r="BL102" i="2"/>
  <c r="BK90" i="2"/>
  <c r="BK91" i="2"/>
  <c r="BK92" i="2"/>
  <c r="BK102" i="2"/>
  <c r="BJ90" i="2"/>
  <c r="BJ91" i="2"/>
  <c r="BJ92" i="2"/>
  <c r="BJ102" i="2"/>
  <c r="BI90" i="2"/>
  <c r="BI91" i="2"/>
  <c r="BI92" i="2"/>
  <c r="BI102" i="2"/>
  <c r="BH90" i="2"/>
  <c r="BH91" i="2"/>
  <c r="BH92" i="2"/>
  <c r="BH102" i="2"/>
  <c r="BG90" i="2"/>
  <c r="BG91" i="2"/>
  <c r="BG92" i="2"/>
  <c r="BG102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28" i="4"/>
  <c r="AJ85" i="4"/>
  <c r="AJ232" i="4"/>
  <c r="AJ287" i="4"/>
  <c r="AJ222" i="4"/>
  <c r="AJ71" i="4"/>
  <c r="AJ220" i="4"/>
  <c r="AJ219" i="4"/>
  <c r="AJ218" i="4"/>
  <c r="AJ217" i="4"/>
  <c r="AJ215" i="4"/>
  <c r="AJ182" i="4"/>
  <c r="AJ178" i="4"/>
  <c r="AJ173" i="4"/>
  <c r="AJ172" i="4"/>
  <c r="AJ171" i="4"/>
  <c r="AJ161" i="4"/>
  <c r="AJ157" i="4"/>
  <c r="AJ51" i="4"/>
  <c r="AJ151" i="4"/>
  <c r="AJ50" i="4"/>
  <c r="AJ142" i="4"/>
  <c r="AJ123" i="4"/>
  <c r="AJ122" i="4"/>
  <c r="AJ39" i="4"/>
  <c r="AJ259" i="4"/>
  <c r="AJ303" i="4"/>
  <c r="AJ61" i="4"/>
  <c r="AJ133" i="4"/>
  <c r="AJ132" i="4"/>
  <c r="AJ131" i="4"/>
  <c r="AJ34" i="4"/>
  <c r="AJ33" i="4"/>
  <c r="AJ32" i="4"/>
  <c r="AJ120" i="4"/>
  <c r="AJ236" i="4"/>
  <c r="AJ235" i="4"/>
  <c r="AJ201" i="4"/>
  <c r="AJ183" i="4"/>
  <c r="AJ3" i="4"/>
  <c r="AJ62" i="4"/>
  <c r="AJ294" i="4"/>
  <c r="AJ158" i="4"/>
  <c r="AJ155" i="4"/>
  <c r="AJ150" i="4"/>
  <c r="AJ149" i="4"/>
  <c r="AJ147" i="4"/>
  <c r="AJ124" i="4"/>
  <c r="AJ119" i="4"/>
  <c r="AJ116" i="4"/>
  <c r="AJ115" i="4"/>
  <c r="AJ114" i="4"/>
  <c r="AJ113" i="4"/>
  <c r="AJ112" i="4"/>
  <c r="AJ95" i="4"/>
  <c r="AJ40" i="4"/>
  <c r="AJ257" i="4"/>
  <c r="AJ140" i="4"/>
  <c r="AJ35" i="4"/>
  <c r="AJ31" i="4"/>
  <c r="AJ30" i="4"/>
  <c r="AJ29" i="4"/>
  <c r="AJ2" i="4"/>
  <c r="AJ28" i="4"/>
  <c r="AJ27" i="4"/>
  <c r="AJ26" i="4"/>
  <c r="AJ43" i="4"/>
  <c r="AJ25" i="4"/>
  <c r="AJ24" i="4"/>
  <c r="AJ42" i="4"/>
  <c r="AJ23" i="4"/>
  <c r="AJ22" i="4"/>
  <c r="AJ41" i="4"/>
  <c r="AJ21" i="4"/>
  <c r="AJ20" i="4"/>
  <c r="AJ4" i="4"/>
  <c r="AJ283" i="4"/>
  <c r="AJ233" i="4"/>
  <c r="AJ231" i="4"/>
  <c r="AJ225" i="4"/>
  <c r="AJ224" i="4"/>
  <c r="AJ223" i="4"/>
  <c r="AJ169" i="4"/>
  <c r="AJ279" i="4"/>
  <c r="AJ159" i="4"/>
  <c r="AJ146" i="4"/>
  <c r="AJ37" i="4"/>
  <c r="AJ280" i="4"/>
  <c r="AJ292" i="4"/>
  <c r="AJ272" i="4"/>
  <c r="AJ271" i="4"/>
  <c r="AJ270" i="4"/>
  <c r="AJ263" i="4"/>
  <c r="AJ262" i="4"/>
  <c r="AJ184" i="4"/>
  <c r="AJ268" i="4"/>
  <c r="AJ144" i="4"/>
  <c r="AJ143" i="4"/>
  <c r="AJ138" i="4"/>
  <c r="AJ234" i="4"/>
  <c r="AJ265" i="4"/>
  <c r="AJ274" i="4"/>
  <c r="AJ273" i="4"/>
  <c r="AJ216" i="4"/>
  <c r="AJ213" i="4"/>
  <c r="AJ212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70" i="4"/>
  <c r="AJ168" i="4"/>
  <c r="AJ167" i="4"/>
  <c r="AJ166" i="4"/>
  <c r="AJ164" i="4"/>
  <c r="AJ160" i="4"/>
  <c r="AJ153" i="4"/>
  <c r="AJ152" i="4"/>
  <c r="AJ275" i="4"/>
  <c r="AJ266" i="4"/>
  <c r="AJ301" i="4"/>
  <c r="AJ137" i="4"/>
  <c r="AJ127" i="4"/>
  <c r="AJ121" i="4"/>
  <c r="AJ117" i="4"/>
  <c r="AJ229" i="4"/>
  <c r="AJ228" i="4"/>
  <c r="AJ227" i="4"/>
  <c r="AJ226" i="4"/>
  <c r="AJ221" i="4"/>
  <c r="AJ181" i="4"/>
  <c r="AJ59" i="4"/>
  <c r="AJ58" i="4"/>
  <c r="AJ57" i="4"/>
  <c r="AJ15" i="4"/>
  <c r="AJ162" i="4"/>
  <c r="AJ7" i="4"/>
  <c r="AJ14" i="4"/>
  <c r="AJ148" i="4"/>
  <c r="AJ130" i="4"/>
  <c r="AJ129" i="4"/>
  <c r="AJ83" i="4"/>
  <c r="AJ72" i="4"/>
  <c r="AJ230" i="4"/>
  <c r="AJ66" i="4"/>
  <c r="AJ65" i="4"/>
  <c r="AJ64" i="4"/>
  <c r="AJ180" i="4"/>
  <c r="AJ246" i="4"/>
  <c r="AJ245" i="4"/>
  <c r="AJ81" i="4"/>
  <c r="AJ80" i="4"/>
  <c r="AJ69" i="4"/>
  <c r="AJ68" i="4"/>
  <c r="AJ139" i="4"/>
  <c r="AJ118" i="4"/>
  <c r="AJ214" i="4"/>
  <c r="AJ67" i="4"/>
  <c r="AJ185" i="4"/>
  <c r="AJ11" i="4"/>
  <c r="AJ10" i="4"/>
  <c r="AJ9" i="4"/>
  <c r="AJ261" i="4"/>
  <c r="AJ60" i="4"/>
  <c r="AJ52" i="4"/>
  <c r="AJ256" i="4"/>
  <c r="AJ134" i="4"/>
  <c r="AJ48" i="4"/>
  <c r="AJ126" i="4"/>
  <c r="AJ284" i="4"/>
  <c r="AJ247" i="4"/>
  <c r="AJ87" i="4"/>
  <c r="AJ244" i="4"/>
  <c r="AJ84" i="4"/>
  <c r="AJ82" i="4"/>
  <c r="AJ70" i="4"/>
  <c r="AJ63" i="4"/>
  <c r="AJ179" i="4"/>
  <c r="AJ177" i="4"/>
  <c r="AJ12" i="4"/>
  <c r="AJ49" i="4"/>
  <c r="AJ136" i="4"/>
  <c r="AJ135" i="4"/>
  <c r="AJ296" i="4"/>
  <c r="AJ260" i="4"/>
  <c r="AJ278" i="4"/>
  <c r="AJ258" i="4"/>
  <c r="AJ250" i="4"/>
  <c r="AJ249" i="4"/>
  <c r="AJ248" i="4"/>
  <c r="AJ300" i="4"/>
  <c r="AJ281" i="4"/>
  <c r="AJ290" i="4"/>
  <c r="AJ297" i="4"/>
  <c r="AJ295" i="4"/>
  <c r="AJ293" i="4"/>
  <c r="AJ19" i="4"/>
  <c r="AJ18" i="4"/>
  <c r="AJ17" i="4"/>
  <c r="AJ16" i="4"/>
  <c r="AJ291" i="4"/>
  <c r="AJ286" i="4"/>
  <c r="AJ289" i="4"/>
  <c r="AJ288" i="4"/>
  <c r="AJ79" i="4"/>
  <c r="AJ78" i="4"/>
  <c r="AJ77" i="4"/>
  <c r="AJ76" i="4"/>
  <c r="AJ75" i="4"/>
  <c r="AJ8" i="4"/>
  <c r="AJ5" i="4"/>
  <c r="AJ243" i="4"/>
  <c r="AJ242" i="4"/>
  <c r="AJ241" i="4"/>
  <c r="AJ240" i="4"/>
  <c r="AJ239" i="4"/>
  <c r="AJ238" i="4"/>
  <c r="AJ282" i="4"/>
  <c r="AJ285" i="4"/>
  <c r="AJ36" i="4"/>
  <c r="AJ105" i="4"/>
  <c r="AJ102" i="4"/>
  <c r="AJ252" i="4"/>
  <c r="AJ94" i="4"/>
  <c r="AJ251" i="4"/>
  <c r="AJ92" i="4"/>
  <c r="AJ91" i="4"/>
  <c r="AJ90" i="4"/>
  <c r="AJ89" i="4"/>
  <c r="AJ206" i="4"/>
  <c r="AJ203" i="4"/>
  <c r="AJ202" i="4"/>
  <c r="AJ209" i="4"/>
  <c r="AJ208" i="4"/>
  <c r="AJ264" i="4"/>
  <c r="AJ207" i="4"/>
  <c r="AJ205" i="4"/>
  <c r="AJ204" i="4"/>
  <c r="AJ302" i="4"/>
  <c r="AJ165" i="4"/>
  <c r="AJ276" i="4"/>
  <c r="AJ269" i="4"/>
  <c r="AJ156" i="4"/>
  <c r="AJ125" i="4"/>
  <c r="AJ107" i="4"/>
  <c r="AJ106" i="4"/>
  <c r="AJ253" i="4"/>
  <c r="AJ53" i="4"/>
  <c r="AJ176" i="4"/>
  <c r="AJ101" i="4"/>
  <c r="AJ99" i="4"/>
  <c r="AJ98" i="4"/>
  <c r="AJ56" i="4"/>
  <c r="AJ55" i="4"/>
  <c r="AJ54" i="4"/>
  <c r="AJ6" i="4"/>
  <c r="AJ13" i="4"/>
  <c r="AJ45" i="4"/>
  <c r="AJ44" i="4"/>
  <c r="AJ267" i="4"/>
  <c r="AJ277" i="4"/>
  <c r="AJ154" i="4"/>
  <c r="AJ145" i="4"/>
  <c r="AJ174" i="4"/>
  <c r="AJ100" i="4"/>
  <c r="AJ97" i="4"/>
  <c r="AJ96" i="4"/>
  <c r="AJ237" i="4"/>
  <c r="AJ299" i="4"/>
  <c r="AJ298" i="4"/>
  <c r="AJ175" i="4"/>
  <c r="AJ163" i="4"/>
  <c r="AJ141" i="4"/>
  <c r="AJ47" i="4"/>
  <c r="AJ46" i="4"/>
  <c r="AJ111" i="4"/>
  <c r="AJ110" i="4"/>
  <c r="AJ109" i="4"/>
  <c r="AJ108" i="4"/>
  <c r="AJ104" i="4"/>
  <c r="AJ103" i="4"/>
  <c r="AJ93" i="4"/>
  <c r="AM26" i="2"/>
  <c r="AZ407" i="5"/>
  <c r="AZ417" i="5"/>
  <c r="AZ416" i="5"/>
  <c r="AZ415" i="5"/>
  <c r="AZ414" i="5"/>
  <c r="AZ413" i="5"/>
  <c r="AZ412" i="5"/>
  <c r="AZ411" i="5"/>
  <c r="AZ410" i="5"/>
  <c r="AZ409" i="5"/>
  <c r="AZ408" i="5"/>
  <c r="AZ406" i="5"/>
  <c r="AZ405" i="5"/>
  <c r="AZ404" i="5"/>
  <c r="AZ403" i="5"/>
  <c r="AZ402" i="5"/>
  <c r="AZ401" i="5"/>
  <c r="AZ400" i="5"/>
  <c r="AZ399" i="5"/>
  <c r="AZ398" i="5"/>
  <c r="AZ397" i="5"/>
  <c r="AZ394" i="5"/>
  <c r="AZ393" i="5"/>
  <c r="AZ395" i="5"/>
  <c r="AZ396" i="5"/>
  <c r="AZ58" i="5"/>
  <c r="AY58" i="5"/>
  <c r="AX58" i="5"/>
  <c r="AZ57" i="5"/>
  <c r="AY57" i="5"/>
  <c r="AX57" i="5"/>
  <c r="AZ60" i="5"/>
  <c r="AY60" i="5"/>
  <c r="AX60" i="5"/>
  <c r="AZ162" i="5"/>
  <c r="AY162" i="5"/>
  <c r="AX162" i="5"/>
  <c r="AZ116" i="5"/>
  <c r="AY116" i="5"/>
  <c r="AX116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5" i="5"/>
  <c r="AY255" i="5"/>
  <c r="AX255" i="5"/>
  <c r="AZ65" i="5"/>
  <c r="AY65" i="5"/>
  <c r="AX65" i="5"/>
  <c r="AZ55" i="5"/>
  <c r="AY55" i="5"/>
  <c r="AX55" i="5"/>
  <c r="AZ67" i="5"/>
  <c r="AY67" i="5"/>
  <c r="AX67" i="5"/>
  <c r="AZ292" i="5"/>
  <c r="AY292" i="5"/>
  <c r="AX292" i="5"/>
  <c r="AZ257" i="5"/>
  <c r="AY257" i="5"/>
  <c r="AX257" i="5"/>
  <c r="AZ38" i="5"/>
  <c r="AY38" i="5"/>
  <c r="AX38" i="5"/>
  <c r="AZ264" i="5"/>
  <c r="AY264" i="5"/>
  <c r="AX264" i="5"/>
  <c r="AZ280" i="5"/>
  <c r="AY280" i="5"/>
  <c r="AX280" i="5"/>
  <c r="AZ258" i="5"/>
  <c r="AY258" i="5"/>
  <c r="AX258" i="5"/>
  <c r="AZ272" i="5"/>
  <c r="AY272" i="5"/>
  <c r="AX272" i="5"/>
  <c r="AZ114" i="5"/>
  <c r="AY114" i="5"/>
  <c r="AX114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6" i="5"/>
  <c r="AY256" i="5"/>
  <c r="AX256" i="5"/>
  <c r="AZ44" i="5"/>
  <c r="AY44" i="5"/>
  <c r="AX44" i="5"/>
  <c r="AZ40" i="5"/>
  <c r="AY40" i="5"/>
  <c r="AX40" i="5"/>
  <c r="AZ68" i="5"/>
  <c r="AY68" i="5"/>
  <c r="AX68" i="5"/>
  <c r="AZ154" i="5"/>
  <c r="AY154" i="5"/>
  <c r="AX154" i="5"/>
  <c r="AZ224" i="5"/>
  <c r="AY224" i="5"/>
  <c r="AX224" i="5"/>
  <c r="AZ4" i="5"/>
  <c r="AY4" i="5"/>
  <c r="AX4" i="5"/>
  <c r="AZ199" i="5"/>
  <c r="AY199" i="5"/>
  <c r="AX199" i="5"/>
  <c r="AZ64" i="5"/>
  <c r="AY64" i="5"/>
  <c r="AX64" i="5"/>
  <c r="AZ45" i="5"/>
  <c r="AY45" i="5"/>
  <c r="AX45" i="5"/>
  <c r="AZ227" i="5"/>
  <c r="AY227" i="5"/>
  <c r="AX227" i="5"/>
  <c r="AZ123" i="5"/>
  <c r="AY123" i="5"/>
  <c r="AX123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2" i="5"/>
  <c r="AY122" i="5"/>
  <c r="AX122" i="5"/>
  <c r="AZ36" i="5"/>
  <c r="AY36" i="5"/>
  <c r="AX36" i="5"/>
  <c r="AZ250" i="5"/>
  <c r="AY250" i="5"/>
  <c r="AX250" i="5"/>
  <c r="AZ48" i="5"/>
  <c r="AY48" i="5"/>
  <c r="AX48" i="5"/>
  <c r="AZ295" i="5"/>
  <c r="AY295" i="5"/>
  <c r="AX295" i="5"/>
  <c r="AZ96" i="5"/>
  <c r="AY96" i="5"/>
  <c r="AX96" i="5"/>
  <c r="AZ106" i="5"/>
  <c r="AY106" i="5"/>
  <c r="AX106" i="5"/>
  <c r="AZ151" i="5"/>
  <c r="AY151" i="5"/>
  <c r="AX151" i="5"/>
  <c r="AZ198" i="5"/>
  <c r="AY198" i="5"/>
  <c r="AX198" i="5"/>
  <c r="AY70" i="5"/>
  <c r="AX70" i="5"/>
  <c r="AZ152" i="5"/>
  <c r="AY152" i="5"/>
  <c r="AX152" i="5"/>
  <c r="AZ277" i="5"/>
  <c r="AY277" i="5"/>
  <c r="AX277" i="5"/>
  <c r="AZ90" i="5"/>
  <c r="AY90" i="5"/>
  <c r="AX90" i="5"/>
  <c r="AZ121" i="5"/>
  <c r="AY121" i="5"/>
  <c r="AX121" i="5"/>
  <c r="AZ99" i="5"/>
  <c r="AY99" i="5"/>
  <c r="AX99" i="5"/>
  <c r="AZ252" i="5"/>
  <c r="AY252" i="5"/>
  <c r="AX252" i="5"/>
  <c r="AZ225" i="5"/>
  <c r="AY225" i="5"/>
  <c r="AX225" i="5"/>
  <c r="AZ197" i="5"/>
  <c r="AY197" i="5"/>
  <c r="AX197" i="5"/>
  <c r="AZ195" i="5"/>
  <c r="AY195" i="5"/>
  <c r="AX195" i="5"/>
  <c r="AZ279" i="5"/>
  <c r="AY279" i="5"/>
  <c r="AX279" i="5"/>
  <c r="AZ298" i="5"/>
  <c r="AY298" i="5"/>
  <c r="AX298" i="5"/>
  <c r="AZ222" i="5"/>
  <c r="AY222" i="5"/>
  <c r="AX222" i="5"/>
  <c r="AZ5" i="5"/>
  <c r="AY5" i="5"/>
  <c r="AX5" i="5"/>
  <c r="AZ145" i="5"/>
  <c r="AY145" i="5"/>
  <c r="AX145" i="5"/>
  <c r="AZ46" i="5"/>
  <c r="AY46" i="5"/>
  <c r="AX46" i="5"/>
  <c r="AZ278" i="5"/>
  <c r="AY278" i="5"/>
  <c r="AX278" i="5"/>
  <c r="AZ148" i="5"/>
  <c r="AY148" i="5"/>
  <c r="AX148" i="5"/>
  <c r="AZ137" i="5"/>
  <c r="AY137" i="5"/>
  <c r="AX137" i="5"/>
  <c r="AZ273" i="5"/>
  <c r="AY273" i="5"/>
  <c r="AX273" i="5"/>
  <c r="AZ135" i="5"/>
  <c r="AY135" i="5"/>
  <c r="AX135" i="5"/>
  <c r="AY34" i="5"/>
  <c r="AZ275" i="5"/>
  <c r="AY275" i="5"/>
  <c r="AX275" i="5"/>
  <c r="AZ119" i="5"/>
  <c r="AY119" i="5"/>
  <c r="AX119" i="5"/>
  <c r="AZ229" i="5"/>
  <c r="AY229" i="5"/>
  <c r="AX229" i="5"/>
  <c r="AZ164" i="5"/>
  <c r="AY164" i="5"/>
  <c r="AX164" i="5"/>
  <c r="AZ276" i="5"/>
  <c r="AY276" i="5"/>
  <c r="AX276" i="5"/>
  <c r="AZ232" i="5"/>
  <c r="AY232" i="5"/>
  <c r="AX232" i="5"/>
  <c r="AZ208" i="5"/>
  <c r="AY208" i="5"/>
  <c r="AX208" i="5"/>
  <c r="AZ201" i="5"/>
  <c r="AY201" i="5"/>
  <c r="AX201" i="5"/>
  <c r="AZ243" i="5"/>
  <c r="AY243" i="5"/>
  <c r="AX243" i="5"/>
  <c r="AZ155" i="5"/>
  <c r="AY155" i="5"/>
  <c r="AX155" i="5"/>
  <c r="AZ117" i="5"/>
  <c r="AY117" i="5"/>
  <c r="AX117" i="5"/>
  <c r="AZ249" i="5"/>
  <c r="AY249" i="5"/>
  <c r="AX249" i="5"/>
  <c r="AZ248" i="5"/>
  <c r="AY248" i="5"/>
  <c r="AX248" i="5"/>
  <c r="AZ247" i="5"/>
  <c r="AY247" i="5"/>
  <c r="AX247" i="5"/>
  <c r="AY31" i="5"/>
  <c r="AY176" i="5"/>
  <c r="AZ125" i="5"/>
  <c r="AY125" i="5"/>
  <c r="AX125" i="5"/>
  <c r="AZ2" i="5"/>
  <c r="AY2" i="5"/>
  <c r="AX2" i="5"/>
  <c r="AY189" i="5"/>
  <c r="AY150" i="5"/>
  <c r="AY130" i="5"/>
  <c r="AZ91" i="5"/>
  <c r="AY91" i="5"/>
  <c r="AX91" i="5"/>
  <c r="AZ245" i="5"/>
  <c r="AY245" i="5"/>
  <c r="AX245" i="5"/>
  <c r="AZ288" i="5"/>
  <c r="AY288" i="5"/>
  <c r="AX288" i="5"/>
  <c r="AZ180" i="5"/>
  <c r="AY180" i="5"/>
  <c r="AX180" i="5"/>
  <c r="AY177" i="5"/>
  <c r="AZ287" i="5"/>
  <c r="AY287" i="5"/>
  <c r="AX287" i="5"/>
  <c r="AZ194" i="5"/>
  <c r="AY194" i="5"/>
  <c r="AX194" i="5"/>
  <c r="AZ158" i="5"/>
  <c r="AY158" i="5"/>
  <c r="AX158" i="5"/>
  <c r="AZ138" i="5"/>
  <c r="AY138" i="5"/>
  <c r="AX138" i="5"/>
  <c r="AZ128" i="5"/>
  <c r="AY128" i="5"/>
  <c r="AX128" i="5"/>
  <c r="AZ127" i="5"/>
  <c r="AY127" i="5"/>
  <c r="AX127" i="5"/>
  <c r="AZ270" i="5"/>
  <c r="AY270" i="5"/>
  <c r="AX270" i="5"/>
  <c r="AZ76" i="5"/>
  <c r="AY76" i="5"/>
  <c r="AX76" i="5"/>
  <c r="AZ74" i="5"/>
  <c r="AY74" i="5"/>
  <c r="AX74" i="5"/>
  <c r="AZ8" i="5"/>
  <c r="AY8" i="5"/>
  <c r="AX8" i="5"/>
  <c r="AZ259" i="5"/>
  <c r="AY259" i="5"/>
  <c r="AX259" i="5"/>
  <c r="AZ212" i="5"/>
  <c r="AY212" i="5"/>
  <c r="AX212" i="5"/>
  <c r="AZ283" i="5"/>
  <c r="AY283" i="5"/>
  <c r="AX283" i="5"/>
  <c r="AZ18" i="5"/>
  <c r="AY18" i="5"/>
  <c r="AX18" i="5"/>
  <c r="AZ17" i="5"/>
  <c r="AY17" i="5"/>
  <c r="AX17" i="5"/>
  <c r="AZ16" i="5"/>
  <c r="AY16" i="5"/>
  <c r="AX16" i="5"/>
  <c r="AZ281" i="5"/>
  <c r="AY281" i="5"/>
  <c r="AX281" i="5"/>
  <c r="AZ3" i="5"/>
  <c r="AY3" i="5"/>
  <c r="AX3" i="5"/>
  <c r="AZ13" i="5"/>
  <c r="AY13" i="5"/>
  <c r="AX13" i="5"/>
  <c r="AZ73" i="5"/>
  <c r="AY73" i="5"/>
  <c r="AX73" i="5"/>
  <c r="AZ237" i="5"/>
  <c r="AY237" i="5"/>
  <c r="AX237" i="5"/>
  <c r="AZ297" i="5"/>
  <c r="AY297" i="5"/>
  <c r="AX297" i="5"/>
  <c r="AZ296" i="5"/>
  <c r="AY296" i="5"/>
  <c r="AX296" i="5"/>
  <c r="AZ293" i="5"/>
  <c r="AY293" i="5"/>
  <c r="AX293" i="5"/>
  <c r="AZ289" i="5"/>
  <c r="AY289" i="5"/>
  <c r="AX289" i="5"/>
  <c r="AZ196" i="5"/>
  <c r="AY196" i="5"/>
  <c r="AX196" i="5"/>
  <c r="AZ284" i="5"/>
  <c r="AY284" i="5"/>
  <c r="AX284" i="5"/>
  <c r="AZ282" i="5"/>
  <c r="AY282" i="5"/>
  <c r="AX282" i="5"/>
  <c r="AZ191" i="5"/>
  <c r="AY191" i="5"/>
  <c r="AX191" i="5"/>
  <c r="AZ173" i="5"/>
  <c r="AY173" i="5"/>
  <c r="AX173" i="5"/>
  <c r="AZ157" i="5"/>
  <c r="AY157" i="5"/>
  <c r="AX157" i="5"/>
  <c r="AZ143" i="5"/>
  <c r="AY143" i="5"/>
  <c r="AX143" i="5"/>
  <c r="AZ131" i="5"/>
  <c r="AY131" i="5"/>
  <c r="AX131" i="5"/>
  <c r="AZ113" i="5"/>
  <c r="AY113" i="5"/>
  <c r="AX113" i="5"/>
  <c r="AZ100" i="5"/>
  <c r="AY100" i="5"/>
  <c r="AX100" i="5"/>
  <c r="AZ88" i="5"/>
  <c r="AY88" i="5"/>
  <c r="AX88" i="5"/>
  <c r="AZ75" i="5"/>
  <c r="AY75" i="5"/>
  <c r="AX75" i="5"/>
  <c r="AZ240" i="5"/>
  <c r="AY240" i="5"/>
  <c r="AX240" i="5"/>
  <c r="AZ28" i="5"/>
  <c r="AY28" i="5"/>
  <c r="AX28" i="5"/>
  <c r="AZ27" i="5"/>
  <c r="AY27" i="5"/>
  <c r="AX27" i="5"/>
  <c r="AZ213" i="5"/>
  <c r="AY213" i="5"/>
  <c r="AX213" i="5"/>
  <c r="AZ21" i="5"/>
  <c r="AY21" i="5"/>
  <c r="AX21" i="5"/>
  <c r="AZ294" i="5"/>
  <c r="AY294" i="5"/>
  <c r="AX294" i="5"/>
  <c r="AZ291" i="5"/>
  <c r="AY291" i="5"/>
  <c r="AX291" i="5"/>
  <c r="AZ192" i="5"/>
  <c r="AY192" i="5"/>
  <c r="AX192" i="5"/>
  <c r="AZ190" i="5"/>
  <c r="AY190" i="5"/>
  <c r="AX190" i="5"/>
  <c r="AZ170" i="5"/>
  <c r="AY170" i="5"/>
  <c r="AX170" i="5"/>
  <c r="AZ168" i="5"/>
  <c r="AY168" i="5"/>
  <c r="AX168" i="5"/>
  <c r="AZ153" i="5"/>
  <c r="AY153" i="5"/>
  <c r="AX153" i="5"/>
  <c r="AZ149" i="5"/>
  <c r="AY149" i="5"/>
  <c r="AX149" i="5"/>
  <c r="AZ142" i="5"/>
  <c r="AY142" i="5"/>
  <c r="AX142" i="5"/>
  <c r="AZ139" i="5"/>
  <c r="AY139" i="5"/>
  <c r="AX139" i="5"/>
  <c r="AZ134" i="5"/>
  <c r="AY134" i="5"/>
  <c r="AX134" i="5"/>
  <c r="AZ133" i="5"/>
  <c r="AY133" i="5"/>
  <c r="AX133" i="5"/>
  <c r="AZ15" i="5"/>
  <c r="AY15" i="5"/>
  <c r="AX15" i="5"/>
  <c r="AZ115" i="5"/>
  <c r="AY115" i="5"/>
  <c r="AX115" i="5"/>
  <c r="AZ101" i="5"/>
  <c r="AY101" i="5"/>
  <c r="AX101" i="5"/>
  <c r="AZ9" i="5"/>
  <c r="AY9" i="5"/>
  <c r="AX9" i="5"/>
  <c r="AZ72" i="5"/>
  <c r="AY72" i="5"/>
  <c r="AX72" i="5"/>
  <c r="AY234" i="5"/>
  <c r="AY33" i="5"/>
  <c r="AZ218" i="5"/>
  <c r="AY218" i="5"/>
  <c r="AX218" i="5"/>
  <c r="AZ217" i="5"/>
  <c r="AY217" i="5"/>
  <c r="AX217" i="5"/>
  <c r="AZ216" i="5"/>
  <c r="AY216" i="5"/>
  <c r="AX216" i="5"/>
  <c r="AZ214" i="5"/>
  <c r="AY214" i="5"/>
  <c r="AX214" i="5"/>
  <c r="AZ159" i="5"/>
  <c r="AY159" i="5"/>
  <c r="AX159" i="5"/>
  <c r="AZ144" i="5"/>
  <c r="AY144" i="5"/>
  <c r="AX144" i="5"/>
  <c r="AZ112" i="5"/>
  <c r="AY112" i="5"/>
  <c r="AX112" i="5"/>
  <c r="AZ102" i="5"/>
  <c r="AY102" i="5"/>
  <c r="AX102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3" i="5"/>
  <c r="AY253" i="5"/>
  <c r="AX253" i="5"/>
  <c r="AZ246" i="5"/>
  <c r="AY246" i="5"/>
  <c r="AX246" i="5"/>
  <c r="AZ244" i="5"/>
  <c r="AY244" i="5"/>
  <c r="AX244" i="5"/>
  <c r="AZ238" i="5"/>
  <c r="AY238" i="5"/>
  <c r="AX238" i="5"/>
  <c r="AZ236" i="5"/>
  <c r="AY236" i="5"/>
  <c r="AX236" i="5"/>
  <c r="AZ235" i="5"/>
  <c r="AY235" i="5"/>
  <c r="AX235" i="5"/>
  <c r="AZ231" i="5"/>
  <c r="AY231" i="5"/>
  <c r="AX231" i="5"/>
  <c r="AZ230" i="5"/>
  <c r="AY230" i="5"/>
  <c r="AX230" i="5"/>
  <c r="AZ219" i="5"/>
  <c r="AY219" i="5"/>
  <c r="AX219" i="5"/>
  <c r="AZ215" i="5"/>
  <c r="AY215" i="5"/>
  <c r="AX215" i="5"/>
  <c r="AZ211" i="5"/>
  <c r="AY211" i="5"/>
  <c r="AX211" i="5"/>
  <c r="AZ210" i="5"/>
  <c r="AY210" i="5"/>
  <c r="AX210" i="5"/>
  <c r="AZ207" i="5"/>
  <c r="AY207" i="5"/>
  <c r="AX207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0" i="5"/>
  <c r="AY200" i="5"/>
  <c r="AX200" i="5"/>
  <c r="AZ290" i="5"/>
  <c r="AY290" i="5"/>
  <c r="AX290" i="5"/>
  <c r="AZ286" i="5"/>
  <c r="AY286" i="5"/>
  <c r="AX286" i="5"/>
  <c r="AZ285" i="5"/>
  <c r="AY285" i="5"/>
  <c r="AX285" i="5"/>
  <c r="AZ193" i="5"/>
  <c r="AY193" i="5"/>
  <c r="AX193" i="5"/>
  <c r="AZ179" i="5"/>
  <c r="AY179" i="5"/>
  <c r="AX179" i="5"/>
  <c r="AZ169" i="5"/>
  <c r="AY169" i="5"/>
  <c r="AX169" i="5"/>
  <c r="AZ163" i="5"/>
  <c r="AY163" i="5"/>
  <c r="AX163" i="5"/>
  <c r="AZ161" i="5"/>
  <c r="AY161" i="5"/>
  <c r="AX161" i="5"/>
  <c r="AZ160" i="5"/>
  <c r="AY160" i="5"/>
  <c r="AX160" i="5"/>
  <c r="AZ156" i="5"/>
  <c r="AY156" i="5"/>
  <c r="AX156" i="5"/>
  <c r="AZ146" i="5"/>
  <c r="AY146" i="5"/>
  <c r="AX146" i="5"/>
  <c r="AZ132" i="5"/>
  <c r="AY132" i="5"/>
  <c r="AX132" i="5"/>
  <c r="AZ269" i="5"/>
  <c r="AY269" i="5"/>
  <c r="AX269" i="5"/>
  <c r="AZ109" i="5"/>
  <c r="AY109" i="5"/>
  <c r="AX109" i="5"/>
  <c r="AZ108" i="5"/>
  <c r="AY108" i="5"/>
  <c r="AX108" i="5"/>
  <c r="AZ107" i="5"/>
  <c r="AY107" i="5"/>
  <c r="AX107" i="5"/>
  <c r="AZ104" i="5"/>
  <c r="AY104" i="5"/>
  <c r="AX104" i="5"/>
  <c r="AZ103" i="5"/>
  <c r="AY103" i="5"/>
  <c r="AX103" i="5"/>
  <c r="AZ263" i="5"/>
  <c r="AY263" i="5"/>
  <c r="AX263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2" i="5"/>
  <c r="AY262" i="5"/>
  <c r="AX262" i="5"/>
  <c r="AZ86" i="5"/>
  <c r="AY86" i="5"/>
  <c r="AX86" i="5"/>
  <c r="AZ261" i="5"/>
  <c r="AY261" i="5"/>
  <c r="AX261" i="5"/>
  <c r="AZ260" i="5"/>
  <c r="AY260" i="5"/>
  <c r="AX260" i="5"/>
  <c r="AZ84" i="5"/>
  <c r="AY84" i="5"/>
  <c r="AX84" i="5"/>
  <c r="AZ83" i="5"/>
  <c r="AY83" i="5"/>
  <c r="AX83" i="5"/>
  <c r="AZ268" i="5"/>
  <c r="AY268" i="5"/>
  <c r="AX268" i="5"/>
  <c r="AZ81" i="5"/>
  <c r="AY81" i="5"/>
  <c r="AX81" i="5"/>
  <c r="AZ267" i="5"/>
  <c r="AY267" i="5"/>
  <c r="AX267" i="5"/>
  <c r="AZ54" i="5"/>
  <c r="AY54" i="5"/>
  <c r="AX54" i="5"/>
  <c r="AZ51" i="5"/>
  <c r="AY51" i="5"/>
  <c r="AX51" i="5"/>
  <c r="AZ35" i="5"/>
  <c r="AY35" i="5"/>
  <c r="AX35" i="5"/>
  <c r="AZ239" i="5"/>
  <c r="AY239" i="5"/>
  <c r="AX239" i="5"/>
  <c r="AZ233" i="5"/>
  <c r="AY233" i="5"/>
  <c r="AX233" i="5"/>
  <c r="AZ165" i="5"/>
  <c r="AY165" i="5"/>
  <c r="AX165" i="5"/>
  <c r="AZ136" i="5"/>
  <c r="AY136" i="5"/>
  <c r="AX136" i="5"/>
  <c r="AZ14" i="5"/>
  <c r="AY14" i="5"/>
  <c r="AX14" i="5"/>
  <c r="AZ111" i="5"/>
  <c r="AY111" i="5"/>
  <c r="AX111" i="5"/>
  <c r="AY61" i="5"/>
  <c r="AZ299" i="5"/>
  <c r="AY299" i="5"/>
  <c r="AX299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1" i="5"/>
  <c r="AY181" i="5"/>
  <c r="AX181" i="5"/>
  <c r="AZ147" i="5"/>
  <c r="AY147" i="5"/>
  <c r="AX147" i="5"/>
  <c r="AZ124" i="5"/>
  <c r="AY124" i="5"/>
  <c r="AX124" i="5"/>
  <c r="AZ271" i="5"/>
  <c r="AY271" i="5"/>
  <c r="AX271" i="5"/>
  <c r="AZ105" i="5"/>
  <c r="AY105" i="5"/>
  <c r="AX105" i="5"/>
  <c r="AZ254" i="5"/>
  <c r="AY254" i="5"/>
  <c r="AX254" i="5"/>
  <c r="AZ50" i="5"/>
  <c r="AY50" i="5"/>
  <c r="AX50" i="5"/>
  <c r="AY32" i="5"/>
  <c r="AZ30" i="5"/>
  <c r="AY30" i="5"/>
  <c r="AX30" i="5"/>
  <c r="AY29" i="5"/>
  <c r="AX29" i="5"/>
  <c r="AZ183" i="5"/>
  <c r="AY183" i="5"/>
  <c r="AX183" i="5"/>
  <c r="AZ178" i="5"/>
  <c r="AY178" i="5"/>
  <c r="AX178" i="5"/>
  <c r="AZ141" i="5"/>
  <c r="AY141" i="5"/>
  <c r="AX141" i="5"/>
  <c r="AZ129" i="5"/>
  <c r="AY129" i="5"/>
  <c r="AX129" i="5"/>
  <c r="AZ126" i="5"/>
  <c r="AY126" i="5"/>
  <c r="AX126" i="5"/>
  <c r="AZ274" i="5"/>
  <c r="AY274" i="5"/>
  <c r="AX274" i="5"/>
  <c r="AZ12" i="5"/>
  <c r="AY12" i="5"/>
  <c r="AX12" i="5"/>
  <c r="AZ89" i="5"/>
  <c r="AY89" i="5"/>
  <c r="AX89" i="5"/>
  <c r="AZ78" i="5"/>
  <c r="AY78" i="5"/>
  <c r="AX78" i="5"/>
  <c r="AZ266" i="5"/>
  <c r="AY266" i="5"/>
  <c r="AX266" i="5"/>
  <c r="AZ53" i="5"/>
  <c r="AY53" i="5"/>
  <c r="AX53" i="5"/>
  <c r="AZ221" i="5"/>
  <c r="AY221" i="5"/>
  <c r="AX221" i="5"/>
  <c r="AZ220" i="5"/>
  <c r="AY220" i="5"/>
  <c r="AX220" i="5"/>
  <c r="AZ186" i="5"/>
  <c r="AY186" i="5"/>
  <c r="AX186" i="5"/>
  <c r="AZ182" i="5"/>
  <c r="AY182" i="5"/>
  <c r="AX182" i="5"/>
  <c r="AZ175" i="5"/>
  <c r="AY175" i="5"/>
  <c r="AX175" i="5"/>
  <c r="AZ120" i="5"/>
  <c r="AY120" i="5"/>
  <c r="AX120" i="5"/>
  <c r="AZ52" i="5"/>
  <c r="AY52" i="5"/>
  <c r="AX52" i="5"/>
  <c r="AZ226" i="5"/>
  <c r="AY226" i="5"/>
  <c r="AX226" i="5"/>
  <c r="AZ209" i="5"/>
  <c r="AY209" i="5"/>
  <c r="AX209" i="5"/>
  <c r="AZ184" i="5"/>
  <c r="AY184" i="5"/>
  <c r="AX184" i="5"/>
  <c r="AZ228" i="5"/>
  <c r="AY228" i="5"/>
  <c r="AX228" i="5"/>
  <c r="AZ265" i="5"/>
  <c r="AY265" i="5"/>
  <c r="AX265" i="5"/>
  <c r="AZ242" i="5"/>
  <c r="AY242" i="5"/>
  <c r="AX242" i="5"/>
  <c r="AZ118" i="5"/>
  <c r="AY118" i="5"/>
  <c r="AX118" i="5"/>
  <c r="AZ79" i="5"/>
  <c r="AY79" i="5"/>
  <c r="AX79" i="5"/>
  <c r="AZ77" i="5"/>
  <c r="AY77" i="5"/>
  <c r="AX77" i="5"/>
  <c r="AZ223" i="5"/>
  <c r="AY223" i="5"/>
  <c r="AX223" i="5"/>
  <c r="AZ172" i="5"/>
  <c r="AY172" i="5"/>
  <c r="AX172" i="5"/>
  <c r="AZ140" i="5"/>
  <c r="AY140" i="5"/>
  <c r="AX140" i="5"/>
  <c r="AZ188" i="5"/>
  <c r="AY188" i="5"/>
  <c r="AX188" i="5"/>
  <c r="AZ187" i="5"/>
  <c r="AY187" i="5"/>
  <c r="AX187" i="5"/>
  <c r="AZ185" i="5"/>
  <c r="AY185" i="5"/>
  <c r="AX185" i="5"/>
  <c r="AZ174" i="5"/>
  <c r="AY174" i="5"/>
  <c r="AX174" i="5"/>
  <c r="AZ251" i="5"/>
  <c r="AY251" i="5"/>
  <c r="AX251" i="5"/>
  <c r="AZ171" i="5"/>
  <c r="AY171" i="5"/>
  <c r="AX171" i="5"/>
  <c r="AZ167" i="5"/>
  <c r="AY167" i="5"/>
  <c r="AX167" i="5"/>
  <c r="AZ110" i="5"/>
  <c r="AY110" i="5"/>
  <c r="AX110" i="5"/>
  <c r="AZ166" i="5"/>
  <c r="AY166" i="5"/>
  <c r="AX166" i="5"/>
  <c r="AJ88" i="4"/>
  <c r="J28" i="3"/>
  <c r="J21" i="3"/>
  <c r="J36" i="3"/>
  <c r="J43" i="3"/>
  <c r="BA2" i="5"/>
  <c r="BA293" i="5"/>
  <c r="BA272" i="5"/>
  <c r="BA193" i="5"/>
  <c r="BA121" i="5"/>
  <c r="BA123" i="5"/>
  <c r="BA122" i="5"/>
  <c r="BA275" i="5"/>
  <c r="BA120" i="5"/>
  <c r="BA63" i="5"/>
  <c r="BA64" i="5"/>
  <c r="BA280" i="5"/>
  <c r="BA227" i="5"/>
  <c r="BA165" i="5"/>
  <c r="BA167" i="5"/>
  <c r="BA69" i="5"/>
  <c r="BA62" i="5"/>
  <c r="BA208" i="5"/>
  <c r="BA201" i="5"/>
  <c r="BA48" i="5"/>
  <c r="BA99" i="5"/>
  <c r="BA96" i="5"/>
  <c r="BA14" i="5"/>
  <c r="BA51" i="5"/>
  <c r="BA284" i="5"/>
  <c r="BA151" i="5"/>
  <c r="BA145" i="5"/>
  <c r="BA270" i="5"/>
  <c r="BA237" i="5"/>
  <c r="BA282" i="5"/>
  <c r="BA44" i="5"/>
  <c r="BA287" i="5"/>
  <c r="BA68" i="5"/>
  <c r="BA232" i="5"/>
  <c r="BA49" i="5"/>
  <c r="BA112" i="5"/>
  <c r="BA229" i="5"/>
  <c r="BA294" i="5"/>
  <c r="BA161" i="5"/>
  <c r="BA43" i="5"/>
  <c r="BA34" i="5"/>
  <c r="BA283" i="5"/>
  <c r="BA45" i="5"/>
  <c r="BA223" i="5"/>
  <c r="BA196" i="5"/>
  <c r="BA288" i="5"/>
  <c r="BA3" i="5"/>
  <c r="BA37" i="5"/>
  <c r="BA273" i="5"/>
  <c r="BA126" i="5"/>
  <c r="BA7" i="5"/>
  <c r="BA33" i="5"/>
  <c r="BA281" i="5"/>
  <c r="BA298" i="5"/>
  <c r="BA250" i="5"/>
  <c r="BA278" i="5"/>
  <c r="BA166" i="5"/>
  <c r="BA234" i="5"/>
  <c r="BA200" i="5"/>
  <c r="BA113" i="5"/>
  <c r="BA251" i="5"/>
  <c r="BA238" i="5"/>
  <c r="BA46" i="5"/>
  <c r="BA146" i="5"/>
  <c r="BA90" i="5"/>
  <c r="BA164" i="5"/>
  <c r="BA35" i="5"/>
  <c r="BA169" i="5"/>
  <c r="BA54" i="5"/>
  <c r="BA269" i="5"/>
  <c r="BA195" i="5"/>
  <c r="BA31" i="5"/>
  <c r="BA212" i="5"/>
  <c r="BA163" i="5"/>
  <c r="BA36" i="5"/>
  <c r="BA173" i="5"/>
  <c r="BA76" i="5"/>
  <c r="BA152" i="5"/>
  <c r="BA82" i="5"/>
  <c r="BA73" i="5"/>
  <c r="BA160" i="5"/>
  <c r="BA209" i="5"/>
  <c r="BA235" i="5"/>
  <c r="BA6" i="5"/>
  <c r="BA12" i="5"/>
  <c r="BA159" i="5"/>
  <c r="BA147" i="5"/>
  <c r="BA105" i="5"/>
  <c r="BA194" i="5"/>
  <c r="BA172" i="5"/>
  <c r="BA171" i="5"/>
  <c r="BA102" i="5"/>
  <c r="BA4" i="5"/>
  <c r="BA144" i="5"/>
  <c r="BA289" i="5"/>
  <c r="BA32" i="5"/>
  <c r="BA175" i="5"/>
  <c r="BA214" i="5"/>
  <c r="BA30" i="5"/>
  <c r="BA233" i="5"/>
  <c r="BA158" i="5"/>
  <c r="BA71" i="5"/>
  <c r="BA205" i="5"/>
  <c r="BA206" i="5"/>
  <c r="BA92" i="5"/>
  <c r="BA295" i="5"/>
  <c r="BA91" i="5"/>
  <c r="BA239" i="5"/>
  <c r="BA299" i="5"/>
  <c r="BA18" i="5"/>
  <c r="BA110" i="5"/>
  <c r="BA134" i="5"/>
  <c r="BA80" i="5"/>
  <c r="BA213" i="5"/>
  <c r="BA100" i="5"/>
  <c r="BA114" i="5"/>
  <c r="BA260" i="5"/>
  <c r="BA190" i="5"/>
  <c r="BA75" i="5"/>
  <c r="BA290" i="5"/>
  <c r="BA236" i="5"/>
  <c r="BA168" i="5"/>
  <c r="BA101" i="5"/>
  <c r="BA198" i="5"/>
  <c r="BA142" i="5"/>
  <c r="BA84" i="5"/>
  <c r="BA131" i="5"/>
  <c r="BA17" i="5"/>
  <c r="BA228" i="5"/>
  <c r="BA117" i="5"/>
  <c r="BA197" i="5"/>
  <c r="BA192" i="5"/>
  <c r="BA89" i="5"/>
  <c r="BA86" i="5"/>
  <c r="BA85" i="5"/>
  <c r="BA72" i="5"/>
  <c r="BA191" i="5"/>
  <c r="BA104" i="5"/>
  <c r="BA291" i="5"/>
  <c r="BA83" i="5"/>
  <c r="BA81" i="5"/>
  <c r="BA116" i="5"/>
  <c r="BA263" i="5"/>
  <c r="BA203" i="5"/>
  <c r="BA202" i="5"/>
  <c r="BA16" i="5"/>
  <c r="BA199" i="5"/>
  <c r="BA215" i="5"/>
  <c r="BA219" i="5"/>
  <c r="BA261" i="5"/>
  <c r="BA262" i="5"/>
  <c r="BA183" i="5"/>
  <c r="BA268" i="5"/>
  <c r="BA136" i="5"/>
  <c r="BA28" i="5"/>
  <c r="BA128" i="5"/>
  <c r="BA207" i="5"/>
  <c r="BA127" i="5"/>
  <c r="BA109" i="5"/>
  <c r="BA231" i="5"/>
  <c r="BA170" i="5"/>
  <c r="BA204" i="5"/>
  <c r="BA93" i="5"/>
  <c r="BA95" i="5"/>
  <c r="BA94" i="5"/>
  <c r="BA224" i="5"/>
  <c r="BA188" i="5"/>
  <c r="BA187" i="5"/>
  <c r="BA185" i="5"/>
  <c r="BA276" i="5"/>
  <c r="BA211" i="5"/>
  <c r="BA129" i="5"/>
  <c r="BA186" i="5"/>
  <c r="BA108" i="5"/>
  <c r="BA107" i="5"/>
  <c r="BA13" i="5"/>
  <c r="BA279" i="5"/>
  <c r="BA78" i="5"/>
  <c r="BA21" i="5"/>
  <c r="BA277" i="5"/>
  <c r="BA157" i="5"/>
  <c r="BA57" i="5"/>
  <c r="BA58" i="5"/>
  <c r="BA267" i="5"/>
  <c r="BA77" i="5"/>
  <c r="BA230" i="5"/>
  <c r="BA11" i="5"/>
  <c r="BA156" i="5"/>
  <c r="BA252" i="5"/>
  <c r="BA111" i="5"/>
  <c r="BA79" i="5"/>
  <c r="BA253" i="5"/>
  <c r="BA135" i="5"/>
  <c r="BA216" i="5"/>
  <c r="BA274" i="5"/>
  <c r="BA266" i="5"/>
  <c r="BA148" i="5"/>
  <c r="BA10" i="5"/>
  <c r="BA22" i="5"/>
  <c r="BA174" i="5"/>
  <c r="BA133" i="5"/>
  <c r="BA218" i="5"/>
  <c r="BA115" i="5"/>
  <c r="BA254" i="5"/>
  <c r="BA225" i="5"/>
  <c r="BA221" i="5"/>
  <c r="BA9" i="5"/>
  <c r="BA181" i="5"/>
  <c r="BA137" i="5"/>
  <c r="BA179" i="5"/>
  <c r="BA132" i="5"/>
  <c r="BA26" i="5"/>
  <c r="BA25" i="5"/>
  <c r="BA5" i="5"/>
  <c r="BA24" i="5"/>
  <c r="BA23" i="5"/>
  <c r="BA55" i="5"/>
  <c r="BA87" i="5"/>
  <c r="BA88" i="5"/>
  <c r="BA182" i="5"/>
  <c r="BA15" i="5"/>
  <c r="BA140" i="5"/>
  <c r="BA106" i="5"/>
  <c r="BA217" i="5"/>
  <c r="BA74" i="5"/>
  <c r="BA240" i="5"/>
  <c r="BA399" i="5"/>
  <c r="BA249" i="5"/>
  <c r="BA60" i="5"/>
  <c r="BA256" i="5"/>
  <c r="BA244" i="5"/>
  <c r="BA271" i="5"/>
  <c r="BA242" i="5"/>
  <c r="BA222" i="5"/>
  <c r="BA139" i="5"/>
  <c r="BA184" i="5"/>
  <c r="BA8" i="5"/>
  <c r="BA124" i="5"/>
  <c r="BA395" i="5"/>
  <c r="BA119" i="5"/>
  <c r="BA210" i="5"/>
  <c r="BA247" i="5"/>
  <c r="BA245" i="5"/>
  <c r="BA243" i="5"/>
  <c r="BA401" i="5"/>
  <c r="BA226" i="5"/>
  <c r="BA27" i="5"/>
  <c r="BA257" i="5"/>
  <c r="BA125" i="5"/>
  <c r="BA150" i="5"/>
  <c r="BA130" i="5"/>
  <c r="BA138" i="5"/>
  <c r="BA246" i="5"/>
  <c r="BA180" i="5"/>
  <c r="BA248" i="5"/>
  <c r="BA258" i="5"/>
  <c r="BA265" i="5"/>
  <c r="BA141" i="5"/>
  <c r="BA155" i="5"/>
  <c r="BA415" i="5"/>
  <c r="BA52" i="5"/>
  <c r="BA143" i="5"/>
  <c r="BA412" i="5"/>
  <c r="BA177" i="5"/>
  <c r="BA149" i="5"/>
  <c r="BA153" i="5"/>
  <c r="BA417" i="5"/>
  <c r="BA408" i="5"/>
  <c r="BA406" i="5"/>
  <c r="BA405" i="5"/>
  <c r="BA400" i="5"/>
  <c r="BA398" i="5"/>
  <c r="BA393" i="5"/>
  <c r="BA50" i="5"/>
  <c r="BA259" i="5"/>
  <c r="BA154" i="5"/>
  <c r="BA402" i="5"/>
  <c r="BA59" i="5"/>
  <c r="BA56" i="5"/>
  <c r="BA403" i="5"/>
  <c r="BA53" i="5"/>
  <c r="BA414" i="5"/>
  <c r="BA67" i="5"/>
  <c r="BA65" i="5"/>
  <c r="BA176" i="5"/>
  <c r="BA66" i="5"/>
  <c r="BA38" i="5"/>
  <c r="BA416" i="5"/>
  <c r="BA404" i="5"/>
  <c r="BA39" i="5"/>
  <c r="BA40" i="5"/>
  <c r="BA41" i="5"/>
  <c r="BA103" i="5"/>
  <c r="BA292" i="5"/>
  <c r="BA285" i="5"/>
  <c r="BA61" i="5"/>
  <c r="BA410" i="5"/>
  <c r="BA411" i="5"/>
  <c r="BA394" i="5"/>
  <c r="BA47" i="5"/>
  <c r="BA178" i="5"/>
  <c r="BA42" i="5"/>
  <c r="BA189" i="5"/>
  <c r="BA97" i="5"/>
  <c r="BA162" i="5"/>
  <c r="BA409" i="5"/>
  <c r="BA407" i="5"/>
  <c r="BA397" i="5"/>
  <c r="BA413" i="5"/>
  <c r="BA255" i="5"/>
  <c r="BA264" i="5"/>
  <c r="BA286" i="5"/>
  <c r="Y228" i="4"/>
  <c r="Y49" i="4"/>
  <c r="Y273" i="4"/>
  <c r="Y274" i="4"/>
  <c r="X2" i="12"/>
  <c r="S2" i="12"/>
  <c r="T2" i="12"/>
  <c r="X298" i="4"/>
  <c r="X299" i="4"/>
  <c r="X141" i="4"/>
  <c r="X237" i="4"/>
  <c r="X36" i="4"/>
  <c r="X163" i="4"/>
  <c r="X110" i="4"/>
  <c r="X46" i="4"/>
  <c r="X111" i="4"/>
  <c r="X103" i="4"/>
  <c r="X108" i="4"/>
  <c r="W2" i="12"/>
  <c r="Z228" i="4"/>
  <c r="Z49" i="4"/>
  <c r="Z273" i="4"/>
  <c r="Z274" i="4"/>
  <c r="Y2" i="12"/>
  <c r="AM25" i="2"/>
</calcChain>
</file>

<file path=xl/comments1.xml><?xml version="1.0" encoding="utf-8"?>
<comments xmlns="http://schemas.openxmlformats.org/spreadsheetml/2006/main">
  <authors>
    <author>Gaspar Pandy</author>
  </authors>
  <commentList>
    <comment ref="AN61" authorId="0">
      <text>
        <r>
          <rPr>
            <b/>
            <sz val="10"/>
            <color indexed="81"/>
            <rFont val="Calibri"/>
          </rPr>
          <t>Gaspar Pandy:</t>
        </r>
        <r>
          <rPr>
            <sz val="10"/>
            <color indexed="81"/>
            <rFont val="Calibri"/>
          </rPr>
          <t xml:space="preserve">
4e-5b check reduced to 1</t>
        </r>
      </text>
    </comment>
    <comment ref="AN176" authorId="0">
      <text>
        <r>
          <rPr>
            <b/>
            <sz val="10"/>
            <color indexed="81"/>
            <rFont val="Calibri"/>
          </rPr>
          <t>Gaspar Pandy:</t>
        </r>
        <r>
          <rPr>
            <sz val="10"/>
            <color indexed="81"/>
            <rFont val="Calibri"/>
          </rPr>
          <t xml:space="preserve">
4e-5b check reduced to 1</t>
        </r>
      </text>
    </comment>
    <comment ref="AN189" authorId="0">
      <text>
        <r>
          <rPr>
            <b/>
            <sz val="10"/>
            <color indexed="81"/>
            <rFont val="Calibri"/>
          </rPr>
          <t>Gaspar Pandy:</t>
        </r>
        <r>
          <rPr>
            <sz val="10"/>
            <color indexed="81"/>
            <rFont val="Calibri"/>
          </rPr>
          <t xml:space="preserve">
4e-5b check reduced to 1</t>
        </r>
      </text>
    </comment>
  </commentList>
</comments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10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7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8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0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1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2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<sst xmlns="http://schemas.openxmlformats.org/spreadsheetml/2006/main" count="17475" uniqueCount="1696">
  <si>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</si>
  <si>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</si>
  <si>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</si>
  <si>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</si>
  <si>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</si>
  <si>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</si>
  <si>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</si>
  <si>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</si>
  <si>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</si>
  <si>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</si>
  <si>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</si>
  <si>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</si>
  <si>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</si>
  <si>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</si>
  <si>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</si>
  <si>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</si>
  <si>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</si>
  <si>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</si>
  <si>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</si>
  <si>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</si>
  <si>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</si>
  <si>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</si>
  <si>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</si>
  <si>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</si>
  <si>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</si>
  <si>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</si>
  <si>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</si>
  <si>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</si>
  <si>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</si>
  <si>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</si>
  <si>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</si>
  <si>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</si>
  <si>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</si>
  <si>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</si>
  <si>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</si>
  <si>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</si>
  <si>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</si>
  <si>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</si>
  <si>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</si>
  <si>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</si>
  <si>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</si>
  <si>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</si>
  <si>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</si>
  <si>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</si>
  <si>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</si>
  <si>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</si>
  <si>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</si>
  <si>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</si>
  <si>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</si>
  <si>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</si>
  <si>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</si>
  <si>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</si>
  <si>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</si>
  <si>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</si>
  <si>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</si>
  <si>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</si>
  <si>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</si>
  <si>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</si>
  <si>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</si>
  <si>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</si>
  <si>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</si>
  <si>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</si>
  <si>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</si>
  <si>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</si>
  <si>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</si>
  <si>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</si>
  <si>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</si>
  <si>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</si>
  <si>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</si>
  <si>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</si>
  <si>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</si>
  <si>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</si>
  <si>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</si>
  <si>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</si>
  <si>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</si>
  <si>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</si>
  <si>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</si>
  <si>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</si>
  <si>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</si>
  <si>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</si>
  <si>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</si>
  <si>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</si>
  <si>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</si>
  <si>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</si>
  <si>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</si>
  <si>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</si>
  <si>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</si>
  <si>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</si>
  <si>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</si>
  <si>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</si>
  <si>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</si>
  <si>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</si>
  <si>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</si>
  <si>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</si>
  <si>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</si>
  <si>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</si>
  <si>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</si>
  <si>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</si>
  <si>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</si>
  <si>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</si>
  <si>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</si>
  <si>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</si>
  <si>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</si>
  <si>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</si>
  <si>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</si>
  <si>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</si>
  <si>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</si>
  <si>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</si>
  <si>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</si>
  <si>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</si>
  <si>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</si>
  <si>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</si>
  <si>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</si>
  <si>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</si>
  <si>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</si>
  <si>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</si>
  <si>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</si>
  <si>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</si>
  <si>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</si>
  <si>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</si>
  <si>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</si>
  <si>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</si>
  <si>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</si>
  <si>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</si>
  <si>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</si>
  <si>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</si>
  <si>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</si>
  <si>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</si>
  <si>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</si>
  <si>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</si>
  <si>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</si>
  <si>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</si>
  <si>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</si>
  <si>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</si>
  <si>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</si>
  <si>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</si>
  <si>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</si>
  <si>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</si>
  <si>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</si>
  <si>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</si>
  <si>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</si>
  <si>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</si>
  <si>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</si>
  <si>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</si>
  <si>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</si>
  <si>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</si>
  <si>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</si>
  <si>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</si>
  <si>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</si>
  <si>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</si>
  <si>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</si>
  <si>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</si>
  <si>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</si>
  <si>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</si>
  <si>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</si>
  <si>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</si>
  <si>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</si>
  <si>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</si>
  <si>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</si>
  <si>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</si>
  <si>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</si>
  <si>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</si>
  <si>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</si>
  <si>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</si>
  <si>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</si>
  <si>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</si>
  <si>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</si>
  <si>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</si>
  <si>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</si>
  <si>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</si>
  <si>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</si>
  <si>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</si>
  <si>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</si>
  <si>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</si>
  <si>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</si>
  <si>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</si>
  <si>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</si>
  <si>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</si>
  <si>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</si>
  <si>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</si>
  <si>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</si>
  <si>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</si>
  <si>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</si>
  <si>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</si>
  <si>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</si>
  <si>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</si>
  <si>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</si>
  <si>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</si>
  <si>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</si>
  <si>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</si>
  <si>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</si>
  <si>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</si>
  <si>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</si>
  <si>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</si>
  <si>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</si>
  <si>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</si>
  <si>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</si>
  <si>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</si>
  <si>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</si>
  <si>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</si>
  <si>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</si>
  <si>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</si>
  <si>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</si>
  <si>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</si>
  <si>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</si>
  <si>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</si>
  <si>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</si>
  <si>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</si>
  <si>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</si>
  <si>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</si>
  <si>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</si>
  <si>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</si>
  <si>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</si>
  <si>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</si>
  <si>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</si>
  <si>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</si>
  <si>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</si>
  <si>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</si>
  <si>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</si>
  <si>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</si>
  <si>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</si>
  <si>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</si>
  <si>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</si>
  <si>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</si>
  <si>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</si>
  <si>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</si>
  <si>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</si>
  <si>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</si>
  <si>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</si>
  <si>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</si>
  <si>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</si>
  <si>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</si>
  <si>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</si>
  <si>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</si>
  <si>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</si>
  <si>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</si>
  <si>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</si>
  <si>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</si>
  <si>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</si>
  <si>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</si>
  <si>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</si>
  <si>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</si>
  <si>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</si>
  <si>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</si>
  <si>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</si>
  <si>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</si>
  <si>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</si>
  <si>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</si>
  <si>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</si>
  <si>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</si>
  <si>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</si>
  <si>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</si>
  <si>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</si>
  <si>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</si>
  <si>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</si>
  <si>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</si>
  <si>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</si>
  <si>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</si>
  <si>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</si>
  <si>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</si>
  <si>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</si>
  <si>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</si>
  <si>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</si>
  <si>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</si>
  <si>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</si>
  <si>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</si>
  <si>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</si>
  <si>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</si>
  <si>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</si>
  <si>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</si>
  <si>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</si>
  <si>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</si>
  <si>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</si>
  <si>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</si>
  <si>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</si>
  <si>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</si>
  <si>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</si>
  <si>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</si>
  <si>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</si>
  <si>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</si>
  <si>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</si>
  <si>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</si>
  <si>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</si>
  <si>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</si>
  <si>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</si>
  <si>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</si>
  <si>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</si>
  <si>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</si>
  <si>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</si>
  <si>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</si>
  <si>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</si>
  <si>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</si>
  <si>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</si>
  <si>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</si>
  <si>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</si>
  <si>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</si>
  <si>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</si>
  <si>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</si>
  <si>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</si>
  <si>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</si>
  <si>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</si>
  <si>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</si>
  <si>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</si>
  <si>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</si>
  <si>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</si>
  <si>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</si>
  <si>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</si>
  <si>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</si>
  <si>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</si>
  <si>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</si>
  <si>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</si>
  <si>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</si>
  <si>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</si>
  <si>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</si>
  <si>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</si>
  <si>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</si>
  <si>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</si>
  <si>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</si>
  <si>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</si>
  <si>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</si>
  <si>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</si>
  <si>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</si>
  <si>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</si>
  <si>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</si>
  <si>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</si>
  <si>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</si>
  <si>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</si>
  <si>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</si>
  <si>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</si>
  <si>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</si>
  <si>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</si>
  <si>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</si>
  <si>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</si>
  <si>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</si>
  <si>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</si>
  <si>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</si>
  <si>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</si>
  <si>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</si>
  <si>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</si>
  <si>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</si>
  <si>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</si>
  <si>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</si>
  <si>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</si>
  <si>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</si>
  <si>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</si>
  <si>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</si>
  <si>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</si>
  <si>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</si>
  <si>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</si>
  <si>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</si>
  <si>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</si>
  <si>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</si>
  <si>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</si>
  <si>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</si>
  <si>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</si>
  <si>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</si>
  <si>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</si>
  <si>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</si>
  <si>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</si>
  <si>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</si>
  <si>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</si>
  <si>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</si>
  <si>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</si>
  <si>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</si>
  <si>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</si>
  <si>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</si>
  <si>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</si>
  <si>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</si>
  <si>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</si>
  <si>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</si>
  <si>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</si>
  <si>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</si>
  <si>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</si>
  <si>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</si>
  <si>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</si>
  <si>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</si>
  <si>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</si>
  <si>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</si>
  <si>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</si>
  <si>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</si>
  <si>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</si>
  <si>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</si>
  <si>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</si>
  <si>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</si>
  <si>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</si>
  <si>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</si>
  <si>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</si>
  <si>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</si>
  <si>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</si>
  <si>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</si>
  <si>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</si>
  <si>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</si>
  <si>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</si>
  <si>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</si>
  <si>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</si>
  <si>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</si>
  <si>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</si>
  <si>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</si>
  <si>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</si>
  <si>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</si>
  <si>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</si>
  <si>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</si>
  <si>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</si>
  <si>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</si>
  <si>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</si>
  <si>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</si>
  <si>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</si>
  <si>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</si>
  <si>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</si>
  <si>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</si>
  <si>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</si>
  <si>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</si>
  <si>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</si>
  <si>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bai2_human</t>
  </si>
  <si>
    <t>bai3_human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</si>
  <si>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</si>
  <si>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</si>
  <si>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</si>
  <si>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</si>
  <si>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</si>
  <si>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</si>
  <si>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</si>
  <si>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</si>
  <si>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</si>
  <si>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</si>
  <si>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</si>
  <si>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</si>
  <si>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</si>
  <si>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</si>
  <si>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</si>
  <si>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</si>
  <si>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</si>
  <si>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</si>
  <si>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</si>
  <si>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</si>
  <si>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</si>
  <si>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</si>
  <si>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</si>
  <si>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</si>
  <si>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</si>
  <si>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</si>
  <si>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</si>
  <si>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</si>
  <si>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</si>
  <si>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</si>
  <si>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</si>
  <si>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</si>
  <si>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</si>
  <si>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</si>
  <si>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</si>
  <si>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</si>
  <si>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</si>
  <si>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</si>
  <si>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</si>
  <si>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</si>
  <si>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</si>
  <si>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</si>
  <si>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</si>
  <si>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</si>
  <si>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</si>
  <si>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</si>
  <si>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</si>
  <si>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</si>
  <si>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</si>
  <si>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</si>
  <si>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</si>
  <si>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</si>
  <si>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</si>
  <si>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</si>
  <si>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</si>
  <si>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</si>
  <si>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</si>
  <si>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</si>
  <si>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</si>
  <si>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</si>
  <si>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</si>
  <si>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</si>
  <si>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</si>
  <si>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</si>
  <si>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</si>
  <si>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</si>
  <si>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</si>
  <si>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</si>
  <si>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</si>
  <si>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</si>
  <si>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</si>
  <si>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</si>
  <si>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</si>
  <si>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</si>
  <si>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</si>
  <si>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</si>
  <si>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</si>
  <si>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</si>
  <si>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</si>
  <si>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</si>
  <si>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</si>
  <si>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</si>
  <si>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</si>
  <si>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</si>
  <si>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</si>
  <si>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</si>
  <si>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</si>
  <si>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</si>
  <si>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</si>
  <si>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</si>
  <si>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</si>
  <si>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</si>
  <si>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</si>
  <si>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</si>
  <si>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</si>
  <si>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</si>
  <si>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</si>
  <si>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</si>
  <si>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</si>
  <si>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</si>
  <si>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</si>
  <si>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</si>
  <si>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</si>
  <si>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</si>
  <si>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</si>
  <si>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</si>
  <si>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</si>
  <si>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</si>
  <si>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</si>
  <si>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</si>
  <si>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</si>
  <si>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</si>
  <si>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</si>
  <si>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</si>
  <si>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</si>
  <si>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</si>
  <si>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</si>
  <si>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</si>
  <si>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</si>
  <si>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</si>
  <si>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</si>
  <si>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</si>
  <si>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</si>
  <si>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</si>
  <si>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</si>
  <si>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</si>
  <si>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</si>
  <si>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</si>
  <si>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</si>
  <si>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</si>
  <si>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</si>
  <si>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</si>
  <si>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</si>
  <si>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</si>
  <si>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</si>
  <si>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</si>
  <si>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</si>
  <si>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</si>
  <si>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</si>
  <si>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</si>
  <si>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</si>
  <si>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</si>
  <si>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</si>
  <si>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</si>
  <si>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</si>
  <si>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</si>
  <si>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</si>
  <si>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</si>
  <si>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</si>
  <si>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</si>
  <si>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</si>
  <si>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</si>
  <si>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</si>
  <si>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</si>
  <si>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</si>
  <si>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</si>
  <si>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</si>
  <si>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</si>
  <si>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</si>
  <si>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</si>
  <si>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</si>
  <si>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</si>
  <si>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</si>
  <si>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</si>
  <si>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</si>
  <si>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</si>
  <si>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</si>
  <si>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</si>
  <si>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</si>
  <si>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</si>
  <si>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</si>
  <si>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</si>
  <si>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</si>
  <si>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</si>
  <si>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</si>
  <si>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</si>
  <si>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</si>
  <si>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</si>
  <si>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</si>
  <si>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</si>
  <si>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</si>
  <si>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</si>
  <si>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</si>
  <si>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</si>
  <si>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</si>
  <si>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</si>
  <si>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</si>
  <si>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</si>
  <si>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</si>
  <si>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</si>
  <si>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</si>
  <si>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</si>
  <si>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</si>
  <si>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</si>
  <si>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</si>
  <si>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</si>
  <si>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</si>
  <si>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</si>
  <si>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</si>
  <si>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</si>
  <si>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</si>
  <si>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</si>
  <si>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</si>
  <si>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</si>
  <si>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</si>
  <si>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</si>
  <si>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</si>
  <si>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</si>
  <si>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</si>
  <si>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</si>
  <si>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</si>
  <si>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</si>
  <si>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</si>
  <si>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</si>
  <si>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</si>
  <si>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</si>
  <si>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</si>
  <si>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</si>
  <si>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</si>
  <si>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</si>
  <si>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</si>
  <si>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</si>
  <si>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</si>
  <si>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</si>
  <si>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</si>
  <si>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</si>
  <si>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</si>
  <si>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</si>
  <si>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</si>
  <si>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</si>
  <si>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</si>
  <si>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</si>
  <si>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</si>
  <si>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</si>
  <si>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</si>
  <si>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</si>
  <si>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</si>
  <si>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</si>
  <si>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</si>
  <si>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</si>
  <si>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</si>
  <si>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</si>
  <si>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</si>
  <si>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</si>
  <si>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</si>
  <si>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</si>
  <si>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</si>
  <si>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</si>
  <si>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</si>
  <si>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</si>
  <si>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</si>
  <si>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</si>
  <si>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</si>
  <si>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</si>
  <si>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</si>
  <si>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</si>
  <si>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</si>
  <si>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</si>
  <si>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</si>
  <si>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</si>
  <si>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</si>
  <si>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</si>
  <si>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</si>
  <si>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</si>
  <si>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</si>
  <si>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</si>
  <si>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</si>
  <si>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</si>
  <si>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</si>
  <si>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</si>
  <si>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</si>
  <si>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</si>
  <si>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</si>
  <si>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</si>
  <si>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</si>
  <si>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</si>
  <si>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</si>
  <si>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</si>
  <si>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</si>
  <si>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</si>
  <si>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</si>
  <si>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</si>
  <si>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</si>
  <si>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</si>
  <si>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</si>
  <si>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</si>
  <si>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</si>
  <si>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</si>
  <si>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</si>
  <si>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</si>
  <si>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</si>
  <si>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</si>
  <si>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</si>
  <si>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</si>
  <si>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</si>
  <si>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</si>
  <si>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</si>
  <si>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</si>
  <si>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</si>
  <si>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</si>
  <si>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</si>
  <si>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</si>
  <si>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</si>
  <si>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</si>
  <si>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</si>
  <si>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</si>
  <si>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</si>
  <si>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</si>
  <si>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</si>
  <si>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</si>
  <si>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</si>
  <si>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</si>
  <si>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</si>
  <si>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</si>
  <si>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</si>
  <si>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</si>
  <si>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</si>
  <si>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</si>
  <si>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</si>
  <si>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</si>
  <si>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</si>
  <si>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</si>
  <si>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</si>
  <si>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</si>
  <si>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</si>
  <si>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</si>
  <si>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</si>
  <si>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</si>
  <si>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</si>
  <si>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</si>
  <si>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</si>
  <si>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</si>
  <si>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</si>
  <si>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</si>
  <si>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</si>
  <si>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</si>
  <si>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</si>
  <si>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</si>
  <si>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</si>
  <si>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</si>
  <si>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</si>
  <si>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</si>
  <si>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</si>
  <si>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</si>
  <si>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</si>
  <si>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</si>
  <si>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</si>
  <si>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</si>
  <si>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</si>
  <si>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</si>
  <si>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</si>
  <si>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</si>
  <si>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</si>
  <si>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</si>
  <si>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</si>
  <si>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</si>
  <si>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</si>
  <si>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</si>
  <si>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</si>
  <si>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</si>
  <si>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</si>
  <si>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</si>
  <si>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</si>
  <si>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</si>
  <si>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</si>
  <si>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</si>
  <si>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</si>
  <si>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</si>
  <si>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</si>
  <si>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</si>
  <si>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</si>
  <si>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</si>
  <si>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</si>
  <si>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</si>
  <si>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</si>
  <si>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</si>
  <si>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</si>
  <si>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</si>
  <si>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</si>
  <si>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</si>
  <si>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</si>
  <si>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</si>
  <si>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</si>
  <si>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</si>
  <si>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</si>
  <si>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</si>
  <si>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</si>
  <si>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</si>
  <si>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</si>
  <si>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</si>
  <si>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</si>
  <si>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</si>
  <si>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</si>
  <si>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</si>
  <si>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</si>
  <si>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</si>
  <si>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</si>
  <si>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</si>
  <si>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</si>
  <si>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</si>
  <si>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</si>
  <si>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</si>
  <si>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</si>
  <si>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</si>
  <si>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</si>
  <si>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</si>
  <si>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</si>
  <si>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</si>
  <si>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</si>
  <si>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</si>
  <si>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</si>
  <si>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</si>
  <si>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</si>
  <si>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</si>
  <si>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</si>
  <si>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</si>
  <si>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</si>
  <si>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</si>
  <si>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</si>
  <si>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</si>
  <si>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</si>
  <si>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</si>
  <si>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</si>
  <si>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</si>
  <si>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</si>
  <si>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</si>
  <si>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</si>
  <si>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</si>
  <si>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</si>
  <si>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</si>
  <si>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</si>
  <si>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</si>
  <si>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</si>
  <si>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</si>
  <si>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</si>
  <si>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</si>
  <si>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</si>
  <si>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</si>
  <si>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</si>
  <si>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</si>
  <si>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</si>
  <si>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</si>
  <si>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</si>
  <si>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</si>
  <si>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</si>
  <si>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</si>
  <si>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</si>
  <si>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</si>
  <si>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</si>
  <si>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</si>
  <si>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</si>
  <si>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</si>
  <si>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</si>
  <si>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</si>
  <si>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</si>
  <si>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</si>
  <si>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</si>
  <si>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</si>
  <si>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</si>
  <si>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</si>
  <si>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</si>
  <si>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</si>
  <si>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</si>
  <si>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</si>
  <si>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</si>
  <si>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</si>
  <si>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</si>
  <si>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</si>
  <si>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</si>
  <si>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</si>
  <si>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</si>
  <si>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</si>
  <si>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</si>
  <si>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</si>
  <si>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</si>
  <si>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</si>
  <si>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</si>
  <si>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</si>
  <si>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</si>
  <si>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</si>
  <si>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</si>
  <si>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</si>
  <si>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</si>
  <si>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</si>
  <si>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</si>
  <si>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</si>
  <si>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</si>
  <si>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</si>
  <si>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</si>
  <si>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</si>
  <si>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</si>
  <si>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</si>
  <si>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</si>
  <si>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</si>
  <si>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</si>
  <si>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</si>
  <si>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</si>
  <si>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</si>
  <si>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</si>
  <si>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</si>
  <si>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</si>
  <si>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</si>
  <si>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</si>
  <si>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</si>
  <si>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</si>
  <si>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</si>
  <si>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</si>
  <si>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</si>
  <si>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</si>
  <si>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</si>
  <si>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</si>
  <si>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</si>
  <si>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</si>
  <si>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</si>
  <si>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</si>
  <si>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</si>
  <si>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</si>
  <si>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</si>
  <si>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</si>
  <si>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</si>
  <si>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</si>
  <si>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</si>
  <si>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</si>
  <si>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</si>
  <si>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</si>
  <si>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</si>
  <si>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</si>
  <si>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</si>
  <si>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</si>
  <si>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</si>
  <si>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</si>
  <si>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</si>
  <si>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</si>
  <si>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</si>
  <si>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</si>
  <si>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</si>
  <si>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</si>
  <si>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</si>
  <si>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</si>
  <si>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</si>
  <si>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</si>
  <si>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</si>
  <si>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</si>
  <si>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</si>
  <si>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</si>
  <si>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</si>
  <si>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</si>
  <si>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</si>
  <si>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</si>
  <si>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</si>
  <si>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</si>
  <si>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</si>
  <si>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</si>
  <si>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</si>
  <si>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</si>
  <si>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</si>
  <si>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</si>
  <si>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</si>
  <si>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</si>
  <si>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</si>
  <si>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</si>
  <si>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</si>
  <si>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</si>
  <si>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</si>
  <si>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</si>
  <si>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</si>
  <si>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</si>
  <si>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</si>
  <si>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</si>
  <si>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</si>
  <si>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</si>
  <si>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</si>
  <si>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</si>
  <si>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</si>
  <si>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</si>
  <si>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</si>
  <si>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</si>
  <si>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</si>
  <si>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</si>
  <si>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</si>
  <si>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</si>
  <si>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</si>
  <si>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</si>
  <si>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</si>
  <si>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</si>
  <si>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</si>
  <si>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</si>
  <si>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</si>
  <si>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</si>
  <si>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</si>
  <si>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</si>
  <si>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</si>
  <si>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</si>
  <si>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</si>
  <si>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</si>
  <si>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</si>
  <si>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</si>
  <si>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</si>
  <si>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</si>
  <si>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</si>
  <si>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</si>
  <si>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</si>
  <si>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</si>
  <si>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</si>
  <si>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</si>
  <si>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</si>
  <si>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</si>
  <si>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</si>
  <si>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</si>
  <si>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</si>
  <si>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</si>
  <si>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</si>
  <si>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</si>
  <si>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</si>
  <si>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</si>
  <si>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</si>
  <si>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</si>
  <si>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</si>
  <si>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</si>
  <si>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</si>
  <si>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</si>
  <si>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</si>
  <si>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</si>
  <si>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</si>
  <si>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</si>
  <si>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</si>
  <si>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</si>
  <si>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</si>
  <si>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</si>
  <si>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</si>
  <si>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</si>
  <si>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</si>
  <si>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</si>
  <si>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</si>
  <si>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</si>
  <si>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</si>
  <si>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</si>
  <si>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</si>
  <si>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</si>
  <si>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</si>
  <si>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</si>
  <si>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</si>
  <si>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</si>
  <si>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</si>
  <si>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</si>
  <si>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</si>
  <si>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</si>
  <si>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</si>
  <si>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</si>
  <si>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</si>
  <si>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</si>
  <si>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</si>
  <si>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</si>
  <si>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</si>
  <si>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</si>
  <si>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</si>
  <si>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</si>
  <si>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</si>
  <si>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</si>
  <si>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</si>
  <si>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</si>
  <si>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</si>
  <si>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</si>
  <si>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</si>
  <si>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</si>
  <si>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</si>
  <si>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</si>
  <si>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</si>
  <si>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</si>
  <si>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</si>
  <si>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</si>
  <si>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</si>
  <si>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</si>
  <si>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</si>
  <si>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</si>
  <si>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</si>
  <si>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</si>
  <si>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</si>
  <si>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</si>
  <si>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</si>
  <si>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</si>
  <si>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</si>
  <si>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</si>
  <si>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</si>
  <si>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</si>
  <si>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</si>
  <si>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</si>
  <si>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</si>
  <si>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</si>
  <si>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</si>
  <si>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</si>
  <si>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</si>
  <si>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</si>
  <si>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</si>
  <si>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</si>
  <si>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</si>
  <si>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</si>
  <si>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</si>
  <si>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</si>
  <si>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</si>
  <si>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</si>
  <si>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</si>
  <si>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</si>
  <si>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</si>
  <si>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</si>
  <si>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</si>
  <si>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</si>
  <si>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</si>
  <si>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</si>
  <si>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</si>
  <si>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</si>
  <si>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</si>
  <si>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</si>
  <si>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</si>
  <si>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</si>
  <si>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</si>
  <si>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</si>
  <si>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</si>
  <si>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</si>
  <si>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</si>
  <si>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</si>
  <si>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</si>
  <si>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</si>
  <si>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</si>
  <si>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</si>
  <si>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</si>
  <si>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</si>
  <si>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</si>
  <si>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</si>
  <si>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</si>
  <si>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</si>
  <si>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</si>
  <si>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</si>
  <si>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</si>
  <si>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</si>
  <si>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</si>
  <si>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</si>
  <si>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</si>
  <si>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</si>
  <si>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</si>
  <si>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</si>
  <si>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</si>
  <si>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</si>
  <si>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</si>
  <si>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</si>
  <si>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</si>
  <si>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</si>
  <si>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</si>
  <si>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</si>
  <si>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</si>
  <si>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</si>
  <si>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</si>
  <si>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</si>
  <si>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</si>
  <si>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</si>
  <si>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</si>
  <si>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</si>
  <si>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</si>
  <si>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</si>
  <si>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</si>
  <si>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</si>
  <si>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</si>
  <si>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</si>
  <si>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</si>
  <si>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</si>
  <si>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</si>
  <si>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</si>
  <si>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</si>
  <si>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</si>
  <si>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</si>
  <si>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</si>
  <si>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</si>
  <si>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</si>
  <si>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</si>
  <si>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</si>
  <si>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</si>
  <si>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</si>
  <si>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</si>
  <si>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</si>
  <si>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</si>
  <si>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</si>
  <si>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</si>
  <si>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</si>
  <si>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</si>
  <si>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</si>
  <si>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</si>
  <si>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</si>
  <si>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</si>
  <si>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</si>
  <si>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</si>
  <si>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</si>
  <si>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</si>
  <si>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</si>
  <si>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</si>
  <si>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</si>
  <si>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</si>
  <si>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</si>
  <si>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</si>
  <si>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</si>
  <si>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</si>
  <si>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</si>
  <si>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</si>
  <si>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</si>
  <si>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</si>
  <si>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</si>
  <si>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</si>
  <si>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</si>
  <si>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</si>
  <si>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</si>
  <si>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</si>
  <si>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</si>
  <si>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</si>
  <si>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</si>
  <si>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</si>
  <si>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</si>
  <si>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</si>
  <si>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</si>
  <si>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</si>
  <si>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</si>
  <si>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</si>
  <si>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</si>
  <si>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</si>
  <si>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</si>
  <si>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</si>
  <si>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</si>
  <si>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</si>
  <si>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</si>
  <si>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</si>
  <si>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</si>
  <si>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</si>
  <si>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</si>
  <si>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</si>
  <si>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</si>
  <si>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</si>
  <si>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</si>
  <si>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</si>
  <si>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</si>
  <si>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</si>
  <si>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</si>
  <si>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</si>
  <si>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</si>
  <si>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</si>
  <si>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</si>
  <si>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</si>
  <si>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</si>
  <si>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</si>
  <si>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</si>
  <si>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</si>
  <si>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</si>
  <si>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</si>
  <si>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</si>
  <si>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</si>
  <si>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</si>
  <si>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</si>
  <si>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</si>
  <si>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</si>
  <si>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</si>
  <si>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</si>
  <si>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</si>
  <si>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</si>
  <si>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</si>
  <si>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</si>
  <si>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</si>
  <si>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</si>
  <si>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</si>
  <si>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</si>
  <si>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</si>
  <si>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</si>
  <si>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</si>
  <si>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</si>
  <si>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</si>
  <si>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</si>
  <si>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</si>
  <si>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</si>
  <si>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</si>
  <si>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</si>
  <si>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</si>
  <si>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</si>
  <si>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</si>
  <si>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</si>
  <si>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</si>
  <si>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</si>
  <si>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</si>
  <si>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</si>
  <si>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</si>
  <si>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</si>
  <si>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</si>
  <si>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</si>
  <si>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</si>
  <si>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</si>
  <si>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</si>
  <si>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</si>
  <si>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</si>
  <si>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</si>
  <si>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</si>
  <si>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</si>
  <si>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</si>
  <si>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</si>
  <si>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</si>
  <si>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</si>
  <si>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</si>
  <si>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</si>
  <si>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</si>
  <si>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</si>
  <si>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</si>
  <si>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</si>
  <si>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</si>
  <si>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</si>
  <si>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</si>
  <si>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</si>
  <si>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</si>
  <si>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</si>
  <si>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</si>
  <si>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</si>
  <si>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</si>
  <si>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</si>
  <si>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</si>
  <si>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</si>
  <si>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</si>
  <si>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</si>
  <si>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</si>
  <si>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</si>
  <si>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</si>
  <si>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</si>
  <si>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</si>
  <si>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</si>
  <si>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</si>
  <si>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</si>
  <si>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</si>
  <si>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</si>
  <si>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</si>
  <si>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</si>
  <si>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</si>
  <si>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</si>
  <si>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</si>
  <si>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</si>
  <si>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</si>
  <si>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</si>
  <si>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</si>
  <si>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</si>
  <si>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</si>
  <si>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</si>
  <si>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</si>
  <si>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</si>
  <si>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</si>
  <si>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</si>
  <si>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</si>
  <si>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</si>
  <si>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</si>
  <si>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</si>
  <si>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</si>
  <si>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</si>
  <si>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</si>
  <si>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</si>
  <si>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</si>
  <si>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</si>
  <si>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</si>
  <si>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</si>
  <si>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</si>
  <si>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</si>
  <si>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</si>
  <si>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</si>
  <si>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</si>
  <si>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</si>
  <si>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</si>
  <si>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</si>
  <si>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</si>
  <si>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</si>
  <si>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</si>
  <si>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</si>
  <si>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</si>
  <si>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</si>
  <si>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</si>
  <si>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</si>
  <si>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</si>
  <si>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</si>
  <si>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</si>
  <si>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</si>
  <si>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</si>
  <si>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</si>
  <si>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</si>
  <si>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</si>
  <si>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</si>
  <si>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</si>
  <si>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</si>
  <si>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</si>
  <si>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</si>
  <si>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</si>
  <si>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</si>
  <si>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</si>
  <si>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</si>
  <si>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</si>
  <si>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</si>
  <si>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</si>
  <si>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</si>
  <si>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</si>
  <si>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</si>
  <si>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</si>
  <si>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</si>
  <si>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</si>
  <si>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</si>
  <si>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</si>
  <si>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</si>
  <si>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</si>
  <si>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</si>
  <si>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</si>
  <si>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</si>
  <si>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</si>
  <si>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</si>
  <si>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</si>
  <si>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</si>
  <si>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</si>
  <si>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</si>
  <si>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</si>
  <si>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</si>
  <si>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</si>
  <si>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</si>
  <si>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</si>
  <si>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</si>
  <si>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</si>
  <si>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</si>
  <si>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</si>
  <si>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</si>
  <si>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</si>
  <si>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</si>
  <si>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</si>
  <si>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</si>
  <si>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</si>
  <si>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</si>
  <si>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</si>
  <si>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</si>
  <si>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</si>
  <si>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</si>
  <si>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</si>
  <si>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</si>
  <si>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</si>
  <si>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</si>
  <si>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</si>
  <si>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</si>
  <si>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</si>
  <si>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</si>
  <si>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</si>
  <si>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</si>
  <si>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</si>
  <si>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</si>
  <si>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</si>
  <si>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</si>
  <si>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</si>
  <si>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</si>
  <si>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</si>
  <si>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</si>
  <si>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</si>
  <si>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</si>
  <si>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</si>
  <si>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</si>
  <si>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</si>
  <si>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</si>
  <si>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</si>
  <si>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</si>
  <si>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</si>
  <si>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</si>
  <si>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</si>
  <si>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</si>
  <si>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</si>
  <si>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</si>
  <si>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</si>
  <si>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</si>
  <si>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</si>
  <si>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</si>
  <si>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</si>
  <si>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</si>
  <si>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</si>
  <si>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</si>
  <si>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</si>
  <si>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</si>
  <si>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</si>
  <si>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</si>
  <si>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</si>
  <si>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</si>
  <si>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</si>
  <si>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</si>
  <si>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</si>
  <si>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</si>
  <si>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</si>
  <si>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</si>
  <si>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</si>
  <si>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</si>
  <si>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</si>
  <si>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</si>
  <si>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</si>
  <si>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</si>
  <si>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</si>
  <si>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</si>
  <si>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</si>
  <si>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</si>
  <si>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</si>
  <si>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</si>
  <si>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</si>
  <si>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</si>
  <si>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</si>
  <si>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</si>
  <si>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</si>
  <si>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</si>
  <si>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</si>
  <si>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</si>
  <si>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</si>
  <si>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</si>
  <si>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</si>
  <si>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</si>
  <si>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</si>
  <si>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</si>
  <si>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</si>
  <si>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</si>
  <si>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</si>
  <si>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</si>
  <si>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</si>
  <si>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</si>
  <si>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</si>
  <si>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</si>
  <si>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</si>
  <si>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</si>
  <si>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</si>
  <si>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</si>
  <si>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</si>
  <si>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</si>
  <si>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</si>
  <si>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</si>
  <si>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</si>
  <si>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</si>
  <si>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</si>
  <si>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</si>
  <si>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</si>
  <si>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</si>
  <si>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</si>
  <si>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</si>
  <si>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</si>
  <si>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</si>
  <si>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</si>
  <si>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</si>
  <si>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</si>
  <si>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</si>
  <si>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</si>
  <si>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</si>
  <si>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</si>
  <si>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</si>
  <si>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</si>
  <si>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</si>
  <si>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</si>
  <si>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</si>
  <si>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</si>
  <si>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</si>
  <si>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</si>
  <si>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</si>
  <si>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</si>
  <si>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</si>
  <si>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</si>
  <si>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</si>
  <si>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</si>
  <si>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</si>
  <si>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</si>
  <si>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</si>
  <si>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</si>
  <si>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</si>
  <si>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</si>
  <si>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</si>
  <si>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</si>
  <si>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</si>
  <si>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</si>
  <si>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</si>
  <si>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</si>
  <si>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</si>
  <si>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</si>
  <si>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</si>
  <si>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</si>
  <si>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</si>
  <si>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</si>
  <si>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</si>
  <si>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</si>
  <si>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</si>
  <si>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</si>
  <si>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</si>
  <si>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</si>
  <si>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</si>
  <si>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</si>
  <si>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</si>
  <si>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</si>
  <si>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</si>
  <si>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</si>
  <si>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</si>
  <si>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</si>
  <si>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</si>
  <si>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</si>
  <si>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</si>
  <si>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</si>
  <si>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</si>
  <si>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</si>
  <si>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</si>
  <si>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</si>
  <si>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</si>
  <si>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</si>
  <si>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</si>
  <si>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</si>
  <si>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</si>
  <si>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</si>
  <si>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</si>
  <si>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</si>
  <si>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</si>
  <si>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</si>
  <si>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</si>
  <si>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</si>
  <si>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</si>
  <si>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</si>
  <si>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</si>
  <si>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</si>
  <si>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</si>
  <si>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</si>
  <si>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</si>
  <si>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</si>
  <si>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</si>
  <si>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</si>
  <si>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</si>
  <si>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</si>
  <si>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</si>
  <si>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</si>
  <si>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</si>
  <si>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</si>
  <si>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</si>
  <si>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</si>
  <si>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</si>
  <si>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</si>
  <si>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</si>
  <si>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</si>
  <si>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</si>
  <si>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</si>
  <si>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</si>
  <si>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</si>
  <si>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</si>
  <si>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</si>
  <si>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</si>
  <si>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</si>
  <si>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</si>
  <si>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</si>
  <si>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</si>
  <si>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</si>
  <si>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</si>
  <si>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</si>
  <si>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</si>
  <si>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</si>
  <si>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</si>
  <si>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</si>
  <si>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</si>
  <si>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</si>
  <si>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</si>
  <si>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</si>
  <si>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</si>
  <si>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</si>
  <si>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</si>
  <si>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</si>
  <si>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</si>
  <si>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6WJC</t>
  </si>
  <si>
    <t>6KUX</t>
  </si>
  <si>
    <t>6KUY</t>
  </si>
  <si>
    <t>6K41</t>
  </si>
  <si>
    <t>6K42</t>
  </si>
  <si>
    <t>6KUW</t>
  </si>
  <si>
    <t>6TKO</t>
  </si>
  <si>
    <t>6VMS</t>
  </si>
  <si>
    <t>6IQL</t>
  </si>
  <si>
    <t>6W25</t>
  </si>
  <si>
    <t>6V9S</t>
  </si>
  <si>
    <t>6WWZ</t>
  </si>
  <si>
    <t>6S0Q</t>
  </si>
  <si>
    <t>6PEL</t>
  </si>
  <si>
    <t>6PGS</t>
  </si>
  <si>
    <t>6PH7</t>
  </si>
  <si>
    <t>drd4_mouse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</si>
  <si>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</si>
  <si>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g37l1_human</t>
  </si>
  <si>
    <t>agrb1_human</t>
  </si>
  <si>
    <t>agre5_human</t>
  </si>
  <si>
    <t>agrv1_human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</si>
</sst>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  <font>
      <sz val="10"/>
      <color indexed="81"/>
      <name val="Calibri"/>
    </font>
    <font>
      <b/>
      <sz val="10"/>
      <color indexed="8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1" fontId="0" fillId="2" borderId="0" xfId="0" applyNumberFormat="1" applyFont="1" applyFill="1" applyBorder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0" fillId="5" borderId="5" xfId="0" applyFill="1" applyBorder="1"/>
    <xf numFmtId="0" fontId="16" fillId="0" borderId="0" xfId="0" applyFont="1" applyFill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25160816"/>
        <c:axId val="-1525158256"/>
      </c:lineChart>
      <c:catAx>
        <c:axId val="-152516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158256"/>
        <c:crosses val="autoZero"/>
        <c:auto val="1"/>
        <c:lblAlgn val="ctr"/>
        <c:lblOffset val="100"/>
        <c:noMultiLvlLbl val="0"/>
      </c:catAx>
      <c:valAx>
        <c:axId val="-152515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1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25117680"/>
        <c:axId val="-1525115120"/>
      </c:lineChart>
      <c:catAx>
        <c:axId val="-152511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115120"/>
        <c:crosses val="autoZero"/>
        <c:auto val="1"/>
        <c:lblAlgn val="ctr"/>
        <c:lblOffset val="100"/>
        <c:noMultiLvlLbl val="0"/>
      </c:catAx>
      <c:valAx>
        <c:axId val="-152511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11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25049920"/>
        <c:axId val="-1525047360"/>
      </c:lineChart>
      <c:catAx>
        <c:axId val="-152504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047360"/>
        <c:crosses val="autoZero"/>
        <c:auto val="1"/>
        <c:lblAlgn val="ctr"/>
        <c:lblOffset val="100"/>
        <c:noMultiLvlLbl val="0"/>
      </c:catAx>
      <c:valAx>
        <c:axId val="-15250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04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2" connectionId="1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0" connectionId="10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8" connectionId="9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3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4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13" connectionId="12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14" connectionId="4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7" connectionId="8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xtal_templates_6" connectionId="7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60"/>
  <sheetViews>
    <sheetView tabSelected="1" zoomScale="110" zoomScaleNormal="110" zoomScalePageLayoutView="110" workbookViewId="0">
      <pane xSplit="3" ySplit="1" topLeftCell="D88" activePane="bottomRight" state="frozenSplit"/>
      <selection pane="topRight" activeCell="D1" sqref="D1"/>
      <selection pane="bottomLeft" activeCell="A2" sqref="A2"/>
      <selection pane="bottomRight" activeCell="AZ102" sqref="AZ102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1072</v>
      </c>
      <c r="B1" s="61" t="s">
        <v>31</v>
      </c>
      <c r="C1" s="61" t="s">
        <v>30</v>
      </c>
      <c r="E1" s="61" t="s">
        <v>1056</v>
      </c>
      <c r="G1" s="61" t="s">
        <v>1057</v>
      </c>
      <c r="I1" s="62" t="s">
        <v>1073</v>
      </c>
      <c r="K1" s="62" t="s">
        <v>1074</v>
      </c>
      <c r="M1" s="61" t="s">
        <v>1058</v>
      </c>
      <c r="O1" s="61" t="s">
        <v>1059</v>
      </c>
      <c r="Q1" s="61" t="s">
        <v>1075</v>
      </c>
      <c r="S1" s="61" t="s">
        <v>1076</v>
      </c>
      <c r="U1" s="61" t="s">
        <v>1060</v>
      </c>
      <c r="W1" s="61" t="s">
        <v>1061</v>
      </c>
      <c r="Y1" s="61" t="s">
        <v>1088</v>
      </c>
      <c r="AA1" s="61" t="s">
        <v>1089</v>
      </c>
      <c r="AC1" s="104" t="s">
        <v>1062</v>
      </c>
      <c r="AE1" s="61" t="s">
        <v>1063</v>
      </c>
      <c r="AG1" s="61" t="s">
        <v>1091</v>
      </c>
      <c r="AI1" s="61" t="s">
        <v>1092</v>
      </c>
      <c r="AK1" s="61" t="s">
        <v>1064</v>
      </c>
      <c r="AM1" s="61" t="s">
        <v>1065</v>
      </c>
      <c r="AO1" s="61" t="s">
        <v>1066</v>
      </c>
      <c r="AQ1" s="61" t="s">
        <v>1067</v>
      </c>
      <c r="AS1" s="61" t="s">
        <v>1068</v>
      </c>
      <c r="AU1" s="61" t="s">
        <v>1069</v>
      </c>
      <c r="AW1" s="61" t="s">
        <v>1070</v>
      </c>
      <c r="AY1" s="61" t="s">
        <v>1071</v>
      </c>
      <c r="AZ1" s="63" t="s">
        <v>99</v>
      </c>
      <c r="BA1" s="64" t="s">
        <v>1376</v>
      </c>
      <c r="BB1" s="64" t="s">
        <v>1198</v>
      </c>
      <c r="BC1" s="61" t="s">
        <v>1163</v>
      </c>
      <c r="BD1" s="64" t="s">
        <v>1095</v>
      </c>
      <c r="BE1" s="61" t="s">
        <v>1369</v>
      </c>
      <c r="BF1" s="117" t="s">
        <v>1422</v>
      </c>
      <c r="BG1" s="76" t="s">
        <v>1377</v>
      </c>
      <c r="BH1" s="76" t="s">
        <v>1378</v>
      </c>
      <c r="BI1" s="61" t="s">
        <v>1103</v>
      </c>
      <c r="BJ1" s="65" t="s">
        <v>1056</v>
      </c>
      <c r="BK1" s="66" t="s">
        <v>1073</v>
      </c>
      <c r="BL1" s="67" t="s">
        <v>1058</v>
      </c>
      <c r="BM1" s="67" t="s">
        <v>1075</v>
      </c>
      <c r="BN1" s="67" t="s">
        <v>1060</v>
      </c>
      <c r="BO1" s="67" t="s">
        <v>1088</v>
      </c>
      <c r="BP1" s="67" t="s">
        <v>1062</v>
      </c>
      <c r="BQ1" s="67" t="s">
        <v>1091</v>
      </c>
      <c r="BR1" s="67" t="s">
        <v>1064</v>
      </c>
      <c r="BS1" s="67" t="s">
        <v>1066</v>
      </c>
      <c r="BT1" s="67" t="s">
        <v>1068</v>
      </c>
      <c r="BU1" s="68" t="s">
        <v>1070</v>
      </c>
      <c r="BV1" s="65" t="s">
        <v>1056</v>
      </c>
      <c r="BW1" s="69" t="s">
        <v>1073</v>
      </c>
      <c r="BX1" s="68" t="s">
        <v>1058</v>
      </c>
      <c r="BY1" s="68" t="s">
        <v>1075</v>
      </c>
      <c r="BZ1" s="68" t="s">
        <v>1060</v>
      </c>
      <c r="CA1" s="68" t="s">
        <v>1088</v>
      </c>
      <c r="CB1" s="68" t="s">
        <v>1062</v>
      </c>
      <c r="CC1" s="68" t="s">
        <v>1091</v>
      </c>
      <c r="CD1" s="68" t="s">
        <v>1064</v>
      </c>
      <c r="CE1" s="68" t="s">
        <v>1066</v>
      </c>
      <c r="CF1" s="68" t="s">
        <v>1068</v>
      </c>
      <c r="CG1" s="68" t="s">
        <v>1070</v>
      </c>
      <c r="CH1" s="65" t="s">
        <v>1057</v>
      </c>
      <c r="CI1" s="69" t="s">
        <v>1074</v>
      </c>
      <c r="CJ1" s="68" t="s">
        <v>1059</v>
      </c>
      <c r="CK1" s="68" t="s">
        <v>1076</v>
      </c>
      <c r="CL1" s="68" t="s">
        <v>1061</v>
      </c>
      <c r="CM1" s="68" t="s">
        <v>1089</v>
      </c>
      <c r="CN1" s="68" t="s">
        <v>1063</v>
      </c>
      <c r="CO1" s="68" t="s">
        <v>1092</v>
      </c>
      <c r="CP1" s="68" t="s">
        <v>1065</v>
      </c>
      <c r="CQ1" s="68" t="s">
        <v>1067</v>
      </c>
      <c r="CR1" s="68" t="s">
        <v>1069</v>
      </c>
      <c r="CS1" s="68" t="s">
        <v>1071</v>
      </c>
      <c r="CT1" s="61" t="s">
        <v>1284</v>
      </c>
    </row>
    <row r="2" spans="1:1029" x14ac:dyDescent="0.2">
      <c r="A2" s="3" t="str">
        <f t="shared" ref="A2:A7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1368</v>
      </c>
      <c r="BH2" s="49" t="s">
        <v>1373</v>
      </c>
      <c r="BI2" s="1"/>
      <c r="BJ2" s="70" t="s">
        <v>1283</v>
      </c>
      <c r="BK2" s="57" t="s">
        <v>1283</v>
      </c>
      <c r="BL2" s="57" t="s">
        <v>1283</v>
      </c>
      <c r="BM2" s="57" t="s">
        <v>1283</v>
      </c>
      <c r="BN2" s="57" t="s">
        <v>1283</v>
      </c>
      <c r="BO2" s="57" t="s">
        <v>1283</v>
      </c>
      <c r="BP2" s="57" t="s">
        <v>1283</v>
      </c>
      <c r="BQ2" s="57" t="s">
        <v>1283</v>
      </c>
      <c r="BR2" s="57" t="s">
        <v>1283</v>
      </c>
      <c r="BS2" s="57" t="s">
        <v>1283</v>
      </c>
      <c r="BT2" s="57" t="s">
        <v>1283</v>
      </c>
      <c r="BU2" s="57" t="s">
        <v>1283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1038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1425</v>
      </c>
      <c r="BE3" s="3" t="s">
        <v>1424</v>
      </c>
      <c r="BF3" s="118">
        <v>2.8</v>
      </c>
      <c r="BG3" s="49" t="s">
        <v>1373</v>
      </c>
      <c r="BH3" s="49" t="s">
        <v>1373</v>
      </c>
      <c r="BI3" s="1"/>
      <c r="BJ3" s="70" t="s">
        <v>1283</v>
      </c>
      <c r="BK3" s="57" t="s">
        <v>1283</v>
      </c>
      <c r="BL3" s="57" t="s">
        <v>1283</v>
      </c>
      <c r="BM3" s="57" t="s">
        <v>1283</v>
      </c>
      <c r="BN3" s="57" t="s">
        <v>1283</v>
      </c>
      <c r="BO3" s="57" t="s">
        <v>1283</v>
      </c>
      <c r="BP3" s="57" t="s">
        <v>1283</v>
      </c>
      <c r="BQ3" s="57" t="s">
        <v>1283</v>
      </c>
      <c r="BR3" s="57" t="s">
        <v>1283</v>
      </c>
      <c r="BS3" s="57" t="s">
        <v>1283</v>
      </c>
      <c r="BT3" s="57" t="s">
        <v>1283</v>
      </c>
      <c r="BU3" s="57" t="s">
        <v>1283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1424</v>
      </c>
      <c r="BF4" s="118">
        <v>2.7</v>
      </c>
      <c r="BG4" s="49" t="s">
        <v>1373</v>
      </c>
      <c r="BH4" s="49" t="s">
        <v>1373</v>
      </c>
      <c r="BI4" s="1"/>
      <c r="BJ4" s="70" t="s">
        <v>1283</v>
      </c>
      <c r="BK4" s="57" t="s">
        <v>1283</v>
      </c>
      <c r="BL4" s="57" t="s">
        <v>1283</v>
      </c>
      <c r="BM4" s="57" t="s">
        <v>1283</v>
      </c>
      <c r="BN4" s="57" t="s">
        <v>1283</v>
      </c>
      <c r="BO4" s="57" t="s">
        <v>1283</v>
      </c>
      <c r="BP4" s="57" t="s">
        <v>1283</v>
      </c>
      <c r="BQ4" s="57" t="s">
        <v>1283</v>
      </c>
      <c r="BR4" s="57" t="s">
        <v>1283</v>
      </c>
      <c r="BS4" s="57" t="s">
        <v>1283</v>
      </c>
      <c r="BT4" s="57" t="s">
        <v>1283</v>
      </c>
      <c r="BU4" s="57" t="s">
        <v>1283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1463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1424</v>
      </c>
      <c r="BF5" s="118">
        <v>3.7</v>
      </c>
      <c r="BG5" s="49" t="s">
        <v>1373</v>
      </c>
      <c r="BH5" s="49" t="s">
        <v>1373</v>
      </c>
      <c r="BI5" s="1"/>
      <c r="BJ5" s="70" t="s">
        <v>1283</v>
      </c>
      <c r="BK5" s="57" t="s">
        <v>1283</v>
      </c>
      <c r="BL5" s="57" t="s">
        <v>1283</v>
      </c>
      <c r="BM5" s="57" t="s">
        <v>1283</v>
      </c>
      <c r="BN5" s="57" t="s">
        <v>1283</v>
      </c>
      <c r="BO5" s="57" t="s">
        <v>1283</v>
      </c>
      <c r="BP5" s="57" t="s">
        <v>1283</v>
      </c>
      <c r="BQ5" s="57" t="s">
        <v>1283</v>
      </c>
      <c r="BR5" s="57" t="s">
        <v>1283</v>
      </c>
      <c r="BS5" s="57" t="s">
        <v>1283</v>
      </c>
      <c r="BT5" s="57" t="s">
        <v>1283</v>
      </c>
      <c r="BU5" s="57" t="s">
        <v>1283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1500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1371</v>
      </c>
      <c r="BE6" s="3" t="s">
        <v>1287</v>
      </c>
      <c r="BF6" s="118">
        <v>3.78</v>
      </c>
      <c r="BG6" s="49" t="s">
        <v>1014</v>
      </c>
      <c r="BH6" s="49" t="s">
        <v>1014</v>
      </c>
      <c r="BI6" s="1"/>
      <c r="BJ6" s="70" t="s">
        <v>1283</v>
      </c>
      <c r="BK6" s="57" t="s">
        <v>1283</v>
      </c>
      <c r="BL6" s="57" t="s">
        <v>1283</v>
      </c>
      <c r="BM6" s="57" t="s">
        <v>1283</v>
      </c>
      <c r="BN6" s="57" t="s">
        <v>1283</v>
      </c>
      <c r="BO6" s="57" t="s">
        <v>1283</v>
      </c>
      <c r="BP6" s="57" t="s">
        <v>1283</v>
      </c>
      <c r="BQ6" s="57" t="s">
        <v>1283</v>
      </c>
      <c r="BR6" s="57" t="s">
        <v>1283</v>
      </c>
      <c r="BS6" s="57" t="s">
        <v>1283</v>
      </c>
      <c r="BT6" s="57" t="s">
        <v>1283</v>
      </c>
      <c r="BU6" s="57" t="s">
        <v>1283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ref="A7:A9" si="28">CONCATENATE(B7,"_",C7)</f>
        <v>5ht2a_human__wt</v>
      </c>
      <c r="B7" s="3" t="s">
        <v>132</v>
      </c>
      <c r="C7" s="3" t="s">
        <v>100</v>
      </c>
      <c r="D7" s="3" t="str">
        <f>IFERROR(MID(VLOOKUP($B7,Seqs!$A:$B,2,0),E7,1),"")</f>
        <v>L</v>
      </c>
      <c r="E7" s="3">
        <v>69</v>
      </c>
      <c r="F7" s="3" t="str">
        <f>IFERROR(MID(VLOOKUP($B7,Seqs!$A:$B,2,0),G7,1),"")</f>
        <v>E</v>
      </c>
      <c r="G7" s="3">
        <v>102</v>
      </c>
      <c r="H7" s="3" t="str">
        <f>IFERROR(MID(VLOOKUP($B7,Seqs!$A:$B,2,0),I7,1),"")</f>
        <v>K</v>
      </c>
      <c r="I7" s="23">
        <v>103</v>
      </c>
      <c r="J7" s="3" t="str">
        <f>IFERROR(MID(VLOOKUP($B7,Seqs!$A:$B,2,0),K7,1),"")</f>
        <v>Q</v>
      </c>
      <c r="K7" s="23">
        <v>106</v>
      </c>
      <c r="L7" s="3" t="str">
        <f>IFERROR(MID(VLOOKUP($B7,Seqs!$A:$B,2,0),M7,1),"")</f>
        <v>N</v>
      </c>
      <c r="M7" s="3">
        <v>107</v>
      </c>
      <c r="N7" s="3" t="str">
        <f>IFERROR(MID(VLOOKUP($B7,Seqs!$A:$B,2,0),O7,1),"")</f>
        <v>G</v>
      </c>
      <c r="O7" s="3">
        <v>138</v>
      </c>
      <c r="P7" s="3" t="str">
        <f>IFERROR(MID(VLOOKUP($B7,Seqs!$A:$B,2,0),Q7,1),"")</f>
        <v>R</v>
      </c>
      <c r="Q7" s="3">
        <v>140</v>
      </c>
      <c r="R7" s="3" t="str">
        <f>IFERROR(MID(VLOOKUP($B7,Seqs!$A:$B,2,0),S7,1),"")</f>
        <v>L</v>
      </c>
      <c r="S7" s="3">
        <v>143</v>
      </c>
      <c r="T7" s="3" t="str">
        <f>IFERROR(MID(VLOOKUP($B7,Seqs!$A:$B,2,0),U7,1),"")</f>
        <v>P</v>
      </c>
      <c r="U7" s="3">
        <v>144</v>
      </c>
      <c r="V7" s="3" t="str">
        <f>IFERROR(MID(VLOOKUP($B7,Seqs!$A:$B,2,0),W7,1),"")</f>
        <v>N</v>
      </c>
      <c r="W7" s="3">
        <v>179</v>
      </c>
      <c r="X7" s="3" t="str">
        <f>IFERROR(MID(VLOOKUP($B7,Seqs!$A:$B,2,0),Y7,1),"")</f>
        <v>P</v>
      </c>
      <c r="Y7" s="3">
        <v>180</v>
      </c>
      <c r="Z7" s="3" t="str">
        <f>IFERROR(MID(VLOOKUP($B7,Seqs!$A:$B,2,0),AA7,1),"")</f>
        <v>N</v>
      </c>
      <c r="AA7" s="3">
        <v>187</v>
      </c>
      <c r="AB7" s="3" t="str">
        <f>IFERROR(MID(VLOOKUP($B7,Seqs!$A:$B,2,0),AC7,1),"")</f>
        <v>S</v>
      </c>
      <c r="AC7" s="3">
        <v>188</v>
      </c>
      <c r="AD7" s="3" t="str">
        <f>IFERROR(MID(VLOOKUP($B7,Seqs!$A:$B,2,0),AE7,1),"")</f>
        <v>D</v>
      </c>
      <c r="AE7" s="3">
        <v>217</v>
      </c>
      <c r="AF7" s="3" t="str">
        <f>IFERROR(MID(VLOOKUP($B7,Seqs!$A:$B,2,0),AG7,1),"")</f>
        <v>C</v>
      </c>
      <c r="AG7" s="3">
        <v>227</v>
      </c>
      <c r="AH7" s="3" t="str">
        <f>IFERROR(MID(VLOOKUP($B7,Seqs!$A:$B,2,0),AI7,1),"")</f>
        <v>L</v>
      </c>
      <c r="AI7" s="3">
        <v>229</v>
      </c>
      <c r="AJ7" s="3" t="str">
        <f>IFERROR(MID(VLOOKUP($B7,Seqs!$A:$B,2,0),AK7,1),"")</f>
        <v>D</v>
      </c>
      <c r="AK7" s="3">
        <v>231</v>
      </c>
      <c r="AL7" s="3" t="str">
        <f>IFERROR(MID(VLOOKUP($B7,Seqs!$A:$B,2,0),AM7,1),"")</f>
        <v>L</v>
      </c>
      <c r="AM7" s="3">
        <v>272</v>
      </c>
      <c r="AN7" s="3" t="str">
        <f>IFERROR(MID(VLOOKUP($B7,Seqs!$A:$B,2,0),AO7,1),"")</f>
        <v>M</v>
      </c>
      <c r="AO7" s="3">
        <v>312</v>
      </c>
      <c r="AP7" s="3" t="str">
        <f>IFERROR(MID(VLOOKUP($B7,Seqs!$A:$B,2,0),AQ7,1),"")</f>
        <v>C</v>
      </c>
      <c r="AQ7" s="3">
        <v>349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C</v>
      </c>
      <c r="AY7" s="3">
        <v>397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23">
        <f t="shared" ref="BC7:BC9" si="30">_xlfn.AGGREGATE(9,6,CH7:CS7)-_xlfn.AGGREGATE(9,6,BV7:CG7)+12</f>
        <v>275</v>
      </c>
      <c r="BD7" s="4" t="s">
        <v>23</v>
      </c>
      <c r="BE7" s="3" t="s">
        <v>23</v>
      </c>
      <c r="BF7" s="118" t="s">
        <v>23</v>
      </c>
      <c r="BG7" s="49" t="s">
        <v>23</v>
      </c>
      <c r="BH7" s="49" t="s">
        <v>23</v>
      </c>
      <c r="BI7" s="1"/>
      <c r="BJ7" s="70" t="s">
        <v>1283</v>
      </c>
      <c r="BK7" s="57" t="s">
        <v>1283</v>
      </c>
      <c r="BL7" s="57" t="s">
        <v>1283</v>
      </c>
      <c r="BM7" s="57" t="s">
        <v>1283</v>
      </c>
      <c r="BN7" s="57" t="s">
        <v>1283</v>
      </c>
      <c r="BO7" s="57" t="s">
        <v>1283</v>
      </c>
      <c r="BP7" s="57" t="s">
        <v>1283</v>
      </c>
      <c r="BQ7" s="57" t="s">
        <v>1283</v>
      </c>
      <c r="BR7" s="57" t="s">
        <v>1283</v>
      </c>
      <c r="BS7" s="57" t="s">
        <v>1283</v>
      </c>
      <c r="BT7" s="57" t="s">
        <v>1283</v>
      </c>
      <c r="BU7" s="57" t="s">
        <v>1283</v>
      </c>
      <c r="BV7" s="70">
        <f t="shared" ref="BV7:BV9" si="31">E7</f>
        <v>69</v>
      </c>
      <c r="BW7" s="71">
        <f t="shared" ref="BW7:BW9" si="32">I7</f>
        <v>103</v>
      </c>
      <c r="BX7" s="72">
        <f t="shared" ref="BX7:BX9" si="33">M7</f>
        <v>107</v>
      </c>
      <c r="BY7" s="71">
        <f t="shared" ref="BY7:BY9" si="34">Q7</f>
        <v>140</v>
      </c>
      <c r="BZ7" s="72">
        <f t="shared" ref="BZ7:BZ9" si="35">U7</f>
        <v>144</v>
      </c>
      <c r="CA7" s="71">
        <f t="shared" ref="CA7:CA9" si="36">Y7</f>
        <v>180</v>
      </c>
      <c r="CB7" s="72">
        <f t="shared" ref="CB7:CB9" si="37">AC7</f>
        <v>188</v>
      </c>
      <c r="CC7" s="71">
        <f t="shared" ref="CC7:CC9" si="38">AG7</f>
        <v>227</v>
      </c>
      <c r="CD7" s="72">
        <f t="shared" ref="CD7:CD9" si="39">AK7</f>
        <v>231</v>
      </c>
      <c r="CE7" s="71">
        <f t="shared" ref="CE7:CE9" si="40">AO7</f>
        <v>312</v>
      </c>
      <c r="CF7" s="72">
        <f t="shared" ref="CF7:CF9" si="41">AS7</f>
        <v>354</v>
      </c>
      <c r="CG7" s="71">
        <f t="shared" ref="CG7:CG9" si="42">AW7</f>
        <v>384</v>
      </c>
      <c r="CH7" s="70">
        <f t="shared" ref="CH7:CH9" si="43">G7</f>
        <v>102</v>
      </c>
      <c r="CI7" s="71">
        <f t="shared" ref="CI7:CI9" si="44">K7</f>
        <v>106</v>
      </c>
      <c r="CJ7" s="72">
        <f t="shared" ref="CJ7:CJ9" si="45">O7</f>
        <v>138</v>
      </c>
      <c r="CK7" s="72">
        <f t="shared" ref="CK7:CK9" si="46">S7</f>
        <v>143</v>
      </c>
      <c r="CL7" s="72">
        <f t="shared" ref="CL7:CL9" si="47">W7</f>
        <v>179</v>
      </c>
      <c r="CM7" s="72">
        <f t="shared" ref="CM7:CM9" si="48">AA7</f>
        <v>187</v>
      </c>
      <c r="CN7" s="72">
        <f t="shared" ref="CN7:CN9" si="49">AE7</f>
        <v>217</v>
      </c>
      <c r="CO7" s="72">
        <f t="shared" ref="CO7:CO9" si="50">AI7</f>
        <v>229</v>
      </c>
      <c r="CP7" s="72">
        <f t="shared" ref="CP7:CP9" si="51">AM7</f>
        <v>272</v>
      </c>
      <c r="CQ7" s="72">
        <f t="shared" ref="CQ7:CQ9" si="52">AQ7</f>
        <v>349</v>
      </c>
      <c r="CR7" s="72">
        <f t="shared" ref="CR7:CR9" si="53">AU7</f>
        <v>383</v>
      </c>
      <c r="CS7" s="72">
        <f t="shared" ref="CS7:CS9" si="54">AY7</f>
        <v>397</v>
      </c>
      <c r="CT7" s="23">
        <f t="shared" ref="CT7:CT9" si="55">M7-K7</f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ref="A8" si="56">CONCATENATE(B8,"_",C8)</f>
        <v>5ht2a_human_6A93</v>
      </c>
      <c r="B8" s="3" t="s">
        <v>132</v>
      </c>
      <c r="C8" s="3" t="s">
        <v>1555</v>
      </c>
      <c r="D8" s="3" t="str">
        <f>IFERROR(MID(VLOOKUP($B8,Seqs!$A:$B,2,0),E8,1),"")</f>
        <v>L</v>
      </c>
      <c r="E8" s="3">
        <v>69</v>
      </c>
      <c r="F8" s="3" t="str">
        <f>IFERROR(MID(VLOOKUP($B8,Seqs!$A:$B,2,0),G8,1),"")</f>
        <v>E</v>
      </c>
      <c r="G8" s="3">
        <v>102</v>
      </c>
      <c r="H8" s="3" t="str">
        <f>IFERROR(MID(VLOOKUP($B8,Seqs!$A:$B,2,0),I8,1),"")</f>
        <v>K</v>
      </c>
      <c r="I8" s="23">
        <v>103</v>
      </c>
      <c r="J8" s="3" t="str">
        <f>IFERROR(MID(VLOOKUP($B8,Seqs!$A:$B,2,0),K8,1),"")</f>
        <v>Q</v>
      </c>
      <c r="K8" s="23">
        <v>106</v>
      </c>
      <c r="L8" s="3" t="str">
        <f>IFERROR(MID(VLOOKUP($B8,Seqs!$A:$B,2,0),M8,1),"")</f>
        <v>N</v>
      </c>
      <c r="M8" s="3">
        <v>107</v>
      </c>
      <c r="N8" s="3" t="str">
        <f>IFERROR(MID(VLOOKUP($B8,Seqs!$A:$B,2,0),O8,1),"")</f>
        <v>G</v>
      </c>
      <c r="O8" s="3">
        <v>138</v>
      </c>
      <c r="P8" s="3" t="str">
        <f>IFERROR(MID(VLOOKUP($B8,Seqs!$A:$B,2,0),Q8,1),"")</f>
        <v>R</v>
      </c>
      <c r="Q8" s="3">
        <v>140</v>
      </c>
      <c r="R8" s="3" t="str">
        <f>IFERROR(MID(VLOOKUP($B8,Seqs!$A:$B,2,0),S8,1),"")</f>
        <v>L</v>
      </c>
      <c r="S8" s="3">
        <v>143</v>
      </c>
      <c r="T8" s="3" t="str">
        <f>IFERROR(MID(VLOOKUP($B8,Seqs!$A:$B,2,0),U8,1),"")</f>
        <v>P</v>
      </c>
      <c r="U8" s="3">
        <v>144</v>
      </c>
      <c r="V8" s="3" t="str">
        <f>IFERROR(MID(VLOOKUP($B8,Seqs!$A:$B,2,0),W8,1),"")</f>
        <v>N</v>
      </c>
      <c r="W8" s="3">
        <v>179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R</v>
      </c>
      <c r="AC8" s="3">
        <v>189</v>
      </c>
      <c r="AD8" s="3" t="str">
        <f>IFERROR(MID(VLOOKUP($B8,Seqs!$A:$B,2,0),AE8,1),"")</f>
        <v>D</v>
      </c>
      <c r="AE8" s="3">
        <v>217</v>
      </c>
      <c r="AF8" s="3" t="str">
        <f>IFERROR(MID(VLOOKUP($B8,Seqs!$A:$B,2,0),AG8,1),"")</f>
        <v>C</v>
      </c>
      <c r="AG8" s="3">
        <v>227</v>
      </c>
      <c r="AH8" s="3" t="str">
        <f>IFERROR(MID(VLOOKUP($B8,Seqs!$A:$B,2,0),AI8,1),"")</f>
        <v>L</v>
      </c>
      <c r="AI8" s="3">
        <v>229</v>
      </c>
      <c r="AJ8" s="3" t="str">
        <f>IFERROR(MID(VLOOKUP($B8,Seqs!$A:$B,2,0),AK8,1),"")</f>
        <v>D</v>
      </c>
      <c r="AK8" s="3">
        <v>231</v>
      </c>
      <c r="AL8" s="3" t="str">
        <f>IFERROR(MID(VLOOKUP($B8,Seqs!$A:$B,2,0),AM8,1),"")</f>
        <v>A</v>
      </c>
      <c r="AM8" s="3">
        <v>265</v>
      </c>
      <c r="AN8" s="3" t="str">
        <f>IFERROR(MID(VLOOKUP($B8,Seqs!$A:$B,2,0),AO8,1),"")</f>
        <v>Q</v>
      </c>
      <c r="AO8" s="3">
        <v>313</v>
      </c>
      <c r="AP8" s="3" t="str">
        <f>IFERROR(MID(VLOOKUP($B8,Seqs!$A:$B,2,0),AQ8,1),"")</f>
        <v>C</v>
      </c>
      <c r="AQ8" s="3">
        <v>349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C</v>
      </c>
      <c r="AY8" s="3">
        <v>397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23">
        <f t="shared" ref="BC8" si="58">_xlfn.AGGREGATE(9,6,CH8:CS8)-_xlfn.AGGREGATE(9,6,BV8:CG8)+12</f>
        <v>259</v>
      </c>
      <c r="BD8" s="4" t="s">
        <v>23</v>
      </c>
      <c r="BE8" s="3" t="s">
        <v>1370</v>
      </c>
      <c r="BF8" s="118">
        <v>3</v>
      </c>
      <c r="BG8" s="49" t="s">
        <v>1</v>
      </c>
      <c r="BH8" s="49" t="s">
        <v>1</v>
      </c>
      <c r="BI8" s="1"/>
      <c r="BJ8" s="70" t="s">
        <v>1283</v>
      </c>
      <c r="BK8" s="57" t="s">
        <v>1283</v>
      </c>
      <c r="BL8" s="57" t="s">
        <v>1283</v>
      </c>
      <c r="BM8" s="57" t="s">
        <v>1283</v>
      </c>
      <c r="BN8" s="57" t="s">
        <v>1283</v>
      </c>
      <c r="BO8" s="57" t="s">
        <v>1283</v>
      </c>
      <c r="BP8" s="57" t="s">
        <v>1283</v>
      </c>
      <c r="BQ8" s="57" t="s">
        <v>1283</v>
      </c>
      <c r="BR8" s="57" t="s">
        <v>1283</v>
      </c>
      <c r="BS8" s="57" t="s">
        <v>1283</v>
      </c>
      <c r="BT8" s="57" t="s">
        <v>1283</v>
      </c>
      <c r="BU8" s="57" t="s">
        <v>1283</v>
      </c>
      <c r="BV8" s="70">
        <f t="shared" ref="BV8" si="59">E8</f>
        <v>69</v>
      </c>
      <c r="BW8" s="71">
        <f t="shared" ref="BW8" si="60">I8</f>
        <v>103</v>
      </c>
      <c r="BX8" s="72">
        <f t="shared" ref="BX8" si="61">M8</f>
        <v>107</v>
      </c>
      <c r="BY8" s="71">
        <f t="shared" ref="BY8" si="62">Q8</f>
        <v>140</v>
      </c>
      <c r="BZ8" s="72">
        <f t="shared" ref="BZ8" si="63">U8</f>
        <v>144</v>
      </c>
      <c r="CA8" s="71" t="str">
        <f t="shared" ref="CA8" si="64">Y8</f>
        <v>-</v>
      </c>
      <c r="CB8" s="72">
        <f t="shared" ref="CB8" si="65">AC8</f>
        <v>189</v>
      </c>
      <c r="CC8" s="71">
        <f t="shared" ref="CC8" si="66">AG8</f>
        <v>227</v>
      </c>
      <c r="CD8" s="72">
        <f t="shared" ref="CD8" si="67">AK8</f>
        <v>231</v>
      </c>
      <c r="CE8" s="71">
        <f t="shared" ref="CE8" si="68">AO8</f>
        <v>313</v>
      </c>
      <c r="CF8" s="72">
        <f t="shared" ref="CF8" si="69">AS8</f>
        <v>354</v>
      </c>
      <c r="CG8" s="71">
        <f t="shared" ref="CG8" si="70">AW8</f>
        <v>384</v>
      </c>
      <c r="CH8" s="70">
        <f t="shared" ref="CH8" si="71">G8</f>
        <v>102</v>
      </c>
      <c r="CI8" s="71">
        <f t="shared" ref="CI8" si="72">K8</f>
        <v>106</v>
      </c>
      <c r="CJ8" s="72">
        <f t="shared" ref="CJ8" si="73">O8</f>
        <v>138</v>
      </c>
      <c r="CK8" s="72">
        <f t="shared" ref="CK8" si="74">S8</f>
        <v>143</v>
      </c>
      <c r="CL8" s="72">
        <f t="shared" ref="CL8" si="75">W8</f>
        <v>179</v>
      </c>
      <c r="CM8" s="72" t="str">
        <f t="shared" ref="CM8" si="76">AA8</f>
        <v>-</v>
      </c>
      <c r="CN8" s="72">
        <f t="shared" ref="CN8" si="77">AE8</f>
        <v>217</v>
      </c>
      <c r="CO8" s="72">
        <f t="shared" ref="CO8" si="78">AI8</f>
        <v>229</v>
      </c>
      <c r="CP8" s="72">
        <f t="shared" ref="CP8" si="79">AM8</f>
        <v>265</v>
      </c>
      <c r="CQ8" s="72">
        <f t="shared" ref="CQ8" si="80">AQ8</f>
        <v>349</v>
      </c>
      <c r="CR8" s="72">
        <f t="shared" ref="CR8" si="81">AU8</f>
        <v>383</v>
      </c>
      <c r="CS8" s="72">
        <f t="shared" ref="CS8" si="82">AY8</f>
        <v>397</v>
      </c>
      <c r="CT8" s="23">
        <f t="shared" ref="CT8" si="83">M8-K8</f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28"/>
        <v>5ht2a_human_6A94</v>
      </c>
      <c r="B9" s="3" t="s">
        <v>132</v>
      </c>
      <c r="C9" s="3" t="s">
        <v>1554</v>
      </c>
      <c r="D9" s="3" t="str">
        <f>IFERROR(MID(VLOOKUP($B9,Seqs!$A:$B,2,0),E9,1),"")</f>
        <v>L</v>
      </c>
      <c r="E9" s="3">
        <v>69</v>
      </c>
      <c r="F9" s="3" t="str">
        <f>IFERROR(MID(VLOOKUP($B9,Seqs!$A:$B,2,0),G9,1),"")</f>
        <v>E</v>
      </c>
      <c r="G9" s="3">
        <v>102</v>
      </c>
      <c r="H9" s="3" t="str">
        <f>IFERROR(MID(VLOOKUP($B9,Seqs!$A:$B,2,0),I9,1),"")</f>
        <v>K</v>
      </c>
      <c r="I9" s="23">
        <v>103</v>
      </c>
      <c r="J9" s="3" t="str">
        <f>IFERROR(MID(VLOOKUP($B9,Seqs!$A:$B,2,0),K9,1),"")</f>
        <v>Q</v>
      </c>
      <c r="K9" s="23">
        <v>106</v>
      </c>
      <c r="L9" s="3" t="str">
        <f>IFERROR(MID(VLOOKUP($B9,Seqs!$A:$B,2,0),M9,1),"")</f>
        <v>N</v>
      </c>
      <c r="M9" s="3">
        <v>107</v>
      </c>
      <c r="N9" s="3" t="str">
        <f>IFERROR(MID(VLOOKUP($B9,Seqs!$A:$B,2,0),O9,1),"")</f>
        <v>G</v>
      </c>
      <c r="O9" s="3">
        <v>138</v>
      </c>
      <c r="P9" s="3" t="str">
        <f>IFERROR(MID(VLOOKUP($B9,Seqs!$A:$B,2,0),Q9,1),"")</f>
        <v>R</v>
      </c>
      <c r="Q9" s="3">
        <v>140</v>
      </c>
      <c r="R9" s="3" t="str">
        <f>IFERROR(MID(VLOOKUP($B9,Seqs!$A:$B,2,0),S9,1),"")</f>
        <v>L</v>
      </c>
      <c r="S9" s="3">
        <v>143</v>
      </c>
      <c r="T9" s="3" t="str">
        <f>IFERROR(MID(VLOOKUP($B9,Seqs!$A:$B,2,0),U9,1),"")</f>
        <v>P</v>
      </c>
      <c r="U9" s="3">
        <v>144</v>
      </c>
      <c r="V9" s="3" t="str">
        <f>IFERROR(MID(VLOOKUP($B9,Seqs!$A:$B,2,0),W9,1),"")</f>
        <v>N</v>
      </c>
      <c r="W9" s="3">
        <v>179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R</v>
      </c>
      <c r="AC9" s="3">
        <v>189</v>
      </c>
      <c r="AD9" s="3" t="str">
        <f>IFERROR(MID(VLOOKUP($B9,Seqs!$A:$B,2,0),AE9,1),"")</f>
        <v>D</v>
      </c>
      <c r="AE9" s="3">
        <v>217</v>
      </c>
      <c r="AF9" s="3" t="str">
        <f>IFERROR(MID(VLOOKUP($B9,Seqs!$A:$B,2,0),AG9,1),"")</f>
        <v>C</v>
      </c>
      <c r="AG9" s="3">
        <v>227</v>
      </c>
      <c r="AH9" s="3" t="str">
        <f>IFERROR(MID(VLOOKUP($B9,Seqs!$A:$B,2,0),AI9,1),"")</f>
        <v>L</v>
      </c>
      <c r="AI9" s="3">
        <v>229</v>
      </c>
      <c r="AJ9" s="3" t="str">
        <f>IFERROR(MID(VLOOKUP($B9,Seqs!$A:$B,2,0),AK9,1),"")</f>
        <v>D</v>
      </c>
      <c r="AK9" s="3">
        <v>231</v>
      </c>
      <c r="AL9" s="3" t="str">
        <f>IFERROR(MID(VLOOKUP($B9,Seqs!$A:$B,2,0),AM9,1),"")</f>
        <v>A</v>
      </c>
      <c r="AM9" s="3">
        <v>265</v>
      </c>
      <c r="AN9" s="3" t="str">
        <f>IFERROR(MID(VLOOKUP($B9,Seqs!$A:$B,2,0),AO9,1),"")</f>
        <v>Q</v>
      </c>
      <c r="AO9" s="3">
        <v>313</v>
      </c>
      <c r="AP9" s="3" t="str">
        <f>IFERROR(MID(VLOOKUP($B9,Seqs!$A:$B,2,0),AQ9,1),"")</f>
        <v>C</v>
      </c>
      <c r="AQ9" s="3">
        <v>349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C</v>
      </c>
      <c r="AY9" s="3">
        <v>397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29"/>
        <v>1</v>
      </c>
      <c r="BC9" s="23">
        <f t="shared" si="30"/>
        <v>259</v>
      </c>
      <c r="BD9" s="4" t="s">
        <v>1372</v>
      </c>
      <c r="BE9" s="3" t="s">
        <v>1370</v>
      </c>
      <c r="BF9" s="118">
        <v>2.9</v>
      </c>
      <c r="BG9" s="49" t="s">
        <v>1</v>
      </c>
      <c r="BH9" s="49" t="s">
        <v>1</v>
      </c>
      <c r="BI9" s="1"/>
      <c r="BJ9" s="70" t="s">
        <v>1283</v>
      </c>
      <c r="BK9" s="57" t="s">
        <v>1283</v>
      </c>
      <c r="BL9" s="57" t="s">
        <v>1283</v>
      </c>
      <c r="BM9" s="57" t="s">
        <v>1283</v>
      </c>
      <c r="BN9" s="57" t="s">
        <v>1283</v>
      </c>
      <c r="BO9" s="57" t="s">
        <v>1283</v>
      </c>
      <c r="BP9" s="57" t="s">
        <v>1283</v>
      </c>
      <c r="BQ9" s="57" t="s">
        <v>1283</v>
      </c>
      <c r="BR9" s="57" t="s">
        <v>1283</v>
      </c>
      <c r="BS9" s="57" t="s">
        <v>1283</v>
      </c>
      <c r="BT9" s="57" t="s">
        <v>1283</v>
      </c>
      <c r="BU9" s="57" t="s">
        <v>1283</v>
      </c>
      <c r="BV9" s="70">
        <f t="shared" si="31"/>
        <v>69</v>
      </c>
      <c r="BW9" s="71">
        <f t="shared" si="32"/>
        <v>103</v>
      </c>
      <c r="BX9" s="72">
        <f t="shared" si="33"/>
        <v>107</v>
      </c>
      <c r="BY9" s="71">
        <f t="shared" si="34"/>
        <v>140</v>
      </c>
      <c r="BZ9" s="72">
        <f t="shared" si="35"/>
        <v>144</v>
      </c>
      <c r="CA9" s="71" t="str">
        <f t="shared" si="36"/>
        <v>-</v>
      </c>
      <c r="CB9" s="72">
        <f t="shared" si="37"/>
        <v>189</v>
      </c>
      <c r="CC9" s="71">
        <f t="shared" si="38"/>
        <v>227</v>
      </c>
      <c r="CD9" s="72">
        <f t="shared" si="39"/>
        <v>231</v>
      </c>
      <c r="CE9" s="71">
        <f t="shared" si="40"/>
        <v>313</v>
      </c>
      <c r="CF9" s="72">
        <f t="shared" si="41"/>
        <v>354</v>
      </c>
      <c r="CG9" s="71">
        <f t="shared" si="42"/>
        <v>384</v>
      </c>
      <c r="CH9" s="70">
        <f t="shared" si="43"/>
        <v>102</v>
      </c>
      <c r="CI9" s="71">
        <f t="shared" si="44"/>
        <v>106</v>
      </c>
      <c r="CJ9" s="72">
        <f t="shared" si="45"/>
        <v>138</v>
      </c>
      <c r="CK9" s="72">
        <f t="shared" si="46"/>
        <v>143</v>
      </c>
      <c r="CL9" s="72">
        <f t="shared" si="47"/>
        <v>179</v>
      </c>
      <c r="CM9" s="72" t="str">
        <f t="shared" si="48"/>
        <v>-</v>
      </c>
      <c r="CN9" s="72">
        <f t="shared" si="49"/>
        <v>217</v>
      </c>
      <c r="CO9" s="72">
        <f t="shared" si="50"/>
        <v>229</v>
      </c>
      <c r="CP9" s="72">
        <f t="shared" si="51"/>
        <v>265</v>
      </c>
      <c r="CQ9" s="72">
        <f t="shared" si="52"/>
        <v>349</v>
      </c>
      <c r="CR9" s="72">
        <f t="shared" si="53"/>
        <v>383</v>
      </c>
      <c r="CS9" s="72">
        <f t="shared" si="54"/>
        <v>397</v>
      </c>
      <c r="CT9" s="23">
        <f t="shared" si="55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3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3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8" t="s">
        <v>23</v>
      </c>
      <c r="BG10" s="49" t="s">
        <v>1368</v>
      </c>
      <c r="BH10" s="49" t="s">
        <v>1373</v>
      </c>
      <c r="BI10" s="1"/>
      <c r="BJ10" s="70" t="s">
        <v>1283</v>
      </c>
      <c r="BK10" s="57" t="s">
        <v>1283</v>
      </c>
      <c r="BL10" s="57" t="s">
        <v>1283</v>
      </c>
      <c r="BM10" s="57" t="s">
        <v>1283</v>
      </c>
      <c r="BN10" s="57" t="s">
        <v>1283</v>
      </c>
      <c r="BO10" s="57" t="s">
        <v>1283</v>
      </c>
      <c r="BP10" s="57" t="s">
        <v>1283</v>
      </c>
      <c r="BQ10" s="57" t="s">
        <v>1283</v>
      </c>
      <c r="BR10" s="57" t="s">
        <v>1283</v>
      </c>
      <c r="BS10" s="57" t="s">
        <v>1283</v>
      </c>
      <c r="BT10" s="57" t="s">
        <v>1283</v>
      </c>
      <c r="BU10" s="57" t="s">
        <v>1283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1425</v>
      </c>
      <c r="BE11" s="3" t="s">
        <v>1424</v>
      </c>
      <c r="BF11" s="118">
        <v>2.7</v>
      </c>
      <c r="BG11" s="49" t="s">
        <v>1373</v>
      </c>
      <c r="BH11" s="49" t="s">
        <v>1373</v>
      </c>
      <c r="BI11" s="1"/>
      <c r="BJ11" s="70" t="s">
        <v>1283</v>
      </c>
      <c r="BK11" s="57" t="s">
        <v>1283</v>
      </c>
      <c r="BL11" s="57" t="s">
        <v>1283</v>
      </c>
      <c r="BM11" s="57" t="s">
        <v>1283</v>
      </c>
      <c r="BN11" s="57" t="s">
        <v>1283</v>
      </c>
      <c r="BO11" s="57" t="s">
        <v>1283</v>
      </c>
      <c r="BP11" s="57" t="s">
        <v>1283</v>
      </c>
      <c r="BQ11" s="57" t="s">
        <v>1283</v>
      </c>
      <c r="BR11" s="57" t="s">
        <v>1283</v>
      </c>
      <c r="BS11" s="57" t="s">
        <v>1283</v>
      </c>
      <c r="BT11" s="57" t="s">
        <v>1283</v>
      </c>
      <c r="BU11" s="57" t="s">
        <v>1283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1160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1424</v>
      </c>
      <c r="BF12" s="118">
        <v>2.7</v>
      </c>
      <c r="BG12" s="49" t="s">
        <v>1373</v>
      </c>
      <c r="BH12" s="49" t="s">
        <v>1373</v>
      </c>
      <c r="BI12" s="1"/>
      <c r="BJ12" s="70" t="s">
        <v>1283</v>
      </c>
      <c r="BK12" s="57" t="s">
        <v>1283</v>
      </c>
      <c r="BL12" s="57" t="s">
        <v>1283</v>
      </c>
      <c r="BM12" s="57" t="s">
        <v>1283</v>
      </c>
      <c r="BN12" s="57" t="s">
        <v>1283</v>
      </c>
      <c r="BO12" s="57" t="s">
        <v>1283</v>
      </c>
      <c r="BP12" s="57" t="s">
        <v>1283</v>
      </c>
      <c r="BQ12" s="57" t="s">
        <v>1283</v>
      </c>
      <c r="BR12" s="57" t="s">
        <v>1283</v>
      </c>
      <c r="BS12" s="57" t="s">
        <v>1283</v>
      </c>
      <c r="BT12" s="57" t="s">
        <v>1283</v>
      </c>
      <c r="BU12" s="57" t="s">
        <v>1283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1304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1424</v>
      </c>
      <c r="BF13" s="118">
        <v>2.8</v>
      </c>
      <c r="BG13" s="49" t="s">
        <v>1373</v>
      </c>
      <c r="BH13" s="49" t="s">
        <v>1373</v>
      </c>
      <c r="BI13" s="1"/>
      <c r="BJ13" s="70" t="s">
        <v>1283</v>
      </c>
      <c r="BK13" s="57" t="s">
        <v>1283</v>
      </c>
      <c r="BL13" s="57" t="s">
        <v>1283</v>
      </c>
      <c r="BM13" s="57" t="s">
        <v>1283</v>
      </c>
      <c r="BN13" s="57" t="s">
        <v>1283</v>
      </c>
      <c r="BO13" s="57" t="s">
        <v>1283</v>
      </c>
      <c r="BP13" s="57" t="s">
        <v>1283</v>
      </c>
      <c r="BQ13" s="57" t="s">
        <v>1283</v>
      </c>
      <c r="BR13" s="57" t="s">
        <v>1283</v>
      </c>
      <c r="BS13" s="57" t="s">
        <v>1283</v>
      </c>
      <c r="BT13" s="57" t="s">
        <v>1283</v>
      </c>
      <c r="BU13" s="57" t="s">
        <v>1283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1423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1371</v>
      </c>
      <c r="BE14" s="3" t="s">
        <v>1287</v>
      </c>
      <c r="BF14" s="118">
        <v>3</v>
      </c>
      <c r="BG14" s="49" t="s">
        <v>1373</v>
      </c>
      <c r="BH14" s="49" t="s">
        <v>1373</v>
      </c>
      <c r="BI14" s="1"/>
      <c r="BJ14" s="70" t="s">
        <v>1283</v>
      </c>
      <c r="BK14" s="57" t="s">
        <v>1283</v>
      </c>
      <c r="BL14" s="57" t="s">
        <v>1283</v>
      </c>
      <c r="BM14" s="57" t="s">
        <v>1283</v>
      </c>
      <c r="BN14" s="57" t="s">
        <v>1283</v>
      </c>
      <c r="BO14" s="57" t="s">
        <v>1283</v>
      </c>
      <c r="BP14" s="57" t="s">
        <v>1283</v>
      </c>
      <c r="BQ14" s="57" t="s">
        <v>1283</v>
      </c>
      <c r="BR14" s="57" t="s">
        <v>1283</v>
      </c>
      <c r="BS14" s="57" t="s">
        <v>1283</v>
      </c>
      <c r="BT14" s="57" t="s">
        <v>1283</v>
      </c>
      <c r="BU14" s="57" t="s">
        <v>1283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1382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1424</v>
      </c>
      <c r="BF15" s="118">
        <v>2.9</v>
      </c>
      <c r="BG15" s="49" t="s">
        <v>1373</v>
      </c>
      <c r="BH15" s="49" t="s">
        <v>1373</v>
      </c>
      <c r="BI15" s="1"/>
      <c r="BJ15" s="70" t="s">
        <v>1283</v>
      </c>
      <c r="BK15" s="57" t="s">
        <v>1283</v>
      </c>
      <c r="BL15" s="57" t="s">
        <v>1283</v>
      </c>
      <c r="BM15" s="57" t="s">
        <v>1283</v>
      </c>
      <c r="BN15" s="57" t="s">
        <v>1283</v>
      </c>
      <c r="BO15" s="57" t="s">
        <v>1283</v>
      </c>
      <c r="BP15" s="57" t="s">
        <v>1283</v>
      </c>
      <c r="BQ15" s="57" t="s">
        <v>1283</v>
      </c>
      <c r="BR15" s="57" t="s">
        <v>1283</v>
      </c>
      <c r="BS15" s="57" t="s">
        <v>1283</v>
      </c>
      <c r="BT15" s="57" t="s">
        <v>1283</v>
      </c>
      <c r="BU15" s="57" t="s">
        <v>1283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112">CONCATENATE(B16,"_",C16)</f>
        <v>5ht2b_human_6DRX</v>
      </c>
      <c r="B16" s="3" t="s">
        <v>35</v>
      </c>
      <c r="C16" s="3" t="s">
        <v>1508</v>
      </c>
      <c r="D16" s="3" t="str">
        <f>IFERROR(MID(VLOOKUP($B16,Seqs!$A:$B,2,0),E16,1),"")</f>
        <v>K</v>
      </c>
      <c r="E16" s="3">
        <v>53</v>
      </c>
      <c r="F16" s="3" t="str">
        <f>IFERROR(MID(VLOOKUP($B16,Seqs!$A:$B,2,0),G16,1),"")</f>
        <v>E</v>
      </c>
      <c r="G16" s="3">
        <v>82</v>
      </c>
      <c r="H16" s="3" t="str">
        <f>IFERROR(MID(VLOOKUP($B16,Seqs!$A:$B,2,0),I16,1),"")</f>
        <v>K</v>
      </c>
      <c r="I16" s="23">
        <v>83</v>
      </c>
      <c r="J16" s="3" t="str">
        <f>IFERROR(MID(VLOOKUP($B16,Seqs!$A:$B,2,0),K16,1),"")</f>
        <v>Q</v>
      </c>
      <c r="K16" s="23">
        <v>86</v>
      </c>
      <c r="L16" s="3" t="str">
        <f>IFERROR(MID(VLOOKUP($B16,Seqs!$A:$B,2,0),M16,1),"")</f>
        <v>Y</v>
      </c>
      <c r="M16" s="3">
        <v>87</v>
      </c>
      <c r="N16" s="3" t="str">
        <f>IFERROR(MID(VLOOKUP($B16,Seqs!$A:$B,2,0),O16,1),"")</f>
        <v>F</v>
      </c>
      <c r="O16" s="3">
        <v>117</v>
      </c>
      <c r="P16" s="3" t="str">
        <f>IFERROR(MID(VLOOKUP($B16,Seqs!$A:$B,2,0),Q16,1),"")</f>
        <v>M</v>
      </c>
      <c r="Q16" s="3">
        <v>120</v>
      </c>
      <c r="R16" s="3" t="str">
        <f>IFERROR(MID(VLOOKUP($B16,Seqs!$A:$B,2,0),S16,1),"")</f>
        <v>L</v>
      </c>
      <c r="S16" s="3">
        <v>123</v>
      </c>
      <c r="T16" s="3" t="str">
        <f>IFERROR(MID(VLOOKUP($B16,Seqs!$A:$B,2,0),U16,1),"")</f>
        <v>P</v>
      </c>
      <c r="U16" s="3">
        <v>124</v>
      </c>
      <c r="V16" s="3" t="str">
        <f>IFERROR(MID(VLOOKUP($B16,Seqs!$A:$B,2,0),W16,1),"")</f>
        <v>K</v>
      </c>
      <c r="W16" s="3">
        <v>159</v>
      </c>
      <c r="X16" s="3" t="str">
        <f>IFERROR(MID(VLOOKUP($B16,Seqs!$A:$B,2,0),Y16,1),"")</f>
        <v/>
      </c>
      <c r="Y16" s="3" t="s">
        <v>23</v>
      </c>
      <c r="Z16" s="3" t="str">
        <f>IFERROR(MID(VLOOKUP($B16,Seqs!$A:$B,2,0),AA16,1),"")</f>
        <v/>
      </c>
      <c r="AA16" s="3" t="s">
        <v>23</v>
      </c>
      <c r="AB16" s="3" t="str">
        <f>IFERROR(MID(VLOOKUP($B16,Seqs!$A:$B,2,0),AC16,1),"")</f>
        <v>N</v>
      </c>
      <c r="AC16" s="3">
        <v>164</v>
      </c>
      <c r="AD16" s="3" t="str">
        <f>IFERROR(MID(VLOOKUP($B16,Seqs!$A:$B,2,0),AE16,1),"")</f>
        <v>G</v>
      </c>
      <c r="AE16" s="3">
        <v>194</v>
      </c>
      <c r="AF16" s="3" t="str">
        <f>IFERROR(MID(VLOOKUP($B16,Seqs!$A:$B,2,0),AG16,1),"")</f>
        <v>C</v>
      </c>
      <c r="AG16" s="3">
        <v>207</v>
      </c>
      <c r="AH16" s="3" t="str">
        <f>IFERROR(MID(VLOOKUP($B16,Seqs!$A:$B,2,0),AI16,1),"")</f>
        <v>L</v>
      </c>
      <c r="AI16" s="3">
        <v>209</v>
      </c>
      <c r="AJ16" s="3" t="str">
        <f>IFERROR(MID(VLOOKUP($B16,Seqs!$A:$B,2,0),AK16,1),"")</f>
        <v>F</v>
      </c>
      <c r="AK16" s="3">
        <v>214</v>
      </c>
      <c r="AL16" s="3" t="str">
        <f>IFERROR(MID(VLOOKUP($B16,Seqs!$A:$B,2,0),AM16,1),"")</f>
        <v>A</v>
      </c>
      <c r="AM16" s="3">
        <v>248</v>
      </c>
      <c r="AN16" s="3" t="str">
        <f>IFERROR(MID(VLOOKUP($B16,Seqs!$A:$B,2,0),AO16,1),"")</f>
        <v>Q</v>
      </c>
      <c r="AO16" s="3">
        <v>314</v>
      </c>
      <c r="AP16" s="3" t="str">
        <f>IFERROR(MID(VLOOKUP($B16,Seqs!$A:$B,2,0),AQ16,1),"")</f>
        <v>C</v>
      </c>
      <c r="AQ16" s="3">
        <v>350</v>
      </c>
      <c r="AR16" s="3" t="str">
        <f>IFERROR(MID(VLOOKUP($B16,Seqs!$A:$B,2,0),AS16,1),"")</f>
        <v>N</v>
      </c>
      <c r="AS16" s="3">
        <v>354</v>
      </c>
      <c r="AT16" s="3" t="str">
        <f>IFERROR(MID(VLOOKUP($B16,Seqs!$A:$B,2,0),AU16,1),"")</f>
        <v>F</v>
      </c>
      <c r="AU16" s="3">
        <v>383</v>
      </c>
      <c r="AV16" s="3" t="str">
        <f>IFERROR(MID(VLOOKUP($B16,Seqs!$A:$B,2,0),AW16,1),"")</f>
        <v>N</v>
      </c>
      <c r="AW16" s="3">
        <v>384</v>
      </c>
      <c r="AX16" s="3" t="str">
        <f>IFERROR(MID(VLOOKUP($B16,Seqs!$A:$B,2,0),AY16,1),"")</f>
        <v>I</v>
      </c>
      <c r="AY16" s="3">
        <v>395</v>
      </c>
      <c r="AZ16" s="77" t="str">
        <f>VLOOKUP(B16,Classification!A:D,2,0)</f>
        <v>A</v>
      </c>
      <c r="BA16" s="94" t="str">
        <f>VLOOKUP(B16,Classification!A:D,4,0)</f>
        <v>5-Hydroxytryptamine</v>
      </c>
      <c r="BB16" s="27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23">
        <f t="shared" ref="BC16" si="114">_xlfn.AGGREGATE(9,6,CH16:CS16)-_xlfn.AGGREGATE(9,6,BV16:CG16)+12</f>
        <v>254</v>
      </c>
      <c r="BD16" s="4" t="s">
        <v>23</v>
      </c>
      <c r="BE16" s="3" t="s">
        <v>1424</v>
      </c>
      <c r="BF16" s="118">
        <v>3.1</v>
      </c>
      <c r="BG16" s="49" t="s">
        <v>1</v>
      </c>
      <c r="BH16" s="49" t="s">
        <v>1</v>
      </c>
      <c r="BI16" s="1"/>
      <c r="BJ16" s="70" t="s">
        <v>1283</v>
      </c>
      <c r="BK16" s="57" t="s">
        <v>1283</v>
      </c>
      <c r="BL16" s="57" t="s">
        <v>1283</v>
      </c>
      <c r="BM16" s="57" t="s">
        <v>1283</v>
      </c>
      <c r="BN16" s="57" t="s">
        <v>1283</v>
      </c>
      <c r="BO16" s="57" t="s">
        <v>1283</v>
      </c>
      <c r="BP16" s="57" t="s">
        <v>1283</v>
      </c>
      <c r="BQ16" s="57" t="s">
        <v>1283</v>
      </c>
      <c r="BR16" s="57" t="s">
        <v>1283</v>
      </c>
      <c r="BS16" s="57" t="s">
        <v>1283</v>
      </c>
      <c r="BT16" s="57" t="s">
        <v>1283</v>
      </c>
      <c r="BU16" s="57" t="s">
        <v>1283</v>
      </c>
      <c r="BV16" s="70">
        <f t="shared" ref="BV16" si="115">E16</f>
        <v>53</v>
      </c>
      <c r="BW16" s="71">
        <f t="shared" ref="BW16" si="116">I16</f>
        <v>83</v>
      </c>
      <c r="BX16" s="72">
        <f t="shared" ref="BX16" si="117">M16</f>
        <v>87</v>
      </c>
      <c r="BY16" s="71">
        <f t="shared" ref="BY16" si="118">Q16</f>
        <v>120</v>
      </c>
      <c r="BZ16" s="72">
        <f t="shared" ref="BZ16" si="119">U16</f>
        <v>124</v>
      </c>
      <c r="CA16" s="71" t="str">
        <f t="shared" ref="CA16" si="120">Y16</f>
        <v>-</v>
      </c>
      <c r="CB16" s="72">
        <f t="shared" ref="CB16" si="121">AC16</f>
        <v>164</v>
      </c>
      <c r="CC16" s="71">
        <f t="shared" ref="CC16" si="122">AG16</f>
        <v>207</v>
      </c>
      <c r="CD16" s="72">
        <f t="shared" ref="CD16" si="123">AK16</f>
        <v>214</v>
      </c>
      <c r="CE16" s="71">
        <f t="shared" ref="CE16" si="124">AO16</f>
        <v>314</v>
      </c>
      <c r="CF16" s="72">
        <f t="shared" ref="CF16" si="125">AS16</f>
        <v>354</v>
      </c>
      <c r="CG16" s="71">
        <f t="shared" ref="CG16" si="126">AW16</f>
        <v>384</v>
      </c>
      <c r="CH16" s="70">
        <f t="shared" ref="CH16" si="127">G16</f>
        <v>82</v>
      </c>
      <c r="CI16" s="71">
        <f t="shared" ref="CI16" si="128">K16</f>
        <v>86</v>
      </c>
      <c r="CJ16" s="72">
        <f t="shared" ref="CJ16" si="129">O16</f>
        <v>117</v>
      </c>
      <c r="CK16" s="72">
        <f t="shared" ref="CK16" si="130">S16</f>
        <v>123</v>
      </c>
      <c r="CL16" s="72">
        <f t="shared" ref="CL16" si="131">W16</f>
        <v>159</v>
      </c>
      <c r="CM16" s="72" t="str">
        <f t="shared" ref="CM16" si="132">AA16</f>
        <v>-</v>
      </c>
      <c r="CN16" s="72">
        <f t="shared" ref="CN16" si="133">AE16</f>
        <v>194</v>
      </c>
      <c r="CO16" s="72">
        <f t="shared" ref="CO16" si="134">AI16</f>
        <v>209</v>
      </c>
      <c r="CP16" s="72">
        <f t="shared" ref="CP16" si="135">AM16</f>
        <v>248</v>
      </c>
      <c r="CQ16" s="72">
        <f t="shared" ref="CQ16" si="136">AQ16</f>
        <v>350</v>
      </c>
      <c r="CR16" s="72">
        <f t="shared" ref="CR16" si="137">AU16</f>
        <v>383</v>
      </c>
      <c r="CS16" s="72">
        <f t="shared" ref="CS16" si="138">AY16</f>
        <v>395</v>
      </c>
      <c r="CT16" s="23">
        <f t="shared" ref="CT16" si="139">M16-K16</f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29" x14ac:dyDescent="0.2">
      <c r="A17" s="3" t="str">
        <f t="shared" ref="A17" si="140">CONCATENATE(B17,"_",C17)</f>
        <v>5ht2b_human_6DRY</v>
      </c>
      <c r="B17" s="3" t="s">
        <v>35</v>
      </c>
      <c r="C17" s="3" t="s">
        <v>1509</v>
      </c>
      <c r="D17" s="3" t="str">
        <f>IFERROR(MID(VLOOKUP($B17,Seqs!$A:$B,2,0),E17,1),"")</f>
        <v>K</v>
      </c>
      <c r="E17" s="3">
        <v>53</v>
      </c>
      <c r="F17" s="3" t="str">
        <f>IFERROR(MID(VLOOKUP($B17,Seqs!$A:$B,2,0),G17,1),"")</f>
        <v>E</v>
      </c>
      <c r="G17" s="3">
        <v>82</v>
      </c>
      <c r="H17" s="3" t="str">
        <f>IFERROR(MID(VLOOKUP($B17,Seqs!$A:$B,2,0),I17,1),"")</f>
        <v>K</v>
      </c>
      <c r="I17" s="23">
        <v>83</v>
      </c>
      <c r="J17" s="3" t="str">
        <f>IFERROR(MID(VLOOKUP($B17,Seqs!$A:$B,2,0),K17,1),"")</f>
        <v>Q</v>
      </c>
      <c r="K17" s="23">
        <v>86</v>
      </c>
      <c r="L17" s="3" t="str">
        <f>IFERROR(MID(VLOOKUP($B17,Seqs!$A:$B,2,0),M17,1),"")</f>
        <v>Y</v>
      </c>
      <c r="M17" s="3">
        <v>87</v>
      </c>
      <c r="N17" s="3" t="str">
        <f>IFERROR(MID(VLOOKUP($B17,Seqs!$A:$B,2,0),O17,1),"")</f>
        <v>F</v>
      </c>
      <c r="O17" s="3">
        <v>117</v>
      </c>
      <c r="P17" s="3" t="str">
        <f>IFERROR(MID(VLOOKUP($B17,Seqs!$A:$B,2,0),Q17,1),"")</f>
        <v>M</v>
      </c>
      <c r="Q17" s="3">
        <v>120</v>
      </c>
      <c r="R17" s="3" t="str">
        <f>IFERROR(MID(VLOOKUP($B17,Seqs!$A:$B,2,0),S17,1),"")</f>
        <v>L</v>
      </c>
      <c r="S17" s="3">
        <v>123</v>
      </c>
      <c r="T17" s="3" t="str">
        <f>IFERROR(MID(VLOOKUP($B17,Seqs!$A:$B,2,0),U17,1),"")</f>
        <v>P</v>
      </c>
      <c r="U17" s="3">
        <v>124</v>
      </c>
      <c r="V17" s="3" t="str">
        <f>IFERROR(MID(VLOOKUP($B17,Seqs!$A:$B,2,0),W17,1),"")</f>
        <v>K</v>
      </c>
      <c r="W17" s="3">
        <v>159</v>
      </c>
      <c r="X17" s="3" t="str">
        <f>IFERROR(MID(VLOOKUP($B17,Seqs!$A:$B,2,0),Y17,1),"")</f>
        <v/>
      </c>
      <c r="Y17" s="3" t="s">
        <v>23</v>
      </c>
      <c r="Z17" s="3" t="str">
        <f>IFERROR(MID(VLOOKUP($B17,Seqs!$A:$B,2,0),AA17,1),"")</f>
        <v/>
      </c>
      <c r="AA17" s="3" t="s">
        <v>23</v>
      </c>
      <c r="AB17" s="3" t="str">
        <f>IFERROR(MID(VLOOKUP($B17,Seqs!$A:$B,2,0),AC17,1),"")</f>
        <v>S</v>
      </c>
      <c r="AC17" s="3">
        <v>168</v>
      </c>
      <c r="AD17" s="3" t="str">
        <f>IFERROR(MID(VLOOKUP($B17,Seqs!$A:$B,2,0),AE17,1),"")</f>
        <v>G</v>
      </c>
      <c r="AE17" s="3">
        <v>194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F</v>
      </c>
      <c r="AK17" s="3">
        <v>214</v>
      </c>
      <c r="AL17" s="3" t="str">
        <f>IFERROR(MID(VLOOKUP($B17,Seqs!$A:$B,2,0),AM17,1),"")</f>
        <v>A</v>
      </c>
      <c r="AM17" s="3">
        <v>248</v>
      </c>
      <c r="AN17" s="3" t="str">
        <f>IFERROR(MID(VLOOKUP($B17,Seqs!$A:$B,2,0),AO17,1),"")</f>
        <v>V</v>
      </c>
      <c r="AO17" s="3">
        <v>313</v>
      </c>
      <c r="AP17" s="3" t="str">
        <f>IFERROR(MID(VLOOKUP($B17,Seqs!$A:$B,2,0),AQ17,1),"")</f>
        <v>C</v>
      </c>
      <c r="AQ17" s="3">
        <v>350</v>
      </c>
      <c r="AR17" s="3" t="str">
        <f>IFERROR(MID(VLOOKUP($B17,Seqs!$A:$B,2,0),AS17,1),"")</f>
        <v>N</v>
      </c>
      <c r="AS17" s="3">
        <v>354</v>
      </c>
      <c r="AT17" s="3" t="str">
        <f>IFERROR(MID(VLOOKUP($B17,Seqs!$A:$B,2,0),AU17,1),"")</f>
        <v>F</v>
      </c>
      <c r="AU17" s="3">
        <v>383</v>
      </c>
      <c r="AV17" s="3" t="str">
        <f>IFERROR(MID(VLOOKUP($B17,Seqs!$A:$B,2,0),AW17,1),"")</f>
        <v>N</v>
      </c>
      <c r="AW17" s="3">
        <v>384</v>
      </c>
      <c r="AX17" s="3" t="str">
        <f>IFERROR(MID(VLOOKUP($B17,Seqs!$A:$B,2,0),AY17,1),"")</f>
        <v>I</v>
      </c>
      <c r="AY17" s="3">
        <v>395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23">
        <f t="shared" ref="BC17" si="142">_xlfn.AGGREGATE(9,6,CH17:CS17)-_xlfn.AGGREGATE(9,6,BV17:CG17)+12</f>
        <v>251</v>
      </c>
      <c r="BD17" s="4" t="s">
        <v>23</v>
      </c>
      <c r="BE17" s="3" t="s">
        <v>1424</v>
      </c>
      <c r="BF17" s="118">
        <v>2.92</v>
      </c>
      <c r="BG17" s="49" t="s">
        <v>1</v>
      </c>
      <c r="BH17" s="49" t="s">
        <v>1</v>
      </c>
      <c r="BI17" s="1"/>
      <c r="BJ17" s="70" t="s">
        <v>1283</v>
      </c>
      <c r="BK17" s="57" t="s">
        <v>1283</v>
      </c>
      <c r="BL17" s="57" t="s">
        <v>1283</v>
      </c>
      <c r="BM17" s="57" t="s">
        <v>1283</v>
      </c>
      <c r="BN17" s="57" t="s">
        <v>1283</v>
      </c>
      <c r="BO17" s="57" t="s">
        <v>1283</v>
      </c>
      <c r="BP17" s="57" t="s">
        <v>1283</v>
      </c>
      <c r="BQ17" s="57" t="s">
        <v>1283</v>
      </c>
      <c r="BR17" s="57" t="s">
        <v>1283</v>
      </c>
      <c r="BS17" s="57" t="s">
        <v>1283</v>
      </c>
      <c r="BT17" s="57" t="s">
        <v>1283</v>
      </c>
      <c r="BU17" s="57" t="s">
        <v>1283</v>
      </c>
      <c r="BV17" s="70">
        <f t="shared" ref="BV17" si="143">E17</f>
        <v>53</v>
      </c>
      <c r="BW17" s="71">
        <f t="shared" ref="BW17" si="144">I17</f>
        <v>83</v>
      </c>
      <c r="BX17" s="72">
        <f t="shared" ref="BX17" si="145">M17</f>
        <v>87</v>
      </c>
      <c r="BY17" s="71">
        <f t="shared" ref="BY17" si="146">Q17</f>
        <v>120</v>
      </c>
      <c r="BZ17" s="72">
        <f t="shared" ref="BZ17" si="147">U17</f>
        <v>124</v>
      </c>
      <c r="CA17" s="71" t="str">
        <f t="shared" ref="CA17" si="148">Y17</f>
        <v>-</v>
      </c>
      <c r="CB17" s="72">
        <f t="shared" ref="CB17" si="149">AC17</f>
        <v>168</v>
      </c>
      <c r="CC17" s="71">
        <f t="shared" ref="CC17" si="150">AG17</f>
        <v>207</v>
      </c>
      <c r="CD17" s="72">
        <f t="shared" ref="CD17" si="151">AK17</f>
        <v>214</v>
      </c>
      <c r="CE17" s="71">
        <f t="shared" ref="CE17" si="152">AO17</f>
        <v>313</v>
      </c>
      <c r="CF17" s="72">
        <f t="shared" ref="CF17" si="153">AS17</f>
        <v>354</v>
      </c>
      <c r="CG17" s="71">
        <f t="shared" ref="CG17" si="154">AW17</f>
        <v>384</v>
      </c>
      <c r="CH17" s="70">
        <f t="shared" ref="CH17" si="155">G17</f>
        <v>82</v>
      </c>
      <c r="CI17" s="71">
        <f t="shared" ref="CI17" si="156">K17</f>
        <v>86</v>
      </c>
      <c r="CJ17" s="72">
        <f t="shared" ref="CJ17" si="157">O17</f>
        <v>117</v>
      </c>
      <c r="CK17" s="72">
        <f t="shared" ref="CK17" si="158">S17</f>
        <v>123</v>
      </c>
      <c r="CL17" s="72">
        <f t="shared" ref="CL17" si="159">W17</f>
        <v>159</v>
      </c>
      <c r="CM17" s="72" t="str">
        <f t="shared" ref="CM17" si="160">AA17</f>
        <v>-</v>
      </c>
      <c r="CN17" s="72">
        <f t="shared" ref="CN17" si="161">AE17</f>
        <v>194</v>
      </c>
      <c r="CO17" s="72">
        <f t="shared" ref="CO17" si="162">AI17</f>
        <v>209</v>
      </c>
      <c r="CP17" s="72">
        <f t="shared" ref="CP17" si="163">AM17</f>
        <v>248</v>
      </c>
      <c r="CQ17" s="72">
        <f t="shared" ref="CQ17" si="164">AQ17</f>
        <v>350</v>
      </c>
      <c r="CR17" s="72">
        <f t="shared" ref="CR17" si="165">AU17</f>
        <v>383</v>
      </c>
      <c r="CS17" s="72">
        <f t="shared" ref="CS17" si="166">AY17</f>
        <v>395</v>
      </c>
      <c r="CT17" s="23">
        <f t="shared" ref="CT17" si="167">M17-K17</f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29" x14ac:dyDescent="0.2">
      <c r="A18" s="3" t="str">
        <f t="shared" ref="A18" si="168">CONCATENATE(B18,"_",C18)</f>
        <v>5ht2b_human_6DRZ</v>
      </c>
      <c r="B18" s="3" t="s">
        <v>35</v>
      </c>
      <c r="C18" s="3" t="s">
        <v>1510</v>
      </c>
      <c r="D18" s="3" t="str">
        <f>IFERROR(MID(VLOOKUP($B18,Seqs!$A:$B,2,0),E18,1),"")</f>
        <v>K</v>
      </c>
      <c r="E18" s="3">
        <v>53</v>
      </c>
      <c r="F18" s="3" t="str">
        <f>IFERROR(MID(VLOOKUP($B18,Seqs!$A:$B,2,0),G18,1),"")</f>
        <v>E</v>
      </c>
      <c r="G18" s="3">
        <v>82</v>
      </c>
      <c r="H18" s="3" t="str">
        <f>IFERROR(MID(VLOOKUP($B18,Seqs!$A:$B,2,0),I18,1),"")</f>
        <v>K</v>
      </c>
      <c r="I18" s="23">
        <v>83</v>
      </c>
      <c r="J18" s="3" t="str">
        <f>IFERROR(MID(VLOOKUP($B18,Seqs!$A:$B,2,0),K18,1),"")</f>
        <v>Q</v>
      </c>
      <c r="K18" s="23">
        <v>86</v>
      </c>
      <c r="L18" s="3" t="str">
        <f>IFERROR(MID(VLOOKUP($B18,Seqs!$A:$B,2,0),M18,1),"")</f>
        <v>Y</v>
      </c>
      <c r="M18" s="3">
        <v>87</v>
      </c>
      <c r="N18" s="3" t="str">
        <f>IFERROR(MID(VLOOKUP($B18,Seqs!$A:$B,2,0),O18,1),"")</f>
        <v>F</v>
      </c>
      <c r="O18" s="3">
        <v>117</v>
      </c>
      <c r="P18" s="3" t="str">
        <f>IFERROR(MID(VLOOKUP($B18,Seqs!$A:$B,2,0),Q18,1),"")</f>
        <v>M</v>
      </c>
      <c r="Q18" s="3">
        <v>120</v>
      </c>
      <c r="R18" s="3" t="str">
        <f>IFERROR(MID(VLOOKUP($B18,Seqs!$A:$B,2,0),S18,1),"")</f>
        <v>L</v>
      </c>
      <c r="S18" s="3">
        <v>123</v>
      </c>
      <c r="T18" s="3" t="str">
        <f>IFERROR(MID(VLOOKUP($B18,Seqs!$A:$B,2,0),U18,1),"")</f>
        <v>P</v>
      </c>
      <c r="U18" s="3">
        <v>124</v>
      </c>
      <c r="V18" s="3" t="str">
        <f>IFERROR(MID(VLOOKUP($B18,Seqs!$A:$B,2,0),W18,1),"")</f>
        <v>K</v>
      </c>
      <c r="W18" s="3">
        <v>159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R</v>
      </c>
      <c r="AC18" s="3">
        <v>169</v>
      </c>
      <c r="AD18" s="3" t="str">
        <f>IFERROR(MID(VLOOKUP($B18,Seqs!$A:$B,2,0),AE18,1),"")</f>
        <v>G</v>
      </c>
      <c r="AE18" s="3">
        <v>194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F</v>
      </c>
      <c r="AK18" s="3">
        <v>214</v>
      </c>
      <c r="AL18" s="3" t="str">
        <f>IFERROR(MID(VLOOKUP($B18,Seqs!$A:$B,2,0),AM18,1),"")</f>
        <v>A</v>
      </c>
      <c r="AM18" s="3">
        <v>248</v>
      </c>
      <c r="AN18" s="3" t="str">
        <f>IFERROR(MID(VLOOKUP($B18,Seqs!$A:$B,2,0),AO18,1),"")</f>
        <v>V</v>
      </c>
      <c r="AO18" s="3">
        <v>313</v>
      </c>
      <c r="AP18" s="3" t="str">
        <f>IFERROR(MID(VLOOKUP($B18,Seqs!$A:$B,2,0),AQ18,1),"")</f>
        <v>C</v>
      </c>
      <c r="AQ18" s="3">
        <v>350</v>
      </c>
      <c r="AR18" s="3" t="str">
        <f>IFERROR(MID(VLOOKUP($B18,Seqs!$A:$B,2,0),AS18,1),"")</f>
        <v>N</v>
      </c>
      <c r="AS18" s="3">
        <v>354</v>
      </c>
      <c r="AT18" s="3" t="str">
        <f>IFERROR(MID(VLOOKUP($B18,Seqs!$A:$B,2,0),AU18,1),"")</f>
        <v>F</v>
      </c>
      <c r="AU18" s="3">
        <v>383</v>
      </c>
      <c r="AV18" s="3" t="str">
        <f>IFERROR(MID(VLOOKUP($B18,Seqs!$A:$B,2,0),AW18,1),"")</f>
        <v>N</v>
      </c>
      <c r="AW18" s="3">
        <v>384</v>
      </c>
      <c r="AX18" s="3" t="str">
        <f>IFERROR(MID(VLOOKUP($B18,Seqs!$A:$B,2,0),AY18,1),"")</f>
        <v>I</v>
      </c>
      <c r="AY18" s="3">
        <v>395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23">
        <f t="shared" ref="BC18" si="170">_xlfn.AGGREGATE(9,6,CH18:CS18)-_xlfn.AGGREGATE(9,6,BV18:CG18)+12</f>
        <v>250</v>
      </c>
      <c r="BD18" s="4" t="s">
        <v>23</v>
      </c>
      <c r="BE18" s="3" t="s">
        <v>1424</v>
      </c>
      <c r="BF18" s="118">
        <v>3.1</v>
      </c>
      <c r="BG18" s="49" t="s">
        <v>1</v>
      </c>
      <c r="BH18" s="49" t="s">
        <v>1</v>
      </c>
      <c r="BI18" s="1"/>
      <c r="BJ18" s="70" t="s">
        <v>1283</v>
      </c>
      <c r="BK18" s="57" t="s">
        <v>1283</v>
      </c>
      <c r="BL18" s="57" t="s">
        <v>1283</v>
      </c>
      <c r="BM18" s="57" t="s">
        <v>1283</v>
      </c>
      <c r="BN18" s="57" t="s">
        <v>1283</v>
      </c>
      <c r="BO18" s="57" t="s">
        <v>1283</v>
      </c>
      <c r="BP18" s="57" t="s">
        <v>1283</v>
      </c>
      <c r="BQ18" s="57" t="s">
        <v>1283</v>
      </c>
      <c r="BR18" s="57" t="s">
        <v>1283</v>
      </c>
      <c r="BS18" s="57" t="s">
        <v>1283</v>
      </c>
      <c r="BT18" s="57" t="s">
        <v>1283</v>
      </c>
      <c r="BU18" s="57" t="s">
        <v>1283</v>
      </c>
      <c r="BV18" s="70">
        <f t="shared" ref="BV18" si="171">E18</f>
        <v>53</v>
      </c>
      <c r="BW18" s="71">
        <f t="shared" ref="BW18" si="172">I18</f>
        <v>83</v>
      </c>
      <c r="BX18" s="72">
        <f t="shared" ref="BX18" si="173">M18</f>
        <v>87</v>
      </c>
      <c r="BY18" s="71">
        <f t="shared" ref="BY18" si="174">Q18</f>
        <v>120</v>
      </c>
      <c r="BZ18" s="72">
        <f t="shared" ref="BZ18" si="175">U18</f>
        <v>124</v>
      </c>
      <c r="CA18" s="71" t="str">
        <f t="shared" ref="CA18" si="176">Y18</f>
        <v>-</v>
      </c>
      <c r="CB18" s="72">
        <f t="shared" ref="CB18" si="177">AC18</f>
        <v>169</v>
      </c>
      <c r="CC18" s="71">
        <f t="shared" ref="CC18" si="178">AG18</f>
        <v>207</v>
      </c>
      <c r="CD18" s="72">
        <f t="shared" ref="CD18" si="179">AK18</f>
        <v>214</v>
      </c>
      <c r="CE18" s="71">
        <f t="shared" ref="CE18" si="180">AO18</f>
        <v>313</v>
      </c>
      <c r="CF18" s="72">
        <f t="shared" ref="CF18" si="181">AS18</f>
        <v>354</v>
      </c>
      <c r="CG18" s="71">
        <f t="shared" ref="CG18" si="182">AW18</f>
        <v>384</v>
      </c>
      <c r="CH18" s="70">
        <f t="shared" ref="CH18" si="183">G18</f>
        <v>82</v>
      </c>
      <c r="CI18" s="71">
        <f t="shared" ref="CI18" si="184">K18</f>
        <v>86</v>
      </c>
      <c r="CJ18" s="72">
        <f t="shared" ref="CJ18" si="185">O18</f>
        <v>117</v>
      </c>
      <c r="CK18" s="72">
        <f t="shared" ref="CK18" si="186">S18</f>
        <v>123</v>
      </c>
      <c r="CL18" s="72">
        <f t="shared" ref="CL18" si="187">W18</f>
        <v>159</v>
      </c>
      <c r="CM18" s="72" t="str">
        <f t="shared" ref="CM18" si="188">AA18</f>
        <v>-</v>
      </c>
      <c r="CN18" s="72">
        <f t="shared" ref="CN18" si="189">AE18</f>
        <v>194</v>
      </c>
      <c r="CO18" s="72">
        <f t="shared" ref="CO18" si="190">AI18</f>
        <v>209</v>
      </c>
      <c r="CP18" s="72">
        <f t="shared" ref="CP18" si="191">AM18</f>
        <v>248</v>
      </c>
      <c r="CQ18" s="72">
        <f t="shared" ref="CQ18" si="192">AQ18</f>
        <v>350</v>
      </c>
      <c r="CR18" s="72">
        <f t="shared" ref="CR18" si="193">AU18</f>
        <v>383</v>
      </c>
      <c r="CS18" s="72">
        <f t="shared" ref="CS18" si="194">AY18</f>
        <v>395</v>
      </c>
      <c r="CT18" s="23">
        <f t="shared" ref="CT18" si="195">M18-K18</f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29" x14ac:dyDescent="0.2">
      <c r="A19" s="3" t="str">
        <f t="shared" ref="A19" si="196">CONCATENATE(B19,"_",C19)</f>
        <v>5ht2b_human_6DS0</v>
      </c>
      <c r="B19" s="3" t="s">
        <v>35</v>
      </c>
      <c r="C19" s="3" t="s">
        <v>1511</v>
      </c>
      <c r="D19" s="3" t="str">
        <f>IFERROR(MID(VLOOKUP($B19,Seqs!$A:$B,2,0),E19,1),"")</f>
        <v>K</v>
      </c>
      <c r="E19" s="3">
        <v>53</v>
      </c>
      <c r="F19" s="3" t="str">
        <f>IFERROR(MID(VLOOKUP($B19,Seqs!$A:$B,2,0),G19,1),"")</f>
        <v>E</v>
      </c>
      <c r="G19" s="3">
        <v>82</v>
      </c>
      <c r="H19" s="3" t="str">
        <f>IFERROR(MID(VLOOKUP($B19,Seqs!$A:$B,2,0),I19,1),"")</f>
        <v>K</v>
      </c>
      <c r="I19" s="23">
        <v>83</v>
      </c>
      <c r="J19" s="3" t="str">
        <f>IFERROR(MID(VLOOKUP($B19,Seqs!$A:$B,2,0),K19,1),"")</f>
        <v>Q</v>
      </c>
      <c r="K19" s="23">
        <v>86</v>
      </c>
      <c r="L19" s="3" t="str">
        <f>IFERROR(MID(VLOOKUP($B19,Seqs!$A:$B,2,0),M19,1),"")</f>
        <v>Y</v>
      </c>
      <c r="M19" s="3">
        <v>87</v>
      </c>
      <c r="N19" s="3" t="str">
        <f>IFERROR(MID(VLOOKUP($B19,Seqs!$A:$B,2,0),O19,1),"")</f>
        <v>F</v>
      </c>
      <c r="O19" s="3">
        <v>117</v>
      </c>
      <c r="P19" s="3" t="str">
        <f>IFERROR(MID(VLOOKUP($B19,Seqs!$A:$B,2,0),Q19,1),"")</f>
        <v>M</v>
      </c>
      <c r="Q19" s="3">
        <v>120</v>
      </c>
      <c r="R19" s="3" t="str">
        <f>IFERROR(MID(VLOOKUP($B19,Seqs!$A:$B,2,0),S19,1),"")</f>
        <v>L</v>
      </c>
      <c r="S19" s="3">
        <v>123</v>
      </c>
      <c r="T19" s="3" t="str">
        <f>IFERROR(MID(VLOOKUP($B19,Seqs!$A:$B,2,0),U19,1),"")</f>
        <v>P</v>
      </c>
      <c r="U19" s="3">
        <v>124</v>
      </c>
      <c r="V19" s="3" t="str">
        <f>IFERROR(MID(VLOOKUP($B19,Seqs!$A:$B,2,0),W19,1),"")</f>
        <v>K</v>
      </c>
      <c r="W19" s="3">
        <v>159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N</v>
      </c>
      <c r="AC19" s="3">
        <v>167</v>
      </c>
      <c r="AD19" s="3" t="str">
        <f>IFERROR(MID(VLOOKUP($B19,Seqs!$A:$B,2,0),AE19,1),"")</f>
        <v>G</v>
      </c>
      <c r="AE19" s="3">
        <v>194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F</v>
      </c>
      <c r="AK19" s="3">
        <v>214</v>
      </c>
      <c r="AL19" s="3" t="str">
        <f>IFERROR(MID(VLOOKUP($B19,Seqs!$A:$B,2,0),AM19,1),"")</f>
        <v>A</v>
      </c>
      <c r="AM19" s="3">
        <v>248</v>
      </c>
      <c r="AN19" s="3" t="str">
        <f>IFERROR(MID(VLOOKUP($B19,Seqs!$A:$B,2,0),AO19,1),"")</f>
        <v>Q</v>
      </c>
      <c r="AO19" s="3">
        <v>314</v>
      </c>
      <c r="AP19" s="3" t="str">
        <f>IFERROR(MID(VLOOKUP($B19,Seqs!$A:$B,2,0),AQ19,1),"")</f>
        <v>C</v>
      </c>
      <c r="AQ19" s="3">
        <v>350</v>
      </c>
      <c r="AR19" s="3" t="str">
        <f>IFERROR(MID(VLOOKUP($B19,Seqs!$A:$B,2,0),AS19,1),"")</f>
        <v>N</v>
      </c>
      <c r="AS19" s="3">
        <v>354</v>
      </c>
      <c r="AT19" s="3" t="str">
        <f>IFERROR(MID(VLOOKUP($B19,Seqs!$A:$B,2,0),AU19,1),"")</f>
        <v>F</v>
      </c>
      <c r="AU19" s="3">
        <v>383</v>
      </c>
      <c r="AV19" s="3" t="str">
        <f>IFERROR(MID(VLOOKUP($B19,Seqs!$A:$B,2,0),AW19,1),"")</f>
        <v>N</v>
      </c>
      <c r="AW19" s="3">
        <v>384</v>
      </c>
      <c r="AX19" s="3" t="str">
        <f>IFERROR(MID(VLOOKUP($B19,Seqs!$A:$B,2,0),AY19,1),"")</f>
        <v>I</v>
      </c>
      <c r="AY19" s="3">
        <v>395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23">
        <f t="shared" ref="BC19" si="198">_xlfn.AGGREGATE(9,6,CH19:CS19)-_xlfn.AGGREGATE(9,6,BV19:CG19)+12</f>
        <v>251</v>
      </c>
      <c r="BD19" s="4" t="s">
        <v>23</v>
      </c>
      <c r="BE19" s="3" t="s">
        <v>1424</v>
      </c>
      <c r="BF19" s="118">
        <v>3.19</v>
      </c>
      <c r="BG19" s="49" t="s">
        <v>1</v>
      </c>
      <c r="BH19" s="49" t="s">
        <v>1</v>
      </c>
      <c r="BI19" s="1"/>
      <c r="BJ19" s="70" t="s">
        <v>1283</v>
      </c>
      <c r="BK19" s="57" t="s">
        <v>1283</v>
      </c>
      <c r="BL19" s="57" t="s">
        <v>1283</v>
      </c>
      <c r="BM19" s="57" t="s">
        <v>1283</v>
      </c>
      <c r="BN19" s="57" t="s">
        <v>1283</v>
      </c>
      <c r="BO19" s="57" t="s">
        <v>1283</v>
      </c>
      <c r="BP19" s="57" t="s">
        <v>1283</v>
      </c>
      <c r="BQ19" s="57" t="s">
        <v>1283</v>
      </c>
      <c r="BR19" s="57" t="s">
        <v>1283</v>
      </c>
      <c r="BS19" s="57" t="s">
        <v>1283</v>
      </c>
      <c r="BT19" s="57" t="s">
        <v>1283</v>
      </c>
      <c r="BU19" s="57" t="s">
        <v>1283</v>
      </c>
      <c r="BV19" s="70">
        <f t="shared" ref="BV19" si="199">E19</f>
        <v>53</v>
      </c>
      <c r="BW19" s="71">
        <f t="shared" ref="BW19" si="200">I19</f>
        <v>83</v>
      </c>
      <c r="BX19" s="72">
        <f t="shared" ref="BX19" si="201">M19</f>
        <v>87</v>
      </c>
      <c r="BY19" s="71">
        <f t="shared" ref="BY19" si="202">Q19</f>
        <v>120</v>
      </c>
      <c r="BZ19" s="72">
        <f t="shared" ref="BZ19" si="203">U19</f>
        <v>124</v>
      </c>
      <c r="CA19" s="71" t="str">
        <f t="shared" ref="CA19" si="204">Y19</f>
        <v>-</v>
      </c>
      <c r="CB19" s="72">
        <f t="shared" ref="CB19" si="205">AC19</f>
        <v>167</v>
      </c>
      <c r="CC19" s="71">
        <f t="shared" ref="CC19" si="206">AG19</f>
        <v>207</v>
      </c>
      <c r="CD19" s="72">
        <f t="shared" ref="CD19" si="207">AK19</f>
        <v>214</v>
      </c>
      <c r="CE19" s="71">
        <f t="shared" ref="CE19" si="208">AO19</f>
        <v>314</v>
      </c>
      <c r="CF19" s="72">
        <f t="shared" ref="CF19" si="209">AS19</f>
        <v>354</v>
      </c>
      <c r="CG19" s="71">
        <f t="shared" ref="CG19" si="210">AW19</f>
        <v>384</v>
      </c>
      <c r="CH19" s="70">
        <f t="shared" ref="CH19" si="211">G19</f>
        <v>82</v>
      </c>
      <c r="CI19" s="71">
        <f t="shared" ref="CI19" si="212">K19</f>
        <v>86</v>
      </c>
      <c r="CJ19" s="72">
        <f t="shared" ref="CJ19" si="213">O19</f>
        <v>117</v>
      </c>
      <c r="CK19" s="72">
        <f t="shared" ref="CK19" si="214">S19</f>
        <v>123</v>
      </c>
      <c r="CL19" s="72">
        <f t="shared" ref="CL19" si="215">W19</f>
        <v>159</v>
      </c>
      <c r="CM19" s="72" t="str">
        <f t="shared" ref="CM19" si="216">AA19</f>
        <v>-</v>
      </c>
      <c r="CN19" s="72">
        <f t="shared" ref="CN19" si="217">AE19</f>
        <v>194</v>
      </c>
      <c r="CO19" s="72">
        <f t="shared" ref="CO19" si="218">AI19</f>
        <v>209</v>
      </c>
      <c r="CP19" s="72">
        <f t="shared" ref="CP19" si="219">AM19</f>
        <v>248</v>
      </c>
      <c r="CQ19" s="72">
        <f t="shared" ref="CQ19" si="220">AQ19</f>
        <v>350</v>
      </c>
      <c r="CR19" s="72">
        <f t="shared" ref="CR19" si="221">AU19</f>
        <v>383</v>
      </c>
      <c r="CS19" s="72">
        <f t="shared" ref="CS19" si="222">AY19</f>
        <v>395</v>
      </c>
      <c r="CT19" s="23">
        <f t="shared" ref="CT19" si="223">M19-K19</f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8" t="s">
        <v>23</v>
      </c>
      <c r="BG20" s="49" t="s">
        <v>1373</v>
      </c>
      <c r="BH20" s="49" t="s">
        <v>1373</v>
      </c>
      <c r="BI20" s="1"/>
      <c r="BJ20" s="70" t="s">
        <v>1283</v>
      </c>
      <c r="BK20" s="57" t="s">
        <v>1283</v>
      </c>
      <c r="BL20" s="57" t="s">
        <v>1283</v>
      </c>
      <c r="BM20" s="57" t="s">
        <v>1283</v>
      </c>
      <c r="BN20" s="57" t="s">
        <v>1283</v>
      </c>
      <c r="BO20" s="57" t="s">
        <v>1283</v>
      </c>
      <c r="BP20" s="57" t="s">
        <v>1283</v>
      </c>
      <c r="BQ20" s="57" t="s">
        <v>1283</v>
      </c>
      <c r="BR20" s="57" t="s">
        <v>1283</v>
      </c>
      <c r="BS20" s="57" t="s">
        <v>1283</v>
      </c>
      <c r="BT20" s="57" t="s">
        <v>1283</v>
      </c>
      <c r="BU20" s="57" t="s">
        <v>1283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1461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1371</v>
      </c>
      <c r="BE21" s="3" t="s">
        <v>1287</v>
      </c>
      <c r="BF21" s="118">
        <v>3</v>
      </c>
      <c r="BG21" s="49" t="s">
        <v>1</v>
      </c>
      <c r="BH21" s="49" t="s">
        <v>1</v>
      </c>
      <c r="BI21" s="1"/>
      <c r="BJ21" s="70" t="s">
        <v>1283</v>
      </c>
      <c r="BK21" s="57" t="s">
        <v>1283</v>
      </c>
      <c r="BL21" s="57" t="s">
        <v>1283</v>
      </c>
      <c r="BM21" s="57" t="s">
        <v>1283</v>
      </c>
      <c r="BN21" s="57" t="s">
        <v>1283</v>
      </c>
      <c r="BO21" s="57" t="s">
        <v>1283</v>
      </c>
      <c r="BP21" s="57" t="s">
        <v>1283</v>
      </c>
      <c r="BQ21" s="57" t="s">
        <v>1283</v>
      </c>
      <c r="BR21" s="57" t="s">
        <v>1283</v>
      </c>
      <c r="BS21" s="57" t="s">
        <v>1283</v>
      </c>
      <c r="BT21" s="57" t="s">
        <v>1283</v>
      </c>
      <c r="BU21" s="57" t="s">
        <v>1283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1462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1425</v>
      </c>
      <c r="BE22" s="3" t="s">
        <v>1424</v>
      </c>
      <c r="BF22" s="118">
        <v>2.7</v>
      </c>
      <c r="BG22" s="49" t="s">
        <v>1</v>
      </c>
      <c r="BH22" s="49" t="s">
        <v>1</v>
      </c>
      <c r="BI22" s="1"/>
      <c r="BJ22" s="70" t="s">
        <v>1283</v>
      </c>
      <c r="BK22" s="57" t="s">
        <v>1283</v>
      </c>
      <c r="BL22" s="57" t="s">
        <v>1283</v>
      </c>
      <c r="BM22" s="57" t="s">
        <v>1283</v>
      </c>
      <c r="BN22" s="57" t="s">
        <v>1283</v>
      </c>
      <c r="BO22" s="57" t="s">
        <v>1283</v>
      </c>
      <c r="BP22" s="57" t="s">
        <v>1283</v>
      </c>
      <c r="BQ22" s="57" t="s">
        <v>1283</v>
      </c>
      <c r="BR22" s="57" t="s">
        <v>1283</v>
      </c>
      <c r="BS22" s="57" t="s">
        <v>1283</v>
      </c>
      <c r="BT22" s="57" t="s">
        <v>1283</v>
      </c>
      <c r="BU22" s="57" t="s">
        <v>1283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8" t="s">
        <v>23</v>
      </c>
      <c r="BG23" s="49" t="s">
        <v>1373</v>
      </c>
      <c r="BH23" s="49" t="s">
        <v>1373</v>
      </c>
      <c r="BI23" s="1"/>
      <c r="BJ23" s="70" t="s">
        <v>1283</v>
      </c>
      <c r="BK23" s="57" t="s">
        <v>1283</v>
      </c>
      <c r="BL23" s="57" t="s">
        <v>1283</v>
      </c>
      <c r="BM23" s="57" t="s">
        <v>1283</v>
      </c>
      <c r="BN23" s="57" t="s">
        <v>1283</v>
      </c>
      <c r="BO23" s="57" t="s">
        <v>1283</v>
      </c>
      <c r="BP23" s="57" t="s">
        <v>1283</v>
      </c>
      <c r="BQ23" s="57" t="s">
        <v>1283</v>
      </c>
      <c r="BR23" s="57" t="s">
        <v>1283</v>
      </c>
      <c r="BS23" s="57" t="s">
        <v>1283</v>
      </c>
      <c r="BT23" s="57" t="s">
        <v>1283</v>
      </c>
      <c r="BU23" s="57" t="s">
        <v>1283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1427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1370</v>
      </c>
      <c r="BF24" s="118">
        <v>3.3</v>
      </c>
      <c r="BG24" s="49" t="s">
        <v>1</v>
      </c>
      <c r="BH24" s="49" t="s">
        <v>1</v>
      </c>
      <c r="BI24" s="1"/>
      <c r="BJ24" s="70" t="s">
        <v>1283</v>
      </c>
      <c r="BK24" s="57" t="s">
        <v>1283</v>
      </c>
      <c r="BL24" s="57" t="s">
        <v>1283</v>
      </c>
      <c r="BM24" s="57" t="s">
        <v>1283</v>
      </c>
      <c r="BN24" s="57" t="s">
        <v>1283</v>
      </c>
      <c r="BO24" s="57" t="s">
        <v>1283</v>
      </c>
      <c r="BP24" s="57" t="s">
        <v>1283</v>
      </c>
      <c r="BQ24" s="57" t="s">
        <v>1283</v>
      </c>
      <c r="BR24" s="57" t="s">
        <v>1283</v>
      </c>
      <c r="BS24" s="57" t="s">
        <v>1283</v>
      </c>
      <c r="BT24" s="57" t="s">
        <v>1283</v>
      </c>
      <c r="BU24" s="57" t="s">
        <v>1283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1385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1372</v>
      </c>
      <c r="BE25" s="3" t="s">
        <v>1370</v>
      </c>
      <c r="BF25" s="118">
        <v>3.2</v>
      </c>
      <c r="BG25" s="49" t="s">
        <v>1373</v>
      </c>
      <c r="BH25" s="49" t="s">
        <v>1373</v>
      </c>
      <c r="BI25" s="1"/>
      <c r="BJ25" s="70" t="s">
        <v>1283</v>
      </c>
      <c r="BK25" s="57" t="s">
        <v>1283</v>
      </c>
      <c r="BL25" s="57" t="s">
        <v>1283</v>
      </c>
      <c r="BM25" s="57" t="s">
        <v>1283</v>
      </c>
      <c r="BN25" s="57" t="s">
        <v>1283</v>
      </c>
      <c r="BO25" s="57" t="s">
        <v>1283</v>
      </c>
      <c r="BP25" s="57" t="s">
        <v>1283</v>
      </c>
      <c r="BQ25" s="57" t="s">
        <v>1283</v>
      </c>
      <c r="BR25" s="57" t="s">
        <v>1283</v>
      </c>
      <c r="BS25" s="57" t="s">
        <v>1283</v>
      </c>
      <c r="BT25" s="57" t="s">
        <v>1283</v>
      </c>
      <c r="BU25" s="57" t="s">
        <v>1283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1499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1371</v>
      </c>
      <c r="BE26" s="3" t="s">
        <v>1287</v>
      </c>
      <c r="BF26" s="118">
        <v>3.6</v>
      </c>
      <c r="BG26" s="49" t="s">
        <v>1418</v>
      </c>
      <c r="BH26" s="49" t="s">
        <v>1418</v>
      </c>
      <c r="BI26" s="1"/>
      <c r="BJ26" s="70" t="s">
        <v>1283</v>
      </c>
      <c r="BK26" s="57" t="s">
        <v>1283</v>
      </c>
      <c r="BL26" s="57" t="s">
        <v>1283</v>
      </c>
      <c r="BM26" s="57" t="s">
        <v>1283</v>
      </c>
      <c r="BN26" s="57" t="s">
        <v>1283</v>
      </c>
      <c r="BO26" s="57" t="s">
        <v>1283</v>
      </c>
      <c r="BP26" s="57" t="s">
        <v>1283</v>
      </c>
      <c r="BQ26" s="57" t="s">
        <v>1283</v>
      </c>
      <c r="BR26" s="57" t="s">
        <v>1283</v>
      </c>
      <c r="BS26" s="57" t="s">
        <v>1283</v>
      </c>
      <c r="BT26" s="57" t="s">
        <v>1283</v>
      </c>
      <c r="BU26" s="57" t="s">
        <v>1283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8" t="s">
        <v>23</v>
      </c>
      <c r="BG27" s="49" t="s">
        <v>1368</v>
      </c>
      <c r="BH27" s="49" t="s">
        <v>1373</v>
      </c>
      <c r="BI27" s="1"/>
      <c r="BJ27" s="70" t="s">
        <v>1283</v>
      </c>
      <c r="BK27" s="57" t="s">
        <v>1283</v>
      </c>
      <c r="BL27" s="57" t="s">
        <v>1283</v>
      </c>
      <c r="BM27" s="57" t="s">
        <v>1283</v>
      </c>
      <c r="BN27" s="57" t="s">
        <v>1283</v>
      </c>
      <c r="BO27" s="57" t="s">
        <v>1283</v>
      </c>
      <c r="BP27" s="57" t="s">
        <v>1283</v>
      </c>
      <c r="BQ27" s="57" t="s">
        <v>1283</v>
      </c>
      <c r="BR27" s="57" t="s">
        <v>1283</v>
      </c>
      <c r="BS27" s="57" t="s">
        <v>1283</v>
      </c>
      <c r="BT27" s="57" t="s">
        <v>1283</v>
      </c>
      <c r="BU27" s="57" t="s">
        <v>1283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1024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1424</v>
      </c>
      <c r="BF28" s="118">
        <v>3</v>
      </c>
      <c r="BG28" s="49" t="s">
        <v>1373</v>
      </c>
      <c r="BH28" s="49" t="s">
        <v>1373</v>
      </c>
      <c r="BI28" s="1"/>
      <c r="BJ28" s="70" t="s">
        <v>1283</v>
      </c>
      <c r="BK28" s="57" t="s">
        <v>1283</v>
      </c>
      <c r="BL28" s="57" t="s">
        <v>1283</v>
      </c>
      <c r="BM28" s="57" t="s">
        <v>1283</v>
      </c>
      <c r="BN28" s="57" t="s">
        <v>1283</v>
      </c>
      <c r="BO28" s="57" t="s">
        <v>1283</v>
      </c>
      <c r="BP28" s="57" t="s">
        <v>1283</v>
      </c>
      <c r="BQ28" s="57" t="s">
        <v>1283</v>
      </c>
      <c r="BR28" s="57" t="s">
        <v>1283</v>
      </c>
      <c r="BS28" s="57" t="s">
        <v>1283</v>
      </c>
      <c r="BT28" s="57" t="s">
        <v>1283</v>
      </c>
      <c r="BU28" s="57" t="s">
        <v>1283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1424</v>
      </c>
      <c r="BF29" s="118">
        <v>2.6</v>
      </c>
      <c r="BG29" s="49" t="s">
        <v>1373</v>
      </c>
      <c r="BH29" s="49" t="s">
        <v>1373</v>
      </c>
      <c r="BI29" s="1"/>
      <c r="BJ29" s="70" t="s">
        <v>1283</v>
      </c>
      <c r="BK29" s="57" t="s">
        <v>1283</v>
      </c>
      <c r="BL29" s="57" t="s">
        <v>1283</v>
      </c>
      <c r="BM29" s="57" t="s">
        <v>1283</v>
      </c>
      <c r="BN29" s="57" t="s">
        <v>1283</v>
      </c>
      <c r="BO29" s="57" t="s">
        <v>1283</v>
      </c>
      <c r="BP29" s="57" t="s">
        <v>1283</v>
      </c>
      <c r="BQ29" s="57" t="s">
        <v>1283</v>
      </c>
      <c r="BR29" s="57" t="s">
        <v>1283</v>
      </c>
      <c r="BS29" s="57" t="s">
        <v>1283</v>
      </c>
      <c r="BT29" s="57" t="s">
        <v>1283</v>
      </c>
      <c r="BU29" s="57" t="s">
        <v>1283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1029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1424</v>
      </c>
      <c r="BF30" s="118">
        <v>2.71</v>
      </c>
      <c r="BG30" s="49" t="s">
        <v>1373</v>
      </c>
      <c r="BH30" s="49" t="s">
        <v>1373</v>
      </c>
      <c r="BI30" s="1"/>
      <c r="BJ30" s="70" t="s">
        <v>1283</v>
      </c>
      <c r="BK30" s="57" t="s">
        <v>1283</v>
      </c>
      <c r="BL30" s="57" t="s">
        <v>1283</v>
      </c>
      <c r="BM30" s="57" t="s">
        <v>1283</v>
      </c>
      <c r="BN30" s="57" t="s">
        <v>1283</v>
      </c>
      <c r="BO30" s="57" t="s">
        <v>1283</v>
      </c>
      <c r="BP30" s="57" t="s">
        <v>1283</v>
      </c>
      <c r="BQ30" s="57" t="s">
        <v>1283</v>
      </c>
      <c r="BR30" s="57" t="s">
        <v>1283</v>
      </c>
      <c r="BS30" s="57" t="s">
        <v>1283</v>
      </c>
      <c r="BT30" s="57" t="s">
        <v>1283</v>
      </c>
      <c r="BU30" s="57" t="s">
        <v>1283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1424</v>
      </c>
      <c r="BF31" s="118">
        <v>3.31</v>
      </c>
      <c r="BG31" s="49" t="s">
        <v>1373</v>
      </c>
      <c r="BH31" s="49" t="s">
        <v>1373</v>
      </c>
      <c r="BI31" s="1"/>
      <c r="BJ31" s="70" t="s">
        <v>1283</v>
      </c>
      <c r="BK31" s="57" t="s">
        <v>1283</v>
      </c>
      <c r="BL31" s="57" t="s">
        <v>1283</v>
      </c>
      <c r="BM31" s="57" t="s">
        <v>1283</v>
      </c>
      <c r="BN31" s="57" t="s">
        <v>1283</v>
      </c>
      <c r="BO31" s="57" t="s">
        <v>1283</v>
      </c>
      <c r="BP31" s="57" t="s">
        <v>1283</v>
      </c>
      <c r="BQ31" s="57" t="s">
        <v>1283</v>
      </c>
      <c r="BR31" s="57" t="s">
        <v>1283</v>
      </c>
      <c r="BS31" s="57" t="s">
        <v>1283</v>
      </c>
      <c r="BT31" s="57" t="s">
        <v>1283</v>
      </c>
      <c r="BU31" s="57" t="s">
        <v>1283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1030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1370</v>
      </c>
      <c r="BF32" s="118">
        <v>3.6</v>
      </c>
      <c r="BG32" s="49" t="s">
        <v>1373</v>
      </c>
      <c r="BH32" s="49" t="s">
        <v>1373</v>
      </c>
      <c r="BI32" s="1"/>
      <c r="BJ32" s="70" t="s">
        <v>1283</v>
      </c>
      <c r="BK32" s="57" t="s">
        <v>1283</v>
      </c>
      <c r="BL32" s="57" t="s">
        <v>1283</v>
      </c>
      <c r="BM32" s="57" t="s">
        <v>1283</v>
      </c>
      <c r="BN32" s="57" t="s">
        <v>1283</v>
      </c>
      <c r="BO32" s="57" t="s">
        <v>1283</v>
      </c>
      <c r="BP32" s="57" t="s">
        <v>1283</v>
      </c>
      <c r="BQ32" s="57" t="s">
        <v>1283</v>
      </c>
      <c r="BR32" s="57" t="s">
        <v>1283</v>
      </c>
      <c r="BS32" s="57" t="s">
        <v>1283</v>
      </c>
      <c r="BT32" s="57" t="s">
        <v>1283</v>
      </c>
      <c r="BU32" s="57" t="s">
        <v>1283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1031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1370</v>
      </c>
      <c r="BF33" s="118">
        <v>3.27</v>
      </c>
      <c r="BG33" s="49" t="s">
        <v>1373</v>
      </c>
      <c r="BH33" s="49" t="s">
        <v>1373</v>
      </c>
      <c r="BI33" s="1"/>
      <c r="BJ33" s="70" t="s">
        <v>1283</v>
      </c>
      <c r="BK33" s="57" t="s">
        <v>1283</v>
      </c>
      <c r="BL33" s="57" t="s">
        <v>1283</v>
      </c>
      <c r="BM33" s="57" t="s">
        <v>1283</v>
      </c>
      <c r="BN33" s="57" t="s">
        <v>1283</v>
      </c>
      <c r="BO33" s="57" t="s">
        <v>1283</v>
      </c>
      <c r="BP33" s="57" t="s">
        <v>1283</v>
      </c>
      <c r="BQ33" s="57" t="s">
        <v>1283</v>
      </c>
      <c r="BR33" s="57" t="s">
        <v>1283</v>
      </c>
      <c r="BS33" s="57" t="s">
        <v>1283</v>
      </c>
      <c r="BT33" s="57" t="s">
        <v>1283</v>
      </c>
      <c r="BU33" s="57" t="s">
        <v>1283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1032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1370</v>
      </c>
      <c r="BF34" s="118">
        <v>3.34</v>
      </c>
      <c r="BG34" s="49" t="s">
        <v>1373</v>
      </c>
      <c r="BH34" s="49" t="s">
        <v>1373</v>
      </c>
      <c r="BI34" s="1"/>
      <c r="BJ34" s="70" t="s">
        <v>1283</v>
      </c>
      <c r="BK34" s="57" t="s">
        <v>1283</v>
      </c>
      <c r="BL34" s="57" t="s">
        <v>1283</v>
      </c>
      <c r="BM34" s="57" t="s">
        <v>1283</v>
      </c>
      <c r="BN34" s="57" t="s">
        <v>1283</v>
      </c>
      <c r="BO34" s="57" t="s">
        <v>1283</v>
      </c>
      <c r="BP34" s="57" t="s">
        <v>1283</v>
      </c>
      <c r="BQ34" s="57" t="s">
        <v>1283</v>
      </c>
      <c r="BR34" s="57" t="s">
        <v>1283</v>
      </c>
      <c r="BS34" s="57" t="s">
        <v>1283</v>
      </c>
      <c r="BT34" s="57" t="s">
        <v>1283</v>
      </c>
      <c r="BU34" s="57" t="s">
        <v>1283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1099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1372</v>
      </c>
      <c r="BE35" s="3" t="s">
        <v>1370</v>
      </c>
      <c r="BF35" s="118">
        <v>2.7</v>
      </c>
      <c r="BG35" s="49" t="s">
        <v>1373</v>
      </c>
      <c r="BH35" s="49" t="s">
        <v>1373</v>
      </c>
      <c r="BI35" s="1"/>
      <c r="BJ35" s="70" t="s">
        <v>1283</v>
      </c>
      <c r="BK35" s="57" t="s">
        <v>1283</v>
      </c>
      <c r="BL35" s="57" t="s">
        <v>1283</v>
      </c>
      <c r="BM35" s="57" t="s">
        <v>1283</v>
      </c>
      <c r="BN35" s="57" t="s">
        <v>1283</v>
      </c>
      <c r="BO35" s="57" t="s">
        <v>1283</v>
      </c>
      <c r="BP35" s="57" t="s">
        <v>1283</v>
      </c>
      <c r="BQ35" s="57" t="s">
        <v>1283</v>
      </c>
      <c r="BR35" s="57" t="s">
        <v>1283</v>
      </c>
      <c r="BS35" s="57" t="s">
        <v>1283</v>
      </c>
      <c r="BT35" s="57" t="s">
        <v>1283</v>
      </c>
      <c r="BU35" s="57" t="s">
        <v>1283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1370</v>
      </c>
      <c r="BF36" s="118">
        <v>1.8</v>
      </c>
      <c r="BG36" s="49" t="s">
        <v>1373</v>
      </c>
      <c r="BH36" s="49" t="s">
        <v>1373</v>
      </c>
      <c r="BI36" s="1"/>
      <c r="BJ36" s="70" t="s">
        <v>1283</v>
      </c>
      <c r="BK36" s="57" t="s">
        <v>1283</v>
      </c>
      <c r="BL36" s="57" t="s">
        <v>1283</v>
      </c>
      <c r="BM36" s="57" t="s">
        <v>1283</v>
      </c>
      <c r="BN36" s="57" t="s">
        <v>1283</v>
      </c>
      <c r="BO36" s="57" t="s">
        <v>1283</v>
      </c>
      <c r="BP36" s="57" t="s">
        <v>1283</v>
      </c>
      <c r="BQ36" s="57" t="s">
        <v>1283</v>
      </c>
      <c r="BR36" s="57" t="s">
        <v>1283</v>
      </c>
      <c r="BS36" s="57" t="s">
        <v>1283</v>
      </c>
      <c r="BT36" s="57" t="s">
        <v>1283</v>
      </c>
      <c r="BU36" s="57" t="s">
        <v>1283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1050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1425</v>
      </c>
      <c r="BE37" s="3" t="s">
        <v>1424</v>
      </c>
      <c r="BF37" s="118">
        <v>2.6</v>
      </c>
      <c r="BG37" s="49" t="s">
        <v>1373</v>
      </c>
      <c r="BH37" s="49" t="s">
        <v>1373</v>
      </c>
      <c r="BI37" s="1"/>
      <c r="BJ37" s="70" t="s">
        <v>1283</v>
      </c>
      <c r="BK37" s="57" t="s">
        <v>1283</v>
      </c>
      <c r="BL37" s="57" t="s">
        <v>1283</v>
      </c>
      <c r="BM37" s="57" t="s">
        <v>1283</v>
      </c>
      <c r="BN37" s="57" t="s">
        <v>1283</v>
      </c>
      <c r="BO37" s="57" t="s">
        <v>1283</v>
      </c>
      <c r="BP37" s="57" t="s">
        <v>1283</v>
      </c>
      <c r="BQ37" s="57" t="s">
        <v>1283</v>
      </c>
      <c r="BR37" s="57" t="s">
        <v>1283</v>
      </c>
      <c r="BS37" s="57" t="s">
        <v>1283</v>
      </c>
      <c r="BT37" s="57" t="s">
        <v>1283</v>
      </c>
      <c r="BU37" s="57" t="s">
        <v>1283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1288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17" si="225">_xlfn.AGGREGATE(9,6,CH38:CS38)-_xlfn.AGGREGATE(9,6,BV38:CG38)+12</f>
        <v>251</v>
      </c>
      <c r="BD38" s="4" t="s">
        <v>1371</v>
      </c>
      <c r="BE38" s="3" t="s">
        <v>1287</v>
      </c>
      <c r="BF38" s="118">
        <v>3.4</v>
      </c>
      <c r="BG38" s="49" t="s">
        <v>1277</v>
      </c>
      <c r="BH38" s="49" t="s">
        <v>1277</v>
      </c>
      <c r="BI38" s="1"/>
      <c r="BJ38" s="70" t="s">
        <v>1283</v>
      </c>
      <c r="BK38" s="57" t="s">
        <v>1283</v>
      </c>
      <c r="BL38" s="57" t="s">
        <v>1283</v>
      </c>
      <c r="BM38" s="57" t="s">
        <v>1283</v>
      </c>
      <c r="BN38" s="57" t="s">
        <v>1283</v>
      </c>
      <c r="BO38" s="57" t="s">
        <v>1283</v>
      </c>
      <c r="BP38" s="57" t="s">
        <v>1283</v>
      </c>
      <c r="BQ38" s="57" t="s">
        <v>1283</v>
      </c>
      <c r="BR38" s="57" t="s">
        <v>1283</v>
      </c>
      <c r="BS38" s="57" t="s">
        <v>1283</v>
      </c>
      <c r="BT38" s="57" t="s">
        <v>1283</v>
      </c>
      <c r="BU38" s="57" t="s">
        <v>1283</v>
      </c>
      <c r="BV38" s="70">
        <f t="shared" ref="BV38:BV117" si="226">E38</f>
        <v>6</v>
      </c>
      <c r="BW38" s="71">
        <f t="shared" ref="BW38:BW117" si="227">I38</f>
        <v>35</v>
      </c>
      <c r="BX38" s="72">
        <f t="shared" ref="BX38:BX117" si="228">M38</f>
        <v>39</v>
      </c>
      <c r="BY38" s="71">
        <f t="shared" ref="BY38:BY117" si="229">Q38</f>
        <v>70</v>
      </c>
      <c r="BZ38" s="72">
        <f t="shared" ref="BZ38:BZ117" si="230">U38</f>
        <v>73</v>
      </c>
      <c r="CA38" s="71">
        <f t="shared" ref="CA38:CA117" si="231">Y38</f>
        <v>109</v>
      </c>
      <c r="CB38" s="72">
        <f t="shared" ref="CB38:CB117" si="232">AC38</f>
        <v>117</v>
      </c>
      <c r="CC38" s="71">
        <f t="shared" ref="CC38:CC117" si="233">AG38</f>
        <v>166</v>
      </c>
      <c r="CD38" s="72">
        <f t="shared" ref="CD38:CD117" si="234">AK38</f>
        <v>173</v>
      </c>
      <c r="CE38" s="71">
        <f t="shared" ref="CE38:CE117" si="235">AO38</f>
        <v>224</v>
      </c>
      <c r="CF38" s="72">
        <f t="shared" ref="CF38:CF117" si="236">AS38</f>
        <v>266</v>
      </c>
      <c r="CG38" s="71">
        <f t="shared" ref="CG38:CG117" si="237">AW38</f>
        <v>292</v>
      </c>
      <c r="CH38" s="70">
        <f t="shared" ref="CH38:CH117" si="238">G38</f>
        <v>34</v>
      </c>
      <c r="CI38" s="71">
        <f t="shared" ref="CI38:CI117" si="239">K38</f>
        <v>38</v>
      </c>
      <c r="CJ38" s="72">
        <f t="shared" ref="CJ38:CJ117" si="240">O38</f>
        <v>69</v>
      </c>
      <c r="CK38" s="72">
        <f t="shared" ref="CK38:CK117" si="241">S38</f>
        <v>72</v>
      </c>
      <c r="CL38" s="72">
        <f t="shared" ref="CL38:CL117" si="242">W38</f>
        <v>108</v>
      </c>
      <c r="CM38" s="72">
        <f t="shared" ref="CM38:CM117" si="243">AA38</f>
        <v>116</v>
      </c>
      <c r="CN38" s="72">
        <f t="shared" ref="CN38:CN117" si="244">AE38</f>
        <v>142</v>
      </c>
      <c r="CO38" s="72">
        <f t="shared" ref="CO38:CO117" si="245">AI38</f>
        <v>168</v>
      </c>
      <c r="CP38" s="72">
        <f t="shared" ref="CP38:CP117" si="246">AM38</f>
        <v>207</v>
      </c>
      <c r="CQ38" s="72">
        <f t="shared" ref="CQ38:CQ117" si="247">AQ38</f>
        <v>259</v>
      </c>
      <c r="CR38" s="72">
        <f t="shared" ref="CR38:CR117" si="248">AU38</f>
        <v>291</v>
      </c>
      <c r="CS38" s="72">
        <f t="shared" ref="CS38:CS117" si="249">AY38</f>
        <v>305</v>
      </c>
      <c r="CT38" s="23">
        <f t="shared" ref="CT38:CT117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1341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1370</v>
      </c>
      <c r="BF39" s="118">
        <v>1.72</v>
      </c>
      <c r="BG39" s="49" t="s">
        <v>1373</v>
      </c>
      <c r="BH39" s="49" t="s">
        <v>1373</v>
      </c>
      <c r="BI39" s="1"/>
      <c r="BJ39" s="70" t="s">
        <v>1283</v>
      </c>
      <c r="BK39" s="57" t="s">
        <v>1283</v>
      </c>
      <c r="BL39" s="57" t="s">
        <v>1283</v>
      </c>
      <c r="BM39" s="57" t="s">
        <v>1283</v>
      </c>
      <c r="BN39" s="57" t="s">
        <v>1283</v>
      </c>
      <c r="BO39" s="57" t="s">
        <v>1283</v>
      </c>
      <c r="BP39" s="57" t="s">
        <v>1283</v>
      </c>
      <c r="BQ39" s="57" t="s">
        <v>1283</v>
      </c>
      <c r="BR39" s="57" t="s">
        <v>1283</v>
      </c>
      <c r="BS39" s="57" t="s">
        <v>1283</v>
      </c>
      <c r="BT39" s="57" t="s">
        <v>1283</v>
      </c>
      <c r="BU39" s="57" t="s">
        <v>1283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1342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1370</v>
      </c>
      <c r="BF40" s="118">
        <v>1.9</v>
      </c>
      <c r="BG40" s="49" t="s">
        <v>1373</v>
      </c>
      <c r="BH40" s="49" t="s">
        <v>1373</v>
      </c>
      <c r="BI40" s="1"/>
      <c r="BJ40" s="70" t="s">
        <v>1283</v>
      </c>
      <c r="BK40" s="57" t="s">
        <v>1283</v>
      </c>
      <c r="BL40" s="57" t="s">
        <v>1283</v>
      </c>
      <c r="BM40" s="57" t="s">
        <v>1283</v>
      </c>
      <c r="BN40" s="57" t="s">
        <v>1283</v>
      </c>
      <c r="BO40" s="57" t="s">
        <v>1283</v>
      </c>
      <c r="BP40" s="57" t="s">
        <v>1283</v>
      </c>
      <c r="BQ40" s="57" t="s">
        <v>1283</v>
      </c>
      <c r="BR40" s="57" t="s">
        <v>1283</v>
      </c>
      <c r="BS40" s="57" t="s">
        <v>1283</v>
      </c>
      <c r="BT40" s="57" t="s">
        <v>1283</v>
      </c>
      <c r="BU40" s="57" t="s">
        <v>1283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1343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1370</v>
      </c>
      <c r="BF41" s="118">
        <v>2</v>
      </c>
      <c r="BG41" s="49" t="s">
        <v>1373</v>
      </c>
      <c r="BH41" s="49" t="s">
        <v>1373</v>
      </c>
      <c r="BI41" s="1"/>
      <c r="BJ41" s="70" t="s">
        <v>1283</v>
      </c>
      <c r="BK41" s="57" t="s">
        <v>1283</v>
      </c>
      <c r="BL41" s="57" t="s">
        <v>1283</v>
      </c>
      <c r="BM41" s="57" t="s">
        <v>1283</v>
      </c>
      <c r="BN41" s="57" t="s">
        <v>1283</v>
      </c>
      <c r="BO41" s="57" t="s">
        <v>1283</v>
      </c>
      <c r="BP41" s="57" t="s">
        <v>1283</v>
      </c>
      <c r="BQ41" s="57" t="s">
        <v>1283</v>
      </c>
      <c r="BR41" s="57" t="s">
        <v>1283</v>
      </c>
      <c r="BS41" s="57" t="s">
        <v>1283</v>
      </c>
      <c r="BT41" s="57" t="s">
        <v>1283</v>
      </c>
      <c r="BU41" s="57" t="s">
        <v>1283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1344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1370</v>
      </c>
      <c r="BF42" s="118">
        <v>2.2000000000000002</v>
      </c>
      <c r="BG42" s="49" t="s">
        <v>1373</v>
      </c>
      <c r="BH42" s="49" t="s">
        <v>1373</v>
      </c>
      <c r="BI42" s="1"/>
      <c r="BJ42" s="70" t="s">
        <v>1283</v>
      </c>
      <c r="BK42" s="57" t="s">
        <v>1283</v>
      </c>
      <c r="BL42" s="57" t="s">
        <v>1283</v>
      </c>
      <c r="BM42" s="57" t="s">
        <v>1283</v>
      </c>
      <c r="BN42" s="57" t="s">
        <v>1283</v>
      </c>
      <c r="BO42" s="57" t="s">
        <v>1283</v>
      </c>
      <c r="BP42" s="57" t="s">
        <v>1283</v>
      </c>
      <c r="BQ42" s="57" t="s">
        <v>1283</v>
      </c>
      <c r="BR42" s="57" t="s">
        <v>1283</v>
      </c>
      <c r="BS42" s="57" t="s">
        <v>1283</v>
      </c>
      <c r="BT42" s="57" t="s">
        <v>1283</v>
      </c>
      <c r="BU42" s="57" t="s">
        <v>1283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1345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1370</v>
      </c>
      <c r="BF43" s="118">
        <v>2.1</v>
      </c>
      <c r="BG43" s="49" t="s">
        <v>1373</v>
      </c>
      <c r="BH43" s="49" t="s">
        <v>1373</v>
      </c>
      <c r="BI43" s="1"/>
      <c r="BJ43" s="70" t="s">
        <v>1283</v>
      </c>
      <c r="BK43" s="57" t="s">
        <v>1283</v>
      </c>
      <c r="BL43" s="57" t="s">
        <v>1283</v>
      </c>
      <c r="BM43" s="57" t="s">
        <v>1283</v>
      </c>
      <c r="BN43" s="57" t="s">
        <v>1283</v>
      </c>
      <c r="BO43" s="57" t="s">
        <v>1283</v>
      </c>
      <c r="BP43" s="57" t="s">
        <v>1283</v>
      </c>
      <c r="BQ43" s="57" t="s">
        <v>1283</v>
      </c>
      <c r="BR43" s="57" t="s">
        <v>1283</v>
      </c>
      <c r="BS43" s="57" t="s">
        <v>1283</v>
      </c>
      <c r="BT43" s="57" t="s">
        <v>1283</v>
      </c>
      <c r="BU43" s="57" t="s">
        <v>1283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1335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1370</v>
      </c>
      <c r="BF44" s="118">
        <v>2.5</v>
      </c>
      <c r="BG44" s="49" t="s">
        <v>1373</v>
      </c>
      <c r="BH44" s="49" t="s">
        <v>1373</v>
      </c>
      <c r="BI44" s="1"/>
      <c r="BJ44" s="70" t="s">
        <v>1283</v>
      </c>
      <c r="BK44" s="57" t="s">
        <v>1283</v>
      </c>
      <c r="BL44" s="57" t="s">
        <v>1283</v>
      </c>
      <c r="BM44" s="57" t="s">
        <v>1283</v>
      </c>
      <c r="BN44" s="57" t="s">
        <v>1283</v>
      </c>
      <c r="BO44" s="57" t="s">
        <v>1283</v>
      </c>
      <c r="BP44" s="57" t="s">
        <v>1283</v>
      </c>
      <c r="BQ44" s="57" t="s">
        <v>1283</v>
      </c>
      <c r="BR44" s="57" t="s">
        <v>1283</v>
      </c>
      <c r="BS44" s="57" t="s">
        <v>1283</v>
      </c>
      <c r="BT44" s="57" t="s">
        <v>1283</v>
      </c>
      <c r="BU44" s="57" t="s">
        <v>1283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1336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1370</v>
      </c>
      <c r="BF45" s="118">
        <v>2.5</v>
      </c>
      <c r="BG45" s="49" t="s">
        <v>1373</v>
      </c>
      <c r="BH45" s="49" t="s">
        <v>1373</v>
      </c>
      <c r="BI45" s="1"/>
      <c r="BJ45" s="70" t="s">
        <v>1283</v>
      </c>
      <c r="BK45" s="57" t="s">
        <v>1283</v>
      </c>
      <c r="BL45" s="57" t="s">
        <v>1283</v>
      </c>
      <c r="BM45" s="57" t="s">
        <v>1283</v>
      </c>
      <c r="BN45" s="57" t="s">
        <v>1283</v>
      </c>
      <c r="BO45" s="57" t="s">
        <v>1283</v>
      </c>
      <c r="BP45" s="57" t="s">
        <v>1283</v>
      </c>
      <c r="BQ45" s="57" t="s">
        <v>1283</v>
      </c>
      <c r="BR45" s="57" t="s">
        <v>1283</v>
      </c>
      <c r="BS45" s="57" t="s">
        <v>1283</v>
      </c>
      <c r="BT45" s="57" t="s">
        <v>1283</v>
      </c>
      <c r="BU45" s="57" t="s">
        <v>1283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1337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1370</v>
      </c>
      <c r="BF46" s="118">
        <v>1.9</v>
      </c>
      <c r="BG46" s="49" t="s">
        <v>1373</v>
      </c>
      <c r="BH46" s="49" t="s">
        <v>1373</v>
      </c>
      <c r="BI46" s="1"/>
      <c r="BJ46" s="70" t="s">
        <v>1283</v>
      </c>
      <c r="BK46" s="57" t="s">
        <v>1283</v>
      </c>
      <c r="BL46" s="57" t="s">
        <v>1283</v>
      </c>
      <c r="BM46" s="57" t="s">
        <v>1283</v>
      </c>
      <c r="BN46" s="57" t="s">
        <v>1283</v>
      </c>
      <c r="BO46" s="57" t="s">
        <v>1283</v>
      </c>
      <c r="BP46" s="57" t="s">
        <v>1283</v>
      </c>
      <c r="BQ46" s="57" t="s">
        <v>1283</v>
      </c>
      <c r="BR46" s="57" t="s">
        <v>1283</v>
      </c>
      <c r="BS46" s="57" t="s">
        <v>1283</v>
      </c>
      <c r="BT46" s="57" t="s">
        <v>1283</v>
      </c>
      <c r="BU46" s="57" t="s">
        <v>1283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1338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1370</v>
      </c>
      <c r="BF47" s="118">
        <v>1.9</v>
      </c>
      <c r="BG47" s="49" t="s">
        <v>1373</v>
      </c>
      <c r="BH47" s="49" t="s">
        <v>1373</v>
      </c>
      <c r="BI47" s="1"/>
      <c r="BJ47" s="70" t="s">
        <v>1283</v>
      </c>
      <c r="BK47" s="57" t="s">
        <v>1283</v>
      </c>
      <c r="BL47" s="57" t="s">
        <v>1283</v>
      </c>
      <c r="BM47" s="57" t="s">
        <v>1283</v>
      </c>
      <c r="BN47" s="57" t="s">
        <v>1283</v>
      </c>
      <c r="BO47" s="57" t="s">
        <v>1283</v>
      </c>
      <c r="BP47" s="57" t="s">
        <v>1283</v>
      </c>
      <c r="BQ47" s="57" t="s">
        <v>1283</v>
      </c>
      <c r="BR47" s="57" t="s">
        <v>1283</v>
      </c>
      <c r="BS47" s="57" t="s">
        <v>1283</v>
      </c>
      <c r="BT47" s="57" t="s">
        <v>1283</v>
      </c>
      <c r="BU47" s="57" t="s">
        <v>1283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1431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1370</v>
      </c>
      <c r="BF48" s="118">
        <v>2</v>
      </c>
      <c r="BG48" s="49" t="s">
        <v>1</v>
      </c>
      <c r="BH48" s="49" t="s">
        <v>1</v>
      </c>
      <c r="BI48" s="1"/>
      <c r="BJ48" s="70" t="s">
        <v>1283</v>
      </c>
      <c r="BK48" s="57" t="s">
        <v>1283</v>
      </c>
      <c r="BL48" s="57" t="s">
        <v>1283</v>
      </c>
      <c r="BM48" s="57" t="s">
        <v>1283</v>
      </c>
      <c r="BN48" s="57" t="s">
        <v>1283</v>
      </c>
      <c r="BO48" s="57" t="s">
        <v>1283</v>
      </c>
      <c r="BP48" s="57" t="s">
        <v>1283</v>
      </c>
      <c r="BQ48" s="57" t="s">
        <v>1283</v>
      </c>
      <c r="BR48" s="57" t="s">
        <v>1283</v>
      </c>
      <c r="BS48" s="57" t="s">
        <v>1283</v>
      </c>
      <c r="BT48" s="57" t="s">
        <v>1283</v>
      </c>
      <c r="BU48" s="57" t="s">
        <v>1283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1432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1370</v>
      </c>
      <c r="BF49" s="118">
        <v>3</v>
      </c>
      <c r="BG49" s="49" t="s">
        <v>1</v>
      </c>
      <c r="BH49" s="49" t="s">
        <v>1</v>
      </c>
      <c r="BI49" s="1"/>
      <c r="BJ49" s="70" t="s">
        <v>1283</v>
      </c>
      <c r="BK49" s="57" t="s">
        <v>1283</v>
      </c>
      <c r="BL49" s="57" t="s">
        <v>1283</v>
      </c>
      <c r="BM49" s="57" t="s">
        <v>1283</v>
      </c>
      <c r="BN49" s="57" t="s">
        <v>1283</v>
      </c>
      <c r="BO49" s="57" t="s">
        <v>1283</v>
      </c>
      <c r="BP49" s="57" t="s">
        <v>1283</v>
      </c>
      <c r="BQ49" s="57" t="s">
        <v>1283</v>
      </c>
      <c r="BR49" s="57" t="s">
        <v>1283</v>
      </c>
      <c r="BS49" s="57" t="s">
        <v>1283</v>
      </c>
      <c r="BT49" s="57" t="s">
        <v>1283</v>
      </c>
      <c r="BU49" s="57" t="s">
        <v>1283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1426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1370</v>
      </c>
      <c r="BF50" s="118">
        <v>2.9</v>
      </c>
      <c r="BG50" s="49" t="s">
        <v>1</v>
      </c>
      <c r="BH50" s="49" t="s">
        <v>1</v>
      </c>
      <c r="BI50" s="1"/>
      <c r="BJ50" s="70" t="s">
        <v>1283</v>
      </c>
      <c r="BK50" s="57" t="s">
        <v>1283</v>
      </c>
      <c r="BL50" s="57" t="s">
        <v>1283</v>
      </c>
      <c r="BM50" s="57" t="s">
        <v>1283</v>
      </c>
      <c r="BN50" s="57" t="s">
        <v>1283</v>
      </c>
      <c r="BO50" s="57" t="s">
        <v>1283</v>
      </c>
      <c r="BP50" s="57" t="s">
        <v>1283</v>
      </c>
      <c r="BQ50" s="57" t="s">
        <v>1283</v>
      </c>
      <c r="BR50" s="57" t="s">
        <v>1283</v>
      </c>
      <c r="BS50" s="57" t="s">
        <v>1283</v>
      </c>
      <c r="BT50" s="57" t="s">
        <v>1283</v>
      </c>
      <c r="BU50" s="57" t="s">
        <v>1283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1383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1370</v>
      </c>
      <c r="BF51" s="118">
        <v>3.5</v>
      </c>
      <c r="BG51" s="49" t="s">
        <v>1373</v>
      </c>
      <c r="BH51" s="49" t="s">
        <v>1373</v>
      </c>
      <c r="BI51" s="1"/>
      <c r="BJ51" s="70" t="s">
        <v>1283</v>
      </c>
      <c r="BK51" s="57" t="s">
        <v>1283</v>
      </c>
      <c r="BL51" s="57" t="s">
        <v>1283</v>
      </c>
      <c r="BM51" s="57" t="s">
        <v>1283</v>
      </c>
      <c r="BN51" s="57" t="s">
        <v>1283</v>
      </c>
      <c r="BO51" s="57" t="s">
        <v>1283</v>
      </c>
      <c r="BP51" s="57" t="s">
        <v>1283</v>
      </c>
      <c r="BQ51" s="57" t="s">
        <v>1283</v>
      </c>
      <c r="BR51" s="57" t="s">
        <v>1283</v>
      </c>
      <c r="BS51" s="57" t="s">
        <v>1283</v>
      </c>
      <c r="BT51" s="57" t="s">
        <v>1283</v>
      </c>
      <c r="BU51" s="57" t="s">
        <v>1283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1407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1370</v>
      </c>
      <c r="BF52" s="118">
        <v>3.2</v>
      </c>
      <c r="BG52" s="49" t="s">
        <v>1</v>
      </c>
      <c r="BH52" s="49" t="s">
        <v>1</v>
      </c>
      <c r="BI52" s="1"/>
      <c r="BJ52" s="70" t="s">
        <v>1283</v>
      </c>
      <c r="BK52" s="57" t="s">
        <v>1283</v>
      </c>
      <c r="BL52" s="57" t="s">
        <v>1283</v>
      </c>
      <c r="BM52" s="57" t="s">
        <v>1283</v>
      </c>
      <c r="BN52" s="57" t="s">
        <v>1283</v>
      </c>
      <c r="BO52" s="57" t="s">
        <v>1283</v>
      </c>
      <c r="BP52" s="57" t="s">
        <v>1283</v>
      </c>
      <c r="BQ52" s="57" t="s">
        <v>1283</v>
      </c>
      <c r="BR52" s="57" t="s">
        <v>1283</v>
      </c>
      <c r="BS52" s="57" t="s">
        <v>1283</v>
      </c>
      <c r="BT52" s="57" t="s">
        <v>1283</v>
      </c>
      <c r="BU52" s="57" t="s">
        <v>1283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1408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1370</v>
      </c>
      <c r="BF53" s="118">
        <v>2.8</v>
      </c>
      <c r="BG53" s="49" t="s">
        <v>1</v>
      </c>
      <c r="BH53" s="49" t="s">
        <v>1</v>
      </c>
      <c r="BI53" s="1"/>
      <c r="BJ53" s="70" t="s">
        <v>1283</v>
      </c>
      <c r="BK53" s="57" t="s">
        <v>1283</v>
      </c>
      <c r="BL53" s="57" t="s">
        <v>1283</v>
      </c>
      <c r="BM53" s="57" t="s">
        <v>1283</v>
      </c>
      <c r="BN53" s="57" t="s">
        <v>1283</v>
      </c>
      <c r="BO53" s="57" t="s">
        <v>1283</v>
      </c>
      <c r="BP53" s="57" t="s">
        <v>1283</v>
      </c>
      <c r="BQ53" s="57" t="s">
        <v>1283</v>
      </c>
      <c r="BR53" s="57" t="s">
        <v>1283</v>
      </c>
      <c r="BS53" s="57" t="s">
        <v>1283</v>
      </c>
      <c r="BT53" s="57" t="s">
        <v>1283</v>
      </c>
      <c r="BU53" s="57" t="s">
        <v>1283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1439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1370</v>
      </c>
      <c r="BF54" s="118">
        <v>1.95</v>
      </c>
      <c r="BG54" s="49" t="s">
        <v>1</v>
      </c>
      <c r="BH54" s="49" t="s">
        <v>1</v>
      </c>
      <c r="BI54" s="1"/>
      <c r="BJ54" s="70" t="s">
        <v>1283</v>
      </c>
      <c r="BK54" s="57" t="s">
        <v>1283</v>
      </c>
      <c r="BL54" s="57" t="s">
        <v>1283</v>
      </c>
      <c r="BM54" s="57" t="s">
        <v>1283</v>
      </c>
      <c r="BN54" s="57" t="s">
        <v>1283</v>
      </c>
      <c r="BO54" s="57" t="s">
        <v>1283</v>
      </c>
      <c r="BP54" s="57" t="s">
        <v>1283</v>
      </c>
      <c r="BQ54" s="57" t="s">
        <v>1283</v>
      </c>
      <c r="BR54" s="57" t="s">
        <v>1283</v>
      </c>
      <c r="BS54" s="57" t="s">
        <v>1283</v>
      </c>
      <c r="BT54" s="57" t="s">
        <v>1283</v>
      </c>
      <c r="BU54" s="57" t="s">
        <v>1283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ref="A55" si="279">CONCATENATE(B55,"_",C55)</f>
        <v>aa2ar_human_5NM4</v>
      </c>
      <c r="B55" s="3" t="s">
        <v>139</v>
      </c>
      <c r="C55" s="3" t="s">
        <v>1556</v>
      </c>
      <c r="D55" s="3" t="str">
        <f>IFERROR(MID(VLOOKUP($B55,Seqs!$A:$B,2,0),E55,1),"")</f>
        <v>I</v>
      </c>
      <c r="E55" s="3">
        <v>10</v>
      </c>
      <c r="F55" s="3" t="str">
        <f>IFERROR(MID(VLOOKUP($B55,Seqs!$A:$B,2,0),G55,1),"")</f>
        <v>Y</v>
      </c>
      <c r="G55" s="3">
        <v>43</v>
      </c>
      <c r="H55" s="3" t="str">
        <f>IFERROR(MID(VLOOKUP($B55,Seqs!$A:$B,2,0),I55,1),"")</f>
        <v>F</v>
      </c>
      <c r="I55" s="23">
        <v>44</v>
      </c>
      <c r="J55" s="3" t="str">
        <f>IFERROR(MID(VLOOKUP($B55,Seqs!$A:$B,2,0),K55,1),"")</f>
        <v>S</v>
      </c>
      <c r="K55" s="23">
        <v>47</v>
      </c>
      <c r="L55" s="3" t="str">
        <f>IFERROR(MID(VLOOKUP($B55,Seqs!$A:$B,2,0),M55,1),"")</f>
        <v>L</v>
      </c>
      <c r="M55" s="3">
        <v>48</v>
      </c>
      <c r="N55" s="3" t="str">
        <f>IFERROR(MID(VLOOKUP($B55,Seqs!$A:$B,2,0),O55,1),"")</f>
        <v>L</v>
      </c>
      <c r="O55" s="3">
        <v>78</v>
      </c>
      <c r="P55" s="3" t="str">
        <f>IFERROR(MID(VLOOKUP($B55,Seqs!$A:$B,2,0),Q55,1),"")</f>
        <v>F</v>
      </c>
      <c r="Q55" s="3">
        <v>79</v>
      </c>
      <c r="R55" s="3" t="str">
        <f>IFERROR(MID(VLOOKUP($B55,Seqs!$A:$B,2,0),S55,1),"")</f>
        <v>A</v>
      </c>
      <c r="S55" s="3">
        <v>81</v>
      </c>
      <c r="T55" s="3" t="str">
        <f>IFERROR(MID(VLOOKUP($B55,Seqs!$A:$B,2,0),U55,1),"")</f>
        <v>C</v>
      </c>
      <c r="U55" s="3">
        <v>82</v>
      </c>
      <c r="V55" s="3" t="str">
        <f>IFERROR(MID(VLOOKUP($B55,Seqs!$A:$B,2,0),W55,1),"")</f>
        <v>T</v>
      </c>
      <c r="W55" s="3">
        <v>117</v>
      </c>
      <c r="X55" s="3" t="str">
        <f>IFERROR(MID(VLOOKUP($B55,Seqs!$A:$B,2,0),Y55,1),"")</f>
        <v>G</v>
      </c>
      <c r="Y55" s="3">
        <v>118</v>
      </c>
      <c r="Z55" s="3" t="str">
        <f>IFERROR(MID(VLOOKUP($B55,Seqs!$A:$B,2,0),AA55,1),"")</f>
        <v>I</v>
      </c>
      <c r="AA55" s="3">
        <v>125</v>
      </c>
      <c r="AB55" s="3" t="str">
        <f>IFERROR(MID(VLOOKUP($B55,Seqs!$A:$B,2,0),AC55,1),"")</f>
        <v>A</v>
      </c>
      <c r="AC55" s="3">
        <v>126</v>
      </c>
      <c r="AD55" s="3" t="str">
        <f>IFERROR(MID(VLOOKUP($B55,Seqs!$A:$B,2,0),AE55,1),"")</f>
        <v>E</v>
      </c>
      <c r="AE55" s="3">
        <v>151</v>
      </c>
      <c r="AF55" s="3" t="str">
        <f>IFERROR(MID(VLOOKUP($B55,Seqs!$A:$B,2,0),AG55,1),"")</f>
        <v>N</v>
      </c>
      <c r="AG55" s="3">
        <v>175</v>
      </c>
      <c r="AH55" s="3" t="str">
        <f>IFERROR(MID(VLOOKUP($B55,Seqs!$A:$B,2,0),AI55,1),"")</f>
        <v>M</v>
      </c>
      <c r="AI55" s="3">
        <v>177</v>
      </c>
      <c r="AJ55" s="3" t="str">
        <f>IFERROR(MID(VLOOKUP($B55,Seqs!$A:$B,2,0),AK55,1),"")</f>
        <v>F</v>
      </c>
      <c r="AK55" s="3">
        <v>182</v>
      </c>
      <c r="AL55" s="3" t="str">
        <f>IFERROR(MID(VLOOKUP($B55,Seqs!$A:$B,2,0),AM55,1),"")</f>
        <v>R</v>
      </c>
      <c r="AM55" s="3">
        <v>222</v>
      </c>
      <c r="AN55" s="3" t="str">
        <f>IFERROR(MID(VLOOKUP($B55,Seqs!$A:$B,2,0),AO55,1),"")</f>
        <v>L</v>
      </c>
      <c r="AO55" s="3">
        <v>324</v>
      </c>
      <c r="AP55" s="3" t="str">
        <f>IFERROR(MID(VLOOKUP($B55,Seqs!$A:$B,2,0),AQ55,1),"")</f>
        <v>G</v>
      </c>
      <c r="AQ55" s="3">
        <v>364</v>
      </c>
      <c r="AR55" s="3" t="str">
        <f>IFERROR(MID(VLOOKUP($B55,Seqs!$A:$B,2,0),AS55,1),"")</f>
        <v>A</v>
      </c>
      <c r="AS55" s="3">
        <v>371</v>
      </c>
      <c r="AT55" s="3" t="str">
        <f>IFERROR(MID(VLOOKUP($B55,Seqs!$A:$B,2,0),AU55,1),"")</f>
        <v>E</v>
      </c>
      <c r="AU55" s="3">
        <v>396</v>
      </c>
      <c r="AV55" s="3" t="str">
        <f>IFERROR(MID(VLOOKUP($B55,Seqs!$A:$B,2,0),AW55,1),"")</f>
        <v>P</v>
      </c>
      <c r="AW55" s="3">
        <v>397</v>
      </c>
      <c r="AX55" s="3" t="str">
        <f>IFERROR(MID(VLOOKUP($B55,Seqs!$A:$B,2,0),AY55,1),"")</f>
        <v>A</v>
      </c>
      <c r="AY55" s="3">
        <v>409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23">
        <f t="shared" ref="BC55" si="281">_xlfn.AGGREGATE(9,6,CH55:CS55)-_xlfn.AGGREGATE(9,6,BV55:CG55)+12</f>
        <v>266</v>
      </c>
      <c r="BD55" s="5" t="s">
        <v>23</v>
      </c>
      <c r="BE55" s="3" t="s">
        <v>1370</v>
      </c>
      <c r="BF55" s="118">
        <v>1.7</v>
      </c>
      <c r="BG55" s="49" t="s">
        <v>1</v>
      </c>
      <c r="BH55" s="49" t="s">
        <v>1</v>
      </c>
      <c r="BI55" s="1"/>
      <c r="BJ55" s="70" t="s">
        <v>1283</v>
      </c>
      <c r="BK55" s="57" t="s">
        <v>1283</v>
      </c>
      <c r="BL55" s="57" t="s">
        <v>1283</v>
      </c>
      <c r="BM55" s="57" t="s">
        <v>1283</v>
      </c>
      <c r="BN55" s="57" t="s">
        <v>1283</v>
      </c>
      <c r="BO55" s="57" t="s">
        <v>1283</v>
      </c>
      <c r="BP55" s="57" t="s">
        <v>1283</v>
      </c>
      <c r="BQ55" s="57" t="s">
        <v>1283</v>
      </c>
      <c r="BR55" s="57" t="s">
        <v>1283</v>
      </c>
      <c r="BS55" s="57" t="s">
        <v>1283</v>
      </c>
      <c r="BT55" s="57" t="s">
        <v>1283</v>
      </c>
      <c r="BU55" s="57" t="s">
        <v>1283</v>
      </c>
      <c r="BV55" s="70">
        <f t="shared" ref="BV55" si="282">E55</f>
        <v>10</v>
      </c>
      <c r="BW55" s="71">
        <f t="shared" ref="BW55" si="283">I55</f>
        <v>44</v>
      </c>
      <c r="BX55" s="72">
        <f t="shared" ref="BX55" si="284">M55</f>
        <v>48</v>
      </c>
      <c r="BY55" s="71">
        <f t="shared" ref="BY55" si="285">Q55</f>
        <v>79</v>
      </c>
      <c r="BZ55" s="72">
        <f t="shared" ref="BZ55" si="286">U55</f>
        <v>82</v>
      </c>
      <c r="CA55" s="71">
        <f t="shared" ref="CA55" si="287">Y55</f>
        <v>118</v>
      </c>
      <c r="CB55" s="72">
        <f t="shared" ref="CB55" si="288">AC55</f>
        <v>126</v>
      </c>
      <c r="CC55" s="71">
        <f t="shared" ref="CC55" si="289">AG55</f>
        <v>175</v>
      </c>
      <c r="CD55" s="72">
        <f t="shared" ref="CD55" si="290">AK55</f>
        <v>182</v>
      </c>
      <c r="CE55" s="71">
        <f t="shared" ref="CE55" si="291">AO55</f>
        <v>324</v>
      </c>
      <c r="CF55" s="72">
        <f t="shared" ref="CF55" si="292">AS55</f>
        <v>371</v>
      </c>
      <c r="CG55" s="71">
        <f t="shared" ref="CG55" si="293">AW55</f>
        <v>397</v>
      </c>
      <c r="CH55" s="70">
        <f t="shared" ref="CH55" si="294">G55</f>
        <v>43</v>
      </c>
      <c r="CI55" s="71">
        <f t="shared" ref="CI55" si="295">K55</f>
        <v>47</v>
      </c>
      <c r="CJ55" s="72">
        <f t="shared" ref="CJ55" si="296">O55</f>
        <v>78</v>
      </c>
      <c r="CK55" s="72">
        <f t="shared" ref="CK55" si="297">S55</f>
        <v>81</v>
      </c>
      <c r="CL55" s="72">
        <f t="shared" ref="CL55" si="298">W55</f>
        <v>117</v>
      </c>
      <c r="CM55" s="72">
        <f t="shared" ref="CM55" si="299">AA55</f>
        <v>125</v>
      </c>
      <c r="CN55" s="72">
        <f t="shared" ref="CN55" si="300">AE55</f>
        <v>151</v>
      </c>
      <c r="CO55" s="72">
        <f t="shared" ref="CO55" si="301">AI55</f>
        <v>177</v>
      </c>
      <c r="CP55" s="72">
        <f t="shared" ref="CP55" si="302">AM55</f>
        <v>222</v>
      </c>
      <c r="CQ55" s="72">
        <f t="shared" ref="CQ55" si="303">AQ55</f>
        <v>364</v>
      </c>
      <c r="CR55" s="72">
        <f t="shared" ref="CR55" si="304">AU55</f>
        <v>396</v>
      </c>
      <c r="CS55" s="72">
        <f t="shared" ref="CS55" si="305">AY55</f>
        <v>409</v>
      </c>
      <c r="CT55" s="23">
        <f t="shared" ref="CT55" si="306">M55-K55</f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ref="A56" si="307">CONCATENATE(B56,"_",C56)</f>
        <v>aa2ar_human_5NLX</v>
      </c>
      <c r="B56" s="3" t="s">
        <v>139</v>
      </c>
      <c r="C56" s="3" t="s">
        <v>1557</v>
      </c>
      <c r="D56" s="3" t="str">
        <f>IFERROR(MID(VLOOKUP($B56,Seqs!$A:$B,2,0),E56,1),"")</f>
        <v>I</v>
      </c>
      <c r="E56" s="3">
        <v>10</v>
      </c>
      <c r="F56" s="3" t="str">
        <f>IFERROR(MID(VLOOKUP($B56,Seqs!$A:$B,2,0),G56,1),"")</f>
        <v>Y</v>
      </c>
      <c r="G56" s="3">
        <v>43</v>
      </c>
      <c r="H56" s="3" t="str">
        <f>IFERROR(MID(VLOOKUP($B56,Seqs!$A:$B,2,0),I56,1),"")</f>
        <v>F</v>
      </c>
      <c r="I56" s="23">
        <v>44</v>
      </c>
      <c r="J56" s="3" t="str">
        <f>IFERROR(MID(VLOOKUP($B56,Seqs!$A:$B,2,0),K56,1),"")</f>
        <v>S</v>
      </c>
      <c r="K56" s="23">
        <v>47</v>
      </c>
      <c r="L56" s="3" t="str">
        <f>IFERROR(MID(VLOOKUP($B56,Seqs!$A:$B,2,0),M56,1),"")</f>
        <v>L</v>
      </c>
      <c r="M56" s="3">
        <v>48</v>
      </c>
      <c r="N56" s="3" t="str">
        <f>IFERROR(MID(VLOOKUP($B56,Seqs!$A:$B,2,0),O56,1),"")</f>
        <v>L</v>
      </c>
      <c r="O56" s="3">
        <v>78</v>
      </c>
      <c r="P56" s="3" t="str">
        <f>IFERROR(MID(VLOOKUP($B56,Seqs!$A:$B,2,0),Q56,1),"")</f>
        <v>F</v>
      </c>
      <c r="Q56" s="3">
        <v>79</v>
      </c>
      <c r="R56" s="3" t="str">
        <f>IFERROR(MID(VLOOKUP($B56,Seqs!$A:$B,2,0),S56,1),"")</f>
        <v>A</v>
      </c>
      <c r="S56" s="3">
        <v>81</v>
      </c>
      <c r="T56" s="3" t="str">
        <f>IFERROR(MID(VLOOKUP($B56,Seqs!$A:$B,2,0),U56,1),"")</f>
        <v>C</v>
      </c>
      <c r="U56" s="3">
        <v>82</v>
      </c>
      <c r="V56" s="3" t="str">
        <f>IFERROR(MID(VLOOKUP($B56,Seqs!$A:$B,2,0),W56,1),"")</f>
        <v>T</v>
      </c>
      <c r="W56" s="3">
        <v>117</v>
      </c>
      <c r="X56" s="3" t="str">
        <f>IFERROR(MID(VLOOKUP($B56,Seqs!$A:$B,2,0),Y56,1),"")</f>
        <v>G</v>
      </c>
      <c r="Y56" s="3">
        <v>118</v>
      </c>
      <c r="Z56" s="3" t="str">
        <f>IFERROR(MID(VLOOKUP($B56,Seqs!$A:$B,2,0),AA56,1),"")</f>
        <v>I</v>
      </c>
      <c r="AA56" s="3">
        <v>125</v>
      </c>
      <c r="AB56" s="3" t="str">
        <f>IFERROR(MID(VLOOKUP($B56,Seqs!$A:$B,2,0),AC56,1),"")</f>
        <v>A</v>
      </c>
      <c r="AC56" s="3">
        <v>126</v>
      </c>
      <c r="AD56" s="3" t="str">
        <f>IFERROR(MID(VLOOKUP($B56,Seqs!$A:$B,2,0),AE56,1),"")</f>
        <v>E</v>
      </c>
      <c r="AE56" s="3">
        <v>151</v>
      </c>
      <c r="AF56" s="3" t="str">
        <f>IFERROR(MID(VLOOKUP($B56,Seqs!$A:$B,2,0),AG56,1),"")</f>
        <v>N</v>
      </c>
      <c r="AG56" s="3">
        <v>175</v>
      </c>
      <c r="AH56" s="3" t="str">
        <f>IFERROR(MID(VLOOKUP($B56,Seqs!$A:$B,2,0),AI56,1),"")</f>
        <v>M</v>
      </c>
      <c r="AI56" s="3">
        <v>177</v>
      </c>
      <c r="AJ56" s="3" t="str">
        <f>IFERROR(MID(VLOOKUP($B56,Seqs!$A:$B,2,0),AK56,1),"")</f>
        <v>F</v>
      </c>
      <c r="AK56" s="3">
        <v>182</v>
      </c>
      <c r="AL56" s="3" t="str">
        <f>IFERROR(MID(VLOOKUP($B56,Seqs!$A:$B,2,0),AM56,1),"")</f>
        <v>R</v>
      </c>
      <c r="AM56" s="3">
        <v>222</v>
      </c>
      <c r="AN56" s="3" t="str">
        <f>IFERROR(MID(VLOOKUP($B56,Seqs!$A:$B,2,0),AO56,1),"")</f>
        <v>L</v>
      </c>
      <c r="AO56" s="3">
        <v>324</v>
      </c>
      <c r="AP56" s="3" t="str">
        <f>IFERROR(MID(VLOOKUP($B56,Seqs!$A:$B,2,0),AQ56,1),"")</f>
        <v>G</v>
      </c>
      <c r="AQ56" s="3">
        <v>364</v>
      </c>
      <c r="AR56" s="3" t="str">
        <f>IFERROR(MID(VLOOKUP($B56,Seqs!$A:$B,2,0),AS56,1),"")</f>
        <v>A</v>
      </c>
      <c r="AS56" s="3">
        <v>371</v>
      </c>
      <c r="AT56" s="3" t="str">
        <f>IFERROR(MID(VLOOKUP($B56,Seqs!$A:$B,2,0),AU56,1),"")</f>
        <v>E</v>
      </c>
      <c r="AU56" s="3">
        <v>396</v>
      </c>
      <c r="AV56" s="3" t="str">
        <f>IFERROR(MID(VLOOKUP($B56,Seqs!$A:$B,2,0),AW56,1),"")</f>
        <v>P</v>
      </c>
      <c r="AW56" s="3">
        <v>397</v>
      </c>
      <c r="AX56" s="3" t="str">
        <f>IFERROR(MID(VLOOKUP($B56,Seqs!$A:$B,2,0),AY56,1),"")</f>
        <v>A</v>
      </c>
      <c r="AY56" s="3">
        <v>409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23">
        <f t="shared" ref="BC56" si="309">_xlfn.AGGREGATE(9,6,CH56:CS56)-_xlfn.AGGREGATE(9,6,BV56:CG56)+12</f>
        <v>266</v>
      </c>
      <c r="BD56" s="5" t="s">
        <v>23</v>
      </c>
      <c r="BE56" s="3" t="s">
        <v>1370</v>
      </c>
      <c r="BF56" s="118">
        <v>2.14</v>
      </c>
      <c r="BG56" s="49" t="s">
        <v>1</v>
      </c>
      <c r="BH56" s="49" t="s">
        <v>1</v>
      </c>
      <c r="BI56" s="1"/>
      <c r="BJ56" s="70" t="s">
        <v>1283</v>
      </c>
      <c r="BK56" s="57" t="s">
        <v>1283</v>
      </c>
      <c r="BL56" s="57" t="s">
        <v>1283</v>
      </c>
      <c r="BM56" s="57" t="s">
        <v>1283</v>
      </c>
      <c r="BN56" s="57" t="s">
        <v>1283</v>
      </c>
      <c r="BO56" s="57" t="s">
        <v>1283</v>
      </c>
      <c r="BP56" s="57" t="s">
        <v>1283</v>
      </c>
      <c r="BQ56" s="57" t="s">
        <v>1283</v>
      </c>
      <c r="BR56" s="57" t="s">
        <v>1283</v>
      </c>
      <c r="BS56" s="57" t="s">
        <v>1283</v>
      </c>
      <c r="BT56" s="57" t="s">
        <v>1283</v>
      </c>
      <c r="BU56" s="57" t="s">
        <v>1283</v>
      </c>
      <c r="BV56" s="70">
        <f t="shared" ref="BV56" si="310">E56</f>
        <v>10</v>
      </c>
      <c r="BW56" s="71">
        <f t="shared" ref="BW56" si="311">I56</f>
        <v>44</v>
      </c>
      <c r="BX56" s="72">
        <f t="shared" ref="BX56" si="312">M56</f>
        <v>48</v>
      </c>
      <c r="BY56" s="71">
        <f t="shared" ref="BY56" si="313">Q56</f>
        <v>79</v>
      </c>
      <c r="BZ56" s="72">
        <f t="shared" ref="BZ56" si="314">U56</f>
        <v>82</v>
      </c>
      <c r="CA56" s="71">
        <f t="shared" ref="CA56" si="315">Y56</f>
        <v>118</v>
      </c>
      <c r="CB56" s="72">
        <f t="shared" ref="CB56" si="316">AC56</f>
        <v>126</v>
      </c>
      <c r="CC56" s="71">
        <f t="shared" ref="CC56" si="317">AG56</f>
        <v>175</v>
      </c>
      <c r="CD56" s="72">
        <f t="shared" ref="CD56" si="318">AK56</f>
        <v>182</v>
      </c>
      <c r="CE56" s="71">
        <f t="shared" ref="CE56" si="319">AO56</f>
        <v>324</v>
      </c>
      <c r="CF56" s="72">
        <f t="shared" ref="CF56" si="320">AS56</f>
        <v>371</v>
      </c>
      <c r="CG56" s="71">
        <f t="shared" ref="CG56" si="321">AW56</f>
        <v>397</v>
      </c>
      <c r="CH56" s="70">
        <f t="shared" ref="CH56" si="322">G56</f>
        <v>43</v>
      </c>
      <c r="CI56" s="71">
        <f t="shared" ref="CI56" si="323">K56</f>
        <v>47</v>
      </c>
      <c r="CJ56" s="72">
        <f t="shared" ref="CJ56" si="324">O56</f>
        <v>78</v>
      </c>
      <c r="CK56" s="72">
        <f t="shared" ref="CK56" si="325">S56</f>
        <v>81</v>
      </c>
      <c r="CL56" s="72">
        <f t="shared" ref="CL56" si="326">W56</f>
        <v>117</v>
      </c>
      <c r="CM56" s="72">
        <f t="shared" ref="CM56" si="327">AA56</f>
        <v>125</v>
      </c>
      <c r="CN56" s="72">
        <f t="shared" ref="CN56" si="328">AE56</f>
        <v>151</v>
      </c>
      <c r="CO56" s="72">
        <f t="shared" ref="CO56" si="329">AI56</f>
        <v>177</v>
      </c>
      <c r="CP56" s="72">
        <f t="shared" ref="CP56" si="330">AM56</f>
        <v>222</v>
      </c>
      <c r="CQ56" s="72">
        <f t="shared" ref="CQ56" si="331">AQ56</f>
        <v>364</v>
      </c>
      <c r="CR56" s="72">
        <f t="shared" ref="CR56" si="332">AU56</f>
        <v>396</v>
      </c>
      <c r="CS56" s="72">
        <f t="shared" ref="CS56" si="333">AY56</f>
        <v>409</v>
      </c>
      <c r="CT56" s="23">
        <f t="shared" ref="CT56" si="334">M56-K56</f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251"/>
        <v>aa2ar_human_5VRA</v>
      </c>
      <c r="B57" s="3" t="s">
        <v>139</v>
      </c>
      <c r="C57" s="3" t="s">
        <v>1445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1370</v>
      </c>
      <c r="BF57" s="118">
        <v>2.35</v>
      </c>
      <c r="BG57" s="49" t="s">
        <v>1</v>
      </c>
      <c r="BH57" s="49" t="s">
        <v>1</v>
      </c>
      <c r="BI57" s="1"/>
      <c r="BJ57" s="70" t="s">
        <v>1283</v>
      </c>
      <c r="BK57" s="57" t="s">
        <v>1283</v>
      </c>
      <c r="BL57" s="57" t="s">
        <v>1283</v>
      </c>
      <c r="BM57" s="57" t="s">
        <v>1283</v>
      </c>
      <c r="BN57" s="57" t="s">
        <v>1283</v>
      </c>
      <c r="BO57" s="57" t="s">
        <v>1283</v>
      </c>
      <c r="BP57" s="57" t="s">
        <v>1283</v>
      </c>
      <c r="BQ57" s="57" t="s">
        <v>1283</v>
      </c>
      <c r="BR57" s="57" t="s">
        <v>1283</v>
      </c>
      <c r="BS57" s="57" t="s">
        <v>1283</v>
      </c>
      <c r="BT57" s="57" t="s">
        <v>1283</v>
      </c>
      <c r="BU57" s="57" t="s">
        <v>1283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1450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1370</v>
      </c>
      <c r="BF58" s="118">
        <v>1.87</v>
      </c>
      <c r="BG58" s="49" t="s">
        <v>1</v>
      </c>
      <c r="BH58" s="49" t="s">
        <v>1</v>
      </c>
      <c r="BI58" s="1"/>
      <c r="BJ58" s="70" t="s">
        <v>1283</v>
      </c>
      <c r="BK58" s="57" t="s">
        <v>1283</v>
      </c>
      <c r="BL58" s="57" t="s">
        <v>1283</v>
      </c>
      <c r="BM58" s="57" t="s">
        <v>1283</v>
      </c>
      <c r="BN58" s="57" t="s">
        <v>1283</v>
      </c>
      <c r="BO58" s="57" t="s">
        <v>1283</v>
      </c>
      <c r="BP58" s="57" t="s">
        <v>1283</v>
      </c>
      <c r="BQ58" s="57" t="s">
        <v>1283</v>
      </c>
      <c r="BR58" s="57" t="s">
        <v>1283</v>
      </c>
      <c r="BS58" s="57" t="s">
        <v>1283</v>
      </c>
      <c r="BT58" s="57" t="s">
        <v>1283</v>
      </c>
      <c r="BU58" s="57" t="s">
        <v>1283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1451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1370</v>
      </c>
      <c r="BF59" s="118">
        <v>2.6</v>
      </c>
      <c r="BG59" s="49" t="s">
        <v>1</v>
      </c>
      <c r="BH59" s="49" t="s">
        <v>1</v>
      </c>
      <c r="BI59" s="1"/>
      <c r="BJ59" s="70" t="s">
        <v>1283</v>
      </c>
      <c r="BK59" s="57" t="s">
        <v>1283</v>
      </c>
      <c r="BL59" s="57" t="s">
        <v>1283</v>
      </c>
      <c r="BM59" s="57" t="s">
        <v>1283</v>
      </c>
      <c r="BN59" s="57" t="s">
        <v>1283</v>
      </c>
      <c r="BO59" s="57" t="s">
        <v>1283</v>
      </c>
      <c r="BP59" s="57" t="s">
        <v>1283</v>
      </c>
      <c r="BQ59" s="57" t="s">
        <v>1283</v>
      </c>
      <c r="BR59" s="57" t="s">
        <v>1283</v>
      </c>
      <c r="BS59" s="57" t="s">
        <v>1283</v>
      </c>
      <c r="BT59" s="57" t="s">
        <v>1283</v>
      </c>
      <c r="BU59" s="57" t="s">
        <v>1283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1452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1370</v>
      </c>
      <c r="BF60" s="118">
        <v>3.1</v>
      </c>
      <c r="BG60" s="49" t="s">
        <v>1</v>
      </c>
      <c r="BH60" s="49" t="s">
        <v>1</v>
      </c>
      <c r="BI60" s="1"/>
      <c r="BJ60" s="70" t="s">
        <v>1283</v>
      </c>
      <c r="BK60" s="57" t="s">
        <v>1283</v>
      </c>
      <c r="BL60" s="57" t="s">
        <v>1283</v>
      </c>
      <c r="BM60" s="57" t="s">
        <v>1283</v>
      </c>
      <c r="BN60" s="57" t="s">
        <v>1283</v>
      </c>
      <c r="BO60" s="57" t="s">
        <v>1283</v>
      </c>
      <c r="BP60" s="57" t="s">
        <v>1283</v>
      </c>
      <c r="BQ60" s="57" t="s">
        <v>1283</v>
      </c>
      <c r="BR60" s="57" t="s">
        <v>1283</v>
      </c>
      <c r="BS60" s="57" t="s">
        <v>1283</v>
      </c>
      <c r="BT60" s="57" t="s">
        <v>1283</v>
      </c>
      <c r="BU60" s="57" t="s">
        <v>1283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1453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1370</v>
      </c>
      <c r="BF61" s="118">
        <v>2</v>
      </c>
      <c r="BG61" s="49" t="s">
        <v>1</v>
      </c>
      <c r="BH61" s="49" t="s">
        <v>1</v>
      </c>
      <c r="BI61" s="1"/>
      <c r="BJ61" s="70" t="s">
        <v>1283</v>
      </c>
      <c r="BK61" s="57" t="s">
        <v>1283</v>
      </c>
      <c r="BL61" s="57" t="s">
        <v>1283</v>
      </c>
      <c r="BM61" s="57" t="s">
        <v>1283</v>
      </c>
      <c r="BN61" s="57" t="s">
        <v>1283</v>
      </c>
      <c r="BO61" s="57" t="s">
        <v>1283</v>
      </c>
      <c r="BP61" s="57" t="s">
        <v>1283</v>
      </c>
      <c r="BQ61" s="57" t="s">
        <v>1283</v>
      </c>
      <c r="BR61" s="57" t="s">
        <v>1283</v>
      </c>
      <c r="BS61" s="57" t="s">
        <v>1283</v>
      </c>
      <c r="BT61" s="57" t="s">
        <v>1283</v>
      </c>
      <c r="BU61" s="57" t="s">
        <v>1283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1454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1370</v>
      </c>
      <c r="BF62" s="118">
        <v>1.9</v>
      </c>
      <c r="BG62" s="49" t="s">
        <v>1</v>
      </c>
      <c r="BH62" s="49" t="s">
        <v>1</v>
      </c>
      <c r="BI62" s="1"/>
      <c r="BJ62" s="70" t="s">
        <v>1283</v>
      </c>
      <c r="BK62" s="57" t="s">
        <v>1283</v>
      </c>
      <c r="BL62" s="57" t="s">
        <v>1283</v>
      </c>
      <c r="BM62" s="57" t="s">
        <v>1283</v>
      </c>
      <c r="BN62" s="57" t="s">
        <v>1283</v>
      </c>
      <c r="BO62" s="57" t="s">
        <v>1283</v>
      </c>
      <c r="BP62" s="57" t="s">
        <v>1283</v>
      </c>
      <c r="BQ62" s="57" t="s">
        <v>1283</v>
      </c>
      <c r="BR62" s="57" t="s">
        <v>1283</v>
      </c>
      <c r="BS62" s="57" t="s">
        <v>1283</v>
      </c>
      <c r="BT62" s="57" t="s">
        <v>1283</v>
      </c>
      <c r="BU62" s="57" t="s">
        <v>1283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1455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1370</v>
      </c>
      <c r="BF63" s="118">
        <v>2.1</v>
      </c>
      <c r="BG63" s="49" t="s">
        <v>1</v>
      </c>
      <c r="BH63" s="49" t="s">
        <v>1</v>
      </c>
      <c r="BI63" s="1"/>
      <c r="BJ63" s="70" t="s">
        <v>1283</v>
      </c>
      <c r="BK63" s="57" t="s">
        <v>1283</v>
      </c>
      <c r="BL63" s="57" t="s">
        <v>1283</v>
      </c>
      <c r="BM63" s="57" t="s">
        <v>1283</v>
      </c>
      <c r="BN63" s="57" t="s">
        <v>1283</v>
      </c>
      <c r="BO63" s="57" t="s">
        <v>1283</v>
      </c>
      <c r="BP63" s="57" t="s">
        <v>1283</v>
      </c>
      <c r="BQ63" s="57" t="s">
        <v>1283</v>
      </c>
      <c r="BR63" s="57" t="s">
        <v>1283</v>
      </c>
      <c r="BS63" s="57" t="s">
        <v>1283</v>
      </c>
      <c r="BT63" s="57" t="s">
        <v>1283</v>
      </c>
      <c r="BU63" s="57" t="s">
        <v>1283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1456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1370</v>
      </c>
      <c r="BF64" s="118">
        <v>2</v>
      </c>
      <c r="BG64" s="49" t="s">
        <v>1</v>
      </c>
      <c r="BH64" s="49" t="s">
        <v>1</v>
      </c>
      <c r="BI64" s="1"/>
      <c r="BJ64" s="70" t="s">
        <v>1283</v>
      </c>
      <c r="BK64" s="57" t="s">
        <v>1283</v>
      </c>
      <c r="BL64" s="57" t="s">
        <v>1283</v>
      </c>
      <c r="BM64" s="57" t="s">
        <v>1283</v>
      </c>
      <c r="BN64" s="57" t="s">
        <v>1283</v>
      </c>
      <c r="BO64" s="57" t="s">
        <v>1283</v>
      </c>
      <c r="BP64" s="57" t="s">
        <v>1283</v>
      </c>
      <c r="BQ64" s="57" t="s">
        <v>1283</v>
      </c>
      <c r="BR64" s="57" t="s">
        <v>1283</v>
      </c>
      <c r="BS64" s="57" t="s">
        <v>1283</v>
      </c>
      <c r="BT64" s="57" t="s">
        <v>1283</v>
      </c>
      <c r="BU64" s="57" t="s">
        <v>1283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1457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1370</v>
      </c>
      <c r="BF65" s="118">
        <v>2.5099999999999998</v>
      </c>
      <c r="BG65" s="49" t="s">
        <v>1</v>
      </c>
      <c r="BH65" s="49" t="s">
        <v>1</v>
      </c>
      <c r="BI65" s="1"/>
      <c r="BJ65" s="70" t="s">
        <v>1283</v>
      </c>
      <c r="BK65" s="57" t="s">
        <v>1283</v>
      </c>
      <c r="BL65" s="57" t="s">
        <v>1283</v>
      </c>
      <c r="BM65" s="57" t="s">
        <v>1283</v>
      </c>
      <c r="BN65" s="57" t="s">
        <v>1283</v>
      </c>
      <c r="BO65" s="57" t="s">
        <v>1283</v>
      </c>
      <c r="BP65" s="57" t="s">
        <v>1283</v>
      </c>
      <c r="BQ65" s="57" t="s">
        <v>1283</v>
      </c>
      <c r="BR65" s="57" t="s">
        <v>1283</v>
      </c>
      <c r="BS65" s="57" t="s">
        <v>1283</v>
      </c>
      <c r="BT65" s="57" t="s">
        <v>1283</v>
      </c>
      <c r="BU65" s="57" t="s">
        <v>1283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1466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1467</v>
      </c>
      <c r="BF66" s="118">
        <v>2.6</v>
      </c>
      <c r="BG66" s="49" t="s">
        <v>1</v>
      </c>
      <c r="BH66" s="49" t="s">
        <v>1</v>
      </c>
      <c r="BI66" s="1"/>
      <c r="BJ66" s="70" t="s">
        <v>1283</v>
      </c>
      <c r="BK66" s="57" t="s">
        <v>1283</v>
      </c>
      <c r="BL66" s="57" t="s">
        <v>1283</v>
      </c>
      <c r="BM66" s="57" t="s">
        <v>1283</v>
      </c>
      <c r="BN66" s="57" t="s">
        <v>1283</v>
      </c>
      <c r="BO66" s="57" t="s">
        <v>1283</v>
      </c>
      <c r="BP66" s="57" t="s">
        <v>1283</v>
      </c>
      <c r="BQ66" s="57" t="s">
        <v>1283</v>
      </c>
      <c r="BR66" s="57" t="s">
        <v>1283</v>
      </c>
      <c r="BS66" s="57" t="s">
        <v>1283</v>
      </c>
      <c r="BT66" s="57" t="s">
        <v>1283</v>
      </c>
      <c r="BU66" s="57" t="s">
        <v>1283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1468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1467</v>
      </c>
      <c r="BF67" s="118">
        <v>2.9</v>
      </c>
      <c r="BG67" s="49" t="s">
        <v>1</v>
      </c>
      <c r="BH67" s="49" t="s">
        <v>1</v>
      </c>
      <c r="BI67" s="1"/>
      <c r="BJ67" s="70" t="s">
        <v>1283</v>
      </c>
      <c r="BK67" s="57" t="s">
        <v>1283</v>
      </c>
      <c r="BL67" s="57" t="s">
        <v>1283</v>
      </c>
      <c r="BM67" s="57" t="s">
        <v>1283</v>
      </c>
      <c r="BN67" s="57" t="s">
        <v>1283</v>
      </c>
      <c r="BO67" s="57" t="s">
        <v>1283</v>
      </c>
      <c r="BP67" s="57" t="s">
        <v>1283</v>
      </c>
      <c r="BQ67" s="57" t="s">
        <v>1283</v>
      </c>
      <c r="BR67" s="57" t="s">
        <v>1283</v>
      </c>
      <c r="BS67" s="57" t="s">
        <v>1283</v>
      </c>
      <c r="BT67" s="57" t="s">
        <v>1283</v>
      </c>
      <c r="BU67" s="57" t="s">
        <v>1283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1488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1287</v>
      </c>
      <c r="BF68" s="118">
        <v>4.1100000000000003</v>
      </c>
      <c r="BG68" s="49" t="s">
        <v>1</v>
      </c>
      <c r="BH68" s="49" t="s">
        <v>1</v>
      </c>
      <c r="BI68" s="1"/>
      <c r="BJ68" s="70" t="s">
        <v>1283</v>
      </c>
      <c r="BK68" s="57" t="s">
        <v>1283</v>
      </c>
      <c r="BL68" s="57" t="s">
        <v>1283</v>
      </c>
      <c r="BM68" s="57" t="s">
        <v>1283</v>
      </c>
      <c r="BN68" s="57" t="s">
        <v>1283</v>
      </c>
      <c r="BO68" s="57" t="s">
        <v>1283</v>
      </c>
      <c r="BP68" s="57" t="s">
        <v>1283</v>
      </c>
      <c r="BQ68" s="57" t="s">
        <v>1283</v>
      </c>
      <c r="BR68" s="57" t="s">
        <v>1283</v>
      </c>
      <c r="BS68" s="57" t="s">
        <v>1283</v>
      </c>
      <c r="BT68" s="57" t="s">
        <v>1283</v>
      </c>
      <c r="BU68" s="57" t="s">
        <v>1283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ref="A69" si="335">CONCATENATE(B69,"_",C69)</f>
        <v>aa2ar_human_6MH8</v>
      </c>
      <c r="B69" s="3" t="s">
        <v>139</v>
      </c>
      <c r="C69" s="3" t="s">
        <v>1568</v>
      </c>
      <c r="D69" s="3" t="str">
        <f>IFERROR(MID(VLOOKUP($B69,Seqs!$A:$B,2,0),E69,1),"")</f>
        <v>M</v>
      </c>
      <c r="E69" s="3">
        <v>1</v>
      </c>
      <c r="F69" s="3" t="str">
        <f>IFERROR(MID(VLOOKUP($B69,Seqs!$A:$B,2,0),G69,1),"")</f>
        <v>N</v>
      </c>
      <c r="G69" s="3">
        <v>34</v>
      </c>
      <c r="H69" s="3" t="str">
        <f>IFERROR(MID(VLOOKUP($B69,Seqs!$A:$B,2,0),I69,1),"")</f>
        <v>S</v>
      </c>
      <c r="I69" s="23">
        <v>35</v>
      </c>
      <c r="J69" s="3" t="str">
        <f>IFERROR(MID(VLOOKUP($B69,Seqs!$A:$B,2,0),K69,1),"")</f>
        <v>Q</v>
      </c>
      <c r="K69" s="23">
        <v>38</v>
      </c>
      <c r="L69" s="3" t="str">
        <f>IFERROR(MID(VLOOKUP($B69,Seqs!$A:$B,2,0),M69,1),"")</f>
        <v>N</v>
      </c>
      <c r="M69" s="3">
        <v>39</v>
      </c>
      <c r="N69" s="3" t="str">
        <f>IFERROR(MID(VLOOKUP($B69,Seqs!$A:$B,2,0),O69,1),"")</f>
        <v>G</v>
      </c>
      <c r="O69" s="3">
        <v>69</v>
      </c>
      <c r="P69" s="3" t="str">
        <f>IFERROR(MID(VLOOKUP($B69,Seqs!$A:$B,2,0),Q69,1),"")</f>
        <v>F</v>
      </c>
      <c r="Q69" s="3">
        <v>70</v>
      </c>
      <c r="R69" s="3" t="str">
        <f>IFERROR(MID(VLOOKUP($B69,Seqs!$A:$B,2,0),S69,1),"")</f>
        <v>A</v>
      </c>
      <c r="S69" s="3">
        <v>72</v>
      </c>
      <c r="T69" s="3" t="str">
        <f>IFERROR(MID(VLOOKUP($B69,Seqs!$A:$B,2,0),U69,1),"")</f>
        <v>A</v>
      </c>
      <c r="U69" s="3">
        <v>73</v>
      </c>
      <c r="V69" s="3" t="str">
        <f>IFERROR(MID(VLOOKUP($B69,Seqs!$A:$B,2,0),W69,1),"")</f>
        <v>I</v>
      </c>
      <c r="W69" s="3">
        <v>108</v>
      </c>
      <c r="X69" s="3" t="str">
        <f>IFERROR(MID(VLOOKUP($B69,Seqs!$A:$B,2,0),Y69,1),"")</f>
        <v>P</v>
      </c>
      <c r="Y69" s="3">
        <v>109</v>
      </c>
      <c r="Z69" s="3" t="str">
        <f>IFERROR(MID(VLOOKUP($B69,Seqs!$A:$B,2,0),AA69,1),"")</f>
        <v>V</v>
      </c>
      <c r="AA69" s="3">
        <v>116</v>
      </c>
      <c r="AB69" s="3" t="str">
        <f>IFERROR(MID(VLOOKUP($B69,Seqs!$A:$B,2,0),AC69,1),"")</f>
        <v>T</v>
      </c>
      <c r="AC69" s="3">
        <v>117</v>
      </c>
      <c r="AD69" s="3" t="str">
        <f>IFERROR(MID(VLOOKUP($B69,Seqs!$A:$B,2,0),AE69,1),"")</f>
        <v>G</v>
      </c>
      <c r="AE69" s="3">
        <v>142</v>
      </c>
      <c r="AF69" s="3" t="str">
        <f>IFERROR(MID(VLOOKUP($B69,Seqs!$A:$B,2,0),AG69,1),"")</f>
        <v>C</v>
      </c>
      <c r="AG69" s="3">
        <v>166</v>
      </c>
      <c r="AH69" s="3" t="str">
        <f>IFERROR(MID(VLOOKUP($B69,Seqs!$A:$B,2,0),AI69,1),"")</f>
        <v>F</v>
      </c>
      <c r="AI69" s="3">
        <v>168</v>
      </c>
      <c r="AJ69" s="3" t="str">
        <f>IFERROR(MID(VLOOKUP($B69,Seqs!$A:$B,2,0),AK69,1),"")</f>
        <v>P</v>
      </c>
      <c r="AK69" s="3">
        <v>173</v>
      </c>
      <c r="AL69" s="3" t="str">
        <f>IFERROR(MID(VLOOKUP($B69,Seqs!$A:$B,2,0),AM69,1),"")</f>
        <v>L</v>
      </c>
      <c r="AM69" s="3">
        <v>208</v>
      </c>
      <c r="AN69" s="3" t="str">
        <f>IFERROR(MID(VLOOKUP($B69,Seqs!$A:$B,2,0),AO69,1),"")</f>
        <v>E</v>
      </c>
      <c r="AO69" s="3">
        <v>219</v>
      </c>
      <c r="AP69" s="3" t="str">
        <f>IFERROR(MID(VLOOKUP($B69,Seqs!$A:$B,2,0),AQ69,1),"")</f>
        <v>C</v>
      </c>
      <c r="AQ69" s="3">
        <v>259</v>
      </c>
      <c r="AR69" s="3" t="str">
        <f>IFERROR(MID(VLOOKUP($B69,Seqs!$A:$B,2,0),AS69,1),"")</f>
        <v>P</v>
      </c>
      <c r="AS69" s="3">
        <v>266</v>
      </c>
      <c r="AT69" s="3" t="str">
        <f>IFERROR(MID(VLOOKUP($B69,Seqs!$A:$B,2,0),AU69,1),"")</f>
        <v>R</v>
      </c>
      <c r="AU69" s="3">
        <v>291</v>
      </c>
      <c r="AV69" s="3" t="str">
        <f>IFERROR(MID(VLOOKUP($B69,Seqs!$A:$B,2,0),AW69,1),"")</f>
        <v>I</v>
      </c>
      <c r="AW69" s="3">
        <v>292</v>
      </c>
      <c r="AX69" s="3" t="str">
        <f>IFERROR(MID(VLOOKUP($B69,Seqs!$A:$B,2,0),AY69,1),"")</f>
        <v>H</v>
      </c>
      <c r="AY69" s="3">
        <v>306</v>
      </c>
      <c r="AZ69" s="77" t="str">
        <f>VLOOKUP(B69,Classification!A:D,2,0)</f>
        <v>A</v>
      </c>
      <c r="BA69" s="94" t="str">
        <f>VLOOKUP(B69,Classification!A:D,4,0)</f>
        <v>Adenosine</v>
      </c>
      <c r="BB69" s="27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23">
        <f t="shared" ref="BC69" si="337">_xlfn.AGGREGATE(9,6,CH69:CS69)-_xlfn.AGGREGATE(9,6,BV69:CG69)+12</f>
        <v>263</v>
      </c>
      <c r="BD69" s="5" t="s">
        <v>23</v>
      </c>
      <c r="BE69" s="3" t="s">
        <v>1370</v>
      </c>
      <c r="BF69" s="118">
        <v>4.2</v>
      </c>
      <c r="BG69" s="49" t="s">
        <v>1</v>
      </c>
      <c r="BH69" s="49" t="s">
        <v>1</v>
      </c>
      <c r="BI69" s="1"/>
      <c r="BJ69" s="70" t="s">
        <v>1283</v>
      </c>
      <c r="BK69" s="57" t="s">
        <v>1283</v>
      </c>
      <c r="BL69" s="57" t="s">
        <v>1283</v>
      </c>
      <c r="BM69" s="57" t="s">
        <v>1283</v>
      </c>
      <c r="BN69" s="57" t="s">
        <v>1283</v>
      </c>
      <c r="BO69" s="57" t="s">
        <v>1283</v>
      </c>
      <c r="BP69" s="57" t="s">
        <v>1283</v>
      </c>
      <c r="BQ69" s="57" t="s">
        <v>1283</v>
      </c>
      <c r="BR69" s="57" t="s">
        <v>1283</v>
      </c>
      <c r="BS69" s="57" t="s">
        <v>1283</v>
      </c>
      <c r="BT69" s="57" t="s">
        <v>1283</v>
      </c>
      <c r="BU69" s="57" t="s">
        <v>1283</v>
      </c>
      <c r="BV69" s="70">
        <f t="shared" ref="BV69" si="338">E69</f>
        <v>1</v>
      </c>
      <c r="BW69" s="71">
        <f t="shared" ref="BW69" si="339">I69</f>
        <v>35</v>
      </c>
      <c r="BX69" s="72">
        <f t="shared" ref="BX69" si="340">M69</f>
        <v>39</v>
      </c>
      <c r="BY69" s="71">
        <f t="shared" ref="BY69" si="341">Q69</f>
        <v>70</v>
      </c>
      <c r="BZ69" s="72">
        <f t="shared" ref="BZ69" si="342">U69</f>
        <v>73</v>
      </c>
      <c r="CA69" s="71">
        <f t="shared" ref="CA69" si="343">Y69</f>
        <v>109</v>
      </c>
      <c r="CB69" s="72">
        <f t="shared" ref="CB69" si="344">AC69</f>
        <v>117</v>
      </c>
      <c r="CC69" s="71">
        <f t="shared" ref="CC69" si="345">AG69</f>
        <v>166</v>
      </c>
      <c r="CD69" s="72">
        <f t="shared" ref="CD69" si="346">AK69</f>
        <v>173</v>
      </c>
      <c r="CE69" s="71">
        <f t="shared" ref="CE69" si="347">AO69</f>
        <v>219</v>
      </c>
      <c r="CF69" s="72">
        <f t="shared" ref="CF69" si="348">AS69</f>
        <v>266</v>
      </c>
      <c r="CG69" s="71">
        <f t="shared" ref="CG69" si="349">AW69</f>
        <v>292</v>
      </c>
      <c r="CH69" s="70">
        <f t="shared" ref="CH69" si="350">G69</f>
        <v>34</v>
      </c>
      <c r="CI69" s="71">
        <f t="shared" ref="CI69" si="351">K69</f>
        <v>38</v>
      </c>
      <c r="CJ69" s="72">
        <f t="shared" ref="CJ69" si="352">O69</f>
        <v>69</v>
      </c>
      <c r="CK69" s="72">
        <f t="shared" ref="CK69" si="353">S69</f>
        <v>72</v>
      </c>
      <c r="CL69" s="72">
        <f t="shared" ref="CL69" si="354">W69</f>
        <v>108</v>
      </c>
      <c r="CM69" s="72">
        <f t="shared" ref="CM69" si="355">AA69</f>
        <v>116</v>
      </c>
      <c r="CN69" s="72">
        <f t="shared" ref="CN69" si="356">AE69</f>
        <v>142</v>
      </c>
      <c r="CO69" s="72">
        <f t="shared" ref="CO69" si="357">AI69</f>
        <v>168</v>
      </c>
      <c r="CP69" s="72">
        <f t="shared" ref="CP69" si="358">AM69</f>
        <v>208</v>
      </c>
      <c r="CQ69" s="72">
        <f t="shared" ref="CQ69" si="359">AQ69</f>
        <v>259</v>
      </c>
      <c r="CR69" s="72">
        <f t="shared" ref="CR69" si="360">AU69</f>
        <v>291</v>
      </c>
      <c r="CS69" s="72">
        <f t="shared" ref="CS69" si="361">AY69</f>
        <v>306</v>
      </c>
      <c r="CT69" s="23">
        <f t="shared" ref="CT69" si="362">M69-K69</f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ref="A70" si="363">CONCATENATE(B70,"_",C70)</f>
        <v>aa2ar_human_6MH9</v>
      </c>
      <c r="B70" s="3" t="s">
        <v>139</v>
      </c>
      <c r="C70" s="3" t="s">
        <v>1578</v>
      </c>
      <c r="D70" s="3" t="str">
        <f>IFERROR(MID(VLOOKUP($B70,Seqs!$A:$B,2,0),E70,1),"")</f>
        <v>M</v>
      </c>
      <c r="E70" s="3">
        <v>1</v>
      </c>
      <c r="F70" s="3" t="str">
        <f>IFERROR(MID(VLOOKUP($B70,Seqs!$A:$B,2,0),G70,1),"")</f>
        <v>N</v>
      </c>
      <c r="G70" s="3">
        <v>34</v>
      </c>
      <c r="H70" s="3" t="str">
        <f>IFERROR(MID(VLOOKUP($B70,Seqs!$A:$B,2,0),I70,1),"")</f>
        <v>S</v>
      </c>
      <c r="I70" s="23">
        <v>35</v>
      </c>
      <c r="J70" s="3" t="str">
        <f>IFERROR(MID(VLOOKUP($B70,Seqs!$A:$B,2,0),K70,1),"")</f>
        <v>Q</v>
      </c>
      <c r="K70" s="23">
        <v>38</v>
      </c>
      <c r="L70" s="3" t="str">
        <f>IFERROR(MID(VLOOKUP($B70,Seqs!$A:$B,2,0),M70,1),"")</f>
        <v>N</v>
      </c>
      <c r="M70" s="3">
        <v>39</v>
      </c>
      <c r="N70" s="3" t="str">
        <f>IFERROR(MID(VLOOKUP($B70,Seqs!$A:$B,2,0),O70,1),"")</f>
        <v>G</v>
      </c>
      <c r="O70" s="3">
        <v>69</v>
      </c>
      <c r="P70" s="3" t="str">
        <f>IFERROR(MID(VLOOKUP($B70,Seqs!$A:$B,2,0),Q70,1),"")</f>
        <v>F</v>
      </c>
      <c r="Q70" s="3">
        <v>70</v>
      </c>
      <c r="R70" s="3" t="str">
        <f>IFERROR(MID(VLOOKUP($B70,Seqs!$A:$B,2,0),S70,1),"")</f>
        <v>A</v>
      </c>
      <c r="S70" s="3">
        <v>72</v>
      </c>
      <c r="T70" s="3" t="str">
        <f>IFERROR(MID(VLOOKUP($B70,Seqs!$A:$B,2,0),U70,1),"")</f>
        <v>A</v>
      </c>
      <c r="U70" s="3">
        <v>73</v>
      </c>
      <c r="V70" s="3" t="str">
        <f>IFERROR(MID(VLOOKUP($B70,Seqs!$A:$B,2,0),W70,1),"")</f>
        <v>I</v>
      </c>
      <c r="W70" s="3">
        <v>108</v>
      </c>
      <c r="X70" s="3" t="str">
        <f>IFERROR(MID(VLOOKUP($B70,Seqs!$A:$B,2,0),Y70,1),"")</f>
        <v>P</v>
      </c>
      <c r="Y70" s="3">
        <v>109</v>
      </c>
      <c r="Z70" s="3" t="str">
        <f>IFERROR(MID(VLOOKUP($B70,Seqs!$A:$B,2,0),AA70,1),"")</f>
        <v>V</v>
      </c>
      <c r="AA70" s="3">
        <v>116</v>
      </c>
      <c r="AB70" s="3" t="str">
        <f>IFERROR(MID(VLOOKUP($B70,Seqs!$A:$B,2,0),AC70,1),"")</f>
        <v>T</v>
      </c>
      <c r="AC70" s="3">
        <v>117</v>
      </c>
      <c r="AD70" s="3" t="str">
        <f>IFERROR(MID(VLOOKUP($B70,Seqs!$A:$B,2,0),AE70,1),"")</f>
        <v>G</v>
      </c>
      <c r="AE70" s="3">
        <v>142</v>
      </c>
      <c r="AF70" s="3" t="str">
        <f>IFERROR(MID(VLOOKUP($B70,Seqs!$A:$B,2,0),AG70,1),"")</f>
        <v>C</v>
      </c>
      <c r="AG70" s="3">
        <v>166</v>
      </c>
      <c r="AH70" s="3" t="str">
        <f>IFERROR(MID(VLOOKUP($B70,Seqs!$A:$B,2,0),AI70,1),"")</f>
        <v>F</v>
      </c>
      <c r="AI70" s="3">
        <v>168</v>
      </c>
      <c r="AJ70" s="3" t="str">
        <f>IFERROR(MID(VLOOKUP($B70,Seqs!$A:$B,2,0),AK70,1),"")</f>
        <v>P</v>
      </c>
      <c r="AK70" s="3">
        <v>173</v>
      </c>
      <c r="AL70" s="3" t="str">
        <f>IFERROR(MID(VLOOKUP($B70,Seqs!$A:$B,2,0),AM70,1),"")</f>
        <v>L</v>
      </c>
      <c r="AM70" s="3">
        <v>208</v>
      </c>
      <c r="AN70" s="3" t="str">
        <f>IFERROR(MID(VLOOKUP($B70,Seqs!$A:$B,2,0),AO70,1),"")</f>
        <v>E</v>
      </c>
      <c r="AO70" s="3">
        <v>219</v>
      </c>
      <c r="AP70" s="3" t="str">
        <f>IFERROR(MID(VLOOKUP($B70,Seqs!$A:$B,2,0),AQ70,1),"")</f>
        <v>C</v>
      </c>
      <c r="AQ70" s="3">
        <v>259</v>
      </c>
      <c r="AR70" s="3" t="str">
        <f>IFERROR(MID(VLOOKUP($B70,Seqs!$A:$B,2,0),AS70,1),"")</f>
        <v>P</v>
      </c>
      <c r="AS70" s="3">
        <v>266</v>
      </c>
      <c r="AT70" s="3" t="str">
        <f>IFERROR(MID(VLOOKUP($B70,Seqs!$A:$B,2,0),AU70,1),"")</f>
        <v>R</v>
      </c>
      <c r="AU70" s="3">
        <v>291</v>
      </c>
      <c r="AV70" s="3" t="str">
        <f>IFERROR(MID(VLOOKUP($B70,Seqs!$A:$B,2,0),AW70,1),"")</f>
        <v>I</v>
      </c>
      <c r="AW70" s="3">
        <v>292</v>
      </c>
      <c r="AX70" s="3" t="str">
        <f>IFERROR(MID(VLOOKUP($B70,Seqs!$A:$B,2,0),AY70,1),"")</f>
        <v>H</v>
      </c>
      <c r="AY70" s="3">
        <v>306</v>
      </c>
      <c r="AZ70" s="77" t="str">
        <f>VLOOKUP(B70,Classification!A:D,2,0)</f>
        <v>A</v>
      </c>
      <c r="BA70" s="94" t="str">
        <f>VLOOKUP(B70,Classification!A:D,4,0)</f>
        <v>Adenosine</v>
      </c>
      <c r="BB70" s="27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23">
        <f t="shared" ref="BC70" si="365">_xlfn.AGGREGATE(9,6,CH70:CS70)-_xlfn.AGGREGATE(9,6,BV70:CG70)+12</f>
        <v>263</v>
      </c>
      <c r="BD70" s="5" t="s">
        <v>23</v>
      </c>
      <c r="BE70" s="3" t="s">
        <v>1370</v>
      </c>
      <c r="BF70" s="118">
        <v>2</v>
      </c>
      <c r="BG70" s="49" t="s">
        <v>1</v>
      </c>
      <c r="BH70" s="49" t="s">
        <v>1</v>
      </c>
      <c r="BI70" s="1"/>
      <c r="BJ70" s="70" t="s">
        <v>1283</v>
      </c>
      <c r="BK70" s="57" t="s">
        <v>1283</v>
      </c>
      <c r="BL70" s="57" t="s">
        <v>1283</v>
      </c>
      <c r="BM70" s="57" t="s">
        <v>1283</v>
      </c>
      <c r="BN70" s="57" t="s">
        <v>1283</v>
      </c>
      <c r="BO70" s="57" t="s">
        <v>1283</v>
      </c>
      <c r="BP70" s="57" t="s">
        <v>1283</v>
      </c>
      <c r="BQ70" s="57" t="s">
        <v>1283</v>
      </c>
      <c r="BR70" s="57" t="s">
        <v>1283</v>
      </c>
      <c r="BS70" s="57" t="s">
        <v>1283</v>
      </c>
      <c r="BT70" s="57" t="s">
        <v>1283</v>
      </c>
      <c r="BU70" s="57" t="s">
        <v>1283</v>
      </c>
      <c r="BV70" s="70">
        <f t="shared" ref="BV70" si="366">E70</f>
        <v>1</v>
      </c>
      <c r="BW70" s="71">
        <f t="shared" ref="BW70" si="367">I70</f>
        <v>35</v>
      </c>
      <c r="BX70" s="72">
        <f t="shared" ref="BX70" si="368">M70</f>
        <v>39</v>
      </c>
      <c r="BY70" s="71">
        <f t="shared" ref="BY70" si="369">Q70</f>
        <v>70</v>
      </c>
      <c r="BZ70" s="72">
        <f t="shared" ref="BZ70" si="370">U70</f>
        <v>73</v>
      </c>
      <c r="CA70" s="71">
        <f t="shared" ref="CA70" si="371">Y70</f>
        <v>109</v>
      </c>
      <c r="CB70" s="72">
        <f t="shared" ref="CB70" si="372">AC70</f>
        <v>117</v>
      </c>
      <c r="CC70" s="71">
        <f t="shared" ref="CC70" si="373">AG70</f>
        <v>166</v>
      </c>
      <c r="CD70" s="72">
        <f t="shared" ref="CD70" si="374">AK70</f>
        <v>173</v>
      </c>
      <c r="CE70" s="71">
        <f t="shared" ref="CE70" si="375">AO70</f>
        <v>219</v>
      </c>
      <c r="CF70" s="72">
        <f t="shared" ref="CF70" si="376">AS70</f>
        <v>266</v>
      </c>
      <c r="CG70" s="71">
        <f t="shared" ref="CG70" si="377">AW70</f>
        <v>292</v>
      </c>
      <c r="CH70" s="70">
        <f t="shared" ref="CH70" si="378">G70</f>
        <v>34</v>
      </c>
      <c r="CI70" s="71">
        <f t="shared" ref="CI70" si="379">K70</f>
        <v>38</v>
      </c>
      <c r="CJ70" s="72">
        <f t="shared" ref="CJ70" si="380">O70</f>
        <v>69</v>
      </c>
      <c r="CK70" s="72">
        <f t="shared" ref="CK70" si="381">S70</f>
        <v>72</v>
      </c>
      <c r="CL70" s="72">
        <f t="shared" ref="CL70" si="382">W70</f>
        <v>108</v>
      </c>
      <c r="CM70" s="72">
        <f t="shared" ref="CM70" si="383">AA70</f>
        <v>116</v>
      </c>
      <c r="CN70" s="72">
        <f t="shared" ref="CN70" si="384">AE70</f>
        <v>142</v>
      </c>
      <c r="CO70" s="72">
        <f t="shared" ref="CO70" si="385">AI70</f>
        <v>168</v>
      </c>
      <c r="CP70" s="72">
        <f t="shared" ref="CP70" si="386">AM70</f>
        <v>208</v>
      </c>
      <c r="CQ70" s="72">
        <f t="shared" ref="CQ70" si="387">AQ70</f>
        <v>259</v>
      </c>
      <c r="CR70" s="72">
        <f t="shared" ref="CR70" si="388">AU70</f>
        <v>291</v>
      </c>
      <c r="CS70" s="72">
        <f t="shared" ref="CS70" si="389">AY70</f>
        <v>306</v>
      </c>
      <c r="CT70" s="23">
        <f t="shared" ref="CT70" si="390">M70-K70</f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ref="A71" si="391">CONCATENATE(B71,"_",C71)</f>
        <v>aa2ar_human_6GT3</v>
      </c>
      <c r="B71" s="3" t="s">
        <v>139</v>
      </c>
      <c r="C71" s="3" t="s">
        <v>1585</v>
      </c>
      <c r="D71" s="3" t="str">
        <f>IFERROR(MID(VLOOKUP($B71,Seqs!$A:$B,2,0),E71,1),"")</f>
        <v>M</v>
      </c>
      <c r="E71" s="3">
        <v>1</v>
      </c>
      <c r="F71" s="3" t="str">
        <f>IFERROR(MID(VLOOKUP($B71,Seqs!$A:$B,2,0),G71,1),"")</f>
        <v>N</v>
      </c>
      <c r="G71" s="3">
        <v>34</v>
      </c>
      <c r="H71" s="3" t="str">
        <f>IFERROR(MID(VLOOKUP($B71,Seqs!$A:$B,2,0),I71,1),"")</f>
        <v>S</v>
      </c>
      <c r="I71" s="23">
        <v>35</v>
      </c>
      <c r="J71" s="3" t="str">
        <f>IFERROR(MID(VLOOKUP($B71,Seqs!$A:$B,2,0),K71,1),"")</f>
        <v>Q</v>
      </c>
      <c r="K71" s="23">
        <v>38</v>
      </c>
      <c r="L71" s="3" t="str">
        <f>IFERROR(MID(VLOOKUP($B71,Seqs!$A:$B,2,0),M71,1),"")</f>
        <v>N</v>
      </c>
      <c r="M71" s="3">
        <v>39</v>
      </c>
      <c r="N71" s="3" t="str">
        <f>IFERROR(MID(VLOOKUP($B71,Seqs!$A:$B,2,0),O71,1),"")</f>
        <v>G</v>
      </c>
      <c r="O71" s="3">
        <v>69</v>
      </c>
      <c r="P71" s="3" t="str">
        <f>IFERROR(MID(VLOOKUP($B71,Seqs!$A:$B,2,0),Q71,1),"")</f>
        <v>F</v>
      </c>
      <c r="Q71" s="3">
        <v>70</v>
      </c>
      <c r="R71" s="3" t="str">
        <f>IFERROR(MID(VLOOKUP($B71,Seqs!$A:$B,2,0),S71,1),"")</f>
        <v>A</v>
      </c>
      <c r="S71" s="3">
        <v>72</v>
      </c>
      <c r="T71" s="3" t="str">
        <f>IFERROR(MID(VLOOKUP($B71,Seqs!$A:$B,2,0),U71,1),"")</f>
        <v>A</v>
      </c>
      <c r="U71" s="3">
        <v>73</v>
      </c>
      <c r="V71" s="3" t="str">
        <f>IFERROR(MID(VLOOKUP($B71,Seqs!$A:$B,2,0),W71,1),"")</f>
        <v>I</v>
      </c>
      <c r="W71" s="3">
        <v>108</v>
      </c>
      <c r="X71" s="3" t="str">
        <f>IFERROR(MID(VLOOKUP($B71,Seqs!$A:$B,2,0),Y71,1),"")</f>
        <v>P</v>
      </c>
      <c r="Y71" s="3">
        <v>109</v>
      </c>
      <c r="Z71" s="3" t="str">
        <f>IFERROR(MID(VLOOKUP($B71,Seqs!$A:$B,2,0),AA71,1),"")</f>
        <v>V</v>
      </c>
      <c r="AA71" s="3">
        <v>116</v>
      </c>
      <c r="AB71" s="3" t="str">
        <f>IFERROR(MID(VLOOKUP($B71,Seqs!$A:$B,2,0),AC71,1),"")</f>
        <v>T</v>
      </c>
      <c r="AC71" s="3">
        <v>117</v>
      </c>
      <c r="AD71" s="3" t="str">
        <f>IFERROR(MID(VLOOKUP($B71,Seqs!$A:$B,2,0),AE71,1),"")</f>
        <v>G</v>
      </c>
      <c r="AE71" s="3">
        <v>142</v>
      </c>
      <c r="AF71" s="3" t="str">
        <f>IFERROR(MID(VLOOKUP($B71,Seqs!$A:$B,2,0),AG71,1),"")</f>
        <v>C</v>
      </c>
      <c r="AG71" s="3">
        <v>166</v>
      </c>
      <c r="AH71" s="3" t="str">
        <f>IFERROR(MID(VLOOKUP($B71,Seqs!$A:$B,2,0),AI71,1),"")</f>
        <v>F</v>
      </c>
      <c r="AI71" s="3">
        <v>168</v>
      </c>
      <c r="AJ71" s="3" t="str">
        <f>IFERROR(MID(VLOOKUP($B71,Seqs!$A:$B,2,0),AK71,1),"")</f>
        <v>P</v>
      </c>
      <c r="AK71" s="3">
        <v>173</v>
      </c>
      <c r="AL71" s="3" t="str">
        <f>IFERROR(MID(VLOOKUP($B71,Seqs!$A:$B,2,0),AM71,1),"")</f>
        <v>L</v>
      </c>
      <c r="AM71" s="3">
        <v>208</v>
      </c>
      <c r="AN71" s="3" t="str">
        <f>IFERROR(MID(VLOOKUP($B71,Seqs!$A:$B,2,0),AO71,1),"")</f>
        <v>E</v>
      </c>
      <c r="AO71" s="3">
        <v>219</v>
      </c>
      <c r="AP71" s="3" t="str">
        <f>IFERROR(MID(VLOOKUP($B71,Seqs!$A:$B,2,0),AQ71,1),"")</f>
        <v>C</v>
      </c>
      <c r="AQ71" s="3">
        <v>259</v>
      </c>
      <c r="AR71" s="3" t="str">
        <f>IFERROR(MID(VLOOKUP($B71,Seqs!$A:$B,2,0),AS71,1),"")</f>
        <v>P</v>
      </c>
      <c r="AS71" s="3">
        <v>266</v>
      </c>
      <c r="AT71" s="3" t="str">
        <f>IFERROR(MID(VLOOKUP($B71,Seqs!$A:$B,2,0),AU71,1),"")</f>
        <v>R</v>
      </c>
      <c r="AU71" s="3">
        <v>291</v>
      </c>
      <c r="AV71" s="3" t="str">
        <f>IFERROR(MID(VLOOKUP($B71,Seqs!$A:$B,2,0),AW71,1),"")</f>
        <v>I</v>
      </c>
      <c r="AW71" s="3">
        <v>292</v>
      </c>
      <c r="AX71" s="3" t="str">
        <f>IFERROR(MID(VLOOKUP($B71,Seqs!$A:$B,2,0),AY71,1),"")</f>
        <v>S</v>
      </c>
      <c r="AY71" s="3">
        <v>305</v>
      </c>
      <c r="AZ71" s="77" t="str">
        <f>VLOOKUP(B71,Classification!A:D,2,0)</f>
        <v>A</v>
      </c>
      <c r="BA71" s="94" t="str">
        <f>VLOOKUP(B71,Classification!A:D,4,0)</f>
        <v>Adenosine</v>
      </c>
      <c r="BB71" s="27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ref="BC71" si="393">_xlfn.AGGREGATE(9,6,CH71:CS71)-_xlfn.AGGREGATE(9,6,BV71:CG71)+12</f>
        <v>262</v>
      </c>
      <c r="BD71" s="5" t="s">
        <v>23</v>
      </c>
      <c r="BE71" s="3" t="s">
        <v>1370</v>
      </c>
      <c r="BF71" s="118">
        <v>2</v>
      </c>
      <c r="BG71" s="49" t="s">
        <v>1</v>
      </c>
      <c r="BH71" s="49" t="s">
        <v>1</v>
      </c>
      <c r="BI71" s="1"/>
      <c r="BJ71" s="70" t="s">
        <v>1283</v>
      </c>
      <c r="BK71" s="57" t="s">
        <v>1283</v>
      </c>
      <c r="BL71" s="57" t="s">
        <v>1283</v>
      </c>
      <c r="BM71" s="57" t="s">
        <v>1283</v>
      </c>
      <c r="BN71" s="57" t="s">
        <v>1283</v>
      </c>
      <c r="BO71" s="57" t="s">
        <v>1283</v>
      </c>
      <c r="BP71" s="57" t="s">
        <v>1283</v>
      </c>
      <c r="BQ71" s="57" t="s">
        <v>1283</v>
      </c>
      <c r="BR71" s="57" t="s">
        <v>1283</v>
      </c>
      <c r="BS71" s="57" t="s">
        <v>1283</v>
      </c>
      <c r="BT71" s="57" t="s">
        <v>1283</v>
      </c>
      <c r="BU71" s="57" t="s">
        <v>1283</v>
      </c>
      <c r="BV71" s="70">
        <f t="shared" ref="BV71" si="394">E71</f>
        <v>1</v>
      </c>
      <c r="BW71" s="71">
        <f t="shared" ref="BW71" si="395">I71</f>
        <v>35</v>
      </c>
      <c r="BX71" s="72">
        <f t="shared" ref="BX71" si="396">M71</f>
        <v>39</v>
      </c>
      <c r="BY71" s="71">
        <f t="shared" ref="BY71" si="397">Q71</f>
        <v>70</v>
      </c>
      <c r="BZ71" s="72">
        <f t="shared" ref="BZ71" si="398">U71</f>
        <v>73</v>
      </c>
      <c r="CA71" s="71">
        <f t="shared" ref="CA71" si="399">Y71</f>
        <v>109</v>
      </c>
      <c r="CB71" s="72">
        <f t="shared" ref="CB71" si="400">AC71</f>
        <v>117</v>
      </c>
      <c r="CC71" s="71">
        <f t="shared" ref="CC71" si="401">AG71</f>
        <v>166</v>
      </c>
      <c r="CD71" s="72">
        <f t="shared" ref="CD71" si="402">AK71</f>
        <v>173</v>
      </c>
      <c r="CE71" s="71">
        <f t="shared" ref="CE71" si="403">AO71</f>
        <v>219</v>
      </c>
      <c r="CF71" s="72">
        <f t="shared" ref="CF71" si="404">AS71</f>
        <v>266</v>
      </c>
      <c r="CG71" s="71">
        <f t="shared" ref="CG71" si="405">AW71</f>
        <v>292</v>
      </c>
      <c r="CH71" s="70">
        <f t="shared" ref="CH71" si="406">G71</f>
        <v>34</v>
      </c>
      <c r="CI71" s="71">
        <f t="shared" ref="CI71" si="407">K71</f>
        <v>38</v>
      </c>
      <c r="CJ71" s="72">
        <f t="shared" ref="CJ71" si="408">O71</f>
        <v>69</v>
      </c>
      <c r="CK71" s="72">
        <f t="shared" ref="CK71" si="409">S71</f>
        <v>72</v>
      </c>
      <c r="CL71" s="72">
        <f t="shared" ref="CL71" si="410">W71</f>
        <v>108</v>
      </c>
      <c r="CM71" s="72">
        <f t="shared" ref="CM71" si="411">AA71</f>
        <v>116</v>
      </c>
      <c r="CN71" s="72">
        <f t="shared" ref="CN71" si="412">AE71</f>
        <v>142</v>
      </c>
      <c r="CO71" s="72">
        <f t="shared" ref="CO71" si="413">AI71</f>
        <v>168</v>
      </c>
      <c r="CP71" s="72">
        <f t="shared" ref="CP71" si="414">AM71</f>
        <v>208</v>
      </c>
      <c r="CQ71" s="72">
        <f t="shared" ref="CQ71" si="415">AQ71</f>
        <v>259</v>
      </c>
      <c r="CR71" s="72">
        <f t="shared" ref="CR71" si="416">AU71</f>
        <v>291</v>
      </c>
      <c r="CS71" s="72">
        <f t="shared" ref="CS71" si="417">AY71</f>
        <v>305</v>
      </c>
      <c r="CT71" s="23">
        <f t="shared" ref="CT71" si="418">M71-K71</f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" si="419">CONCATENATE(B72,"_",C72)</f>
        <v>aa2ar_human_6JZH</v>
      </c>
      <c r="B72" s="3" t="s">
        <v>139</v>
      </c>
      <c r="C72" s="3" t="s">
        <v>1599</v>
      </c>
      <c r="D72" s="3" t="str">
        <f>IFERROR(MID(VLOOKUP($B72,Seqs!$A:$B,2,0),E72,1),"")</f>
        <v>M</v>
      </c>
      <c r="E72" s="3">
        <v>1</v>
      </c>
      <c r="F72" s="3" t="str">
        <f>IFERROR(MID(VLOOKUP($B72,Seqs!$A:$B,2,0),G72,1),"")</f>
        <v>N</v>
      </c>
      <c r="G72" s="3">
        <v>34</v>
      </c>
      <c r="H72" s="3" t="str">
        <f>IFERROR(MID(VLOOKUP($B72,Seqs!$A:$B,2,0),I72,1),"")</f>
        <v>S</v>
      </c>
      <c r="I72" s="23">
        <v>35</v>
      </c>
      <c r="J72" s="3" t="str">
        <f>IFERROR(MID(VLOOKUP($B72,Seqs!$A:$B,2,0),K72,1),"")</f>
        <v>Q</v>
      </c>
      <c r="K72" s="23">
        <v>38</v>
      </c>
      <c r="L72" s="3" t="str">
        <f>IFERROR(MID(VLOOKUP($B72,Seqs!$A:$B,2,0),M72,1),"")</f>
        <v>N</v>
      </c>
      <c r="M72" s="3">
        <v>39</v>
      </c>
      <c r="N72" s="3" t="str">
        <f>IFERROR(MID(VLOOKUP($B72,Seqs!$A:$B,2,0),O72,1),"")</f>
        <v>G</v>
      </c>
      <c r="O72" s="3">
        <v>69</v>
      </c>
      <c r="P72" s="3" t="str">
        <f>IFERROR(MID(VLOOKUP($B72,Seqs!$A:$B,2,0),Q72,1),"")</f>
        <v>F</v>
      </c>
      <c r="Q72" s="3">
        <v>70</v>
      </c>
      <c r="R72" s="3" t="str">
        <f>IFERROR(MID(VLOOKUP($B72,Seqs!$A:$B,2,0),S72,1),"")</f>
        <v>A</v>
      </c>
      <c r="S72" s="3">
        <v>72</v>
      </c>
      <c r="T72" s="3" t="str">
        <f>IFERROR(MID(VLOOKUP($B72,Seqs!$A:$B,2,0),U72,1),"")</f>
        <v>A</v>
      </c>
      <c r="U72" s="3">
        <v>73</v>
      </c>
      <c r="V72" s="3" t="str">
        <f>IFERROR(MID(VLOOKUP($B72,Seqs!$A:$B,2,0),W72,1),"")</f>
        <v>I</v>
      </c>
      <c r="W72" s="3">
        <v>108</v>
      </c>
      <c r="X72" s="3" t="str">
        <f>IFERROR(MID(VLOOKUP($B72,Seqs!$A:$B,2,0),Y72,1),"")</f>
        <v>P</v>
      </c>
      <c r="Y72" s="3">
        <v>109</v>
      </c>
      <c r="Z72" s="3" t="str">
        <f>IFERROR(MID(VLOOKUP($B72,Seqs!$A:$B,2,0),AA72,1),"")</f>
        <v>V</v>
      </c>
      <c r="AA72" s="3">
        <v>116</v>
      </c>
      <c r="AB72" s="3" t="str">
        <f>IFERROR(MID(VLOOKUP($B72,Seqs!$A:$B,2,0),AC72,1),"")</f>
        <v>T</v>
      </c>
      <c r="AC72" s="3">
        <v>117</v>
      </c>
      <c r="AD72" s="3" t="str">
        <f>IFERROR(MID(VLOOKUP($B72,Seqs!$A:$B,2,0),AE72,1),"")</f>
        <v>G</v>
      </c>
      <c r="AE72" s="3">
        <v>142</v>
      </c>
      <c r="AF72" s="3" t="str">
        <f>IFERROR(MID(VLOOKUP($B72,Seqs!$A:$B,2,0),AG72,1),"")</f>
        <v>C</v>
      </c>
      <c r="AG72" s="3">
        <v>166</v>
      </c>
      <c r="AH72" s="3" t="str">
        <f>IFERROR(MID(VLOOKUP($B72,Seqs!$A:$B,2,0),AI72,1),"")</f>
        <v>F</v>
      </c>
      <c r="AI72" s="3">
        <v>168</v>
      </c>
      <c r="AJ72" s="3" t="str">
        <f>IFERROR(MID(VLOOKUP($B72,Seqs!$A:$B,2,0),AK72,1),"")</f>
        <v>P</v>
      </c>
      <c r="AK72" s="3">
        <v>173</v>
      </c>
      <c r="AL72" s="3" t="str">
        <f>IFERROR(MID(VLOOKUP($B72,Seqs!$A:$B,2,0),AM72,1),"")</f>
        <v>L</v>
      </c>
      <c r="AM72" s="3">
        <v>208</v>
      </c>
      <c r="AN72" s="3" t="str">
        <f>IFERROR(MID(VLOOKUP($B72,Seqs!$A:$B,2,0),AO72,1),"")</f>
        <v>E</v>
      </c>
      <c r="AO72" s="3">
        <v>219</v>
      </c>
      <c r="AP72" s="3" t="str">
        <f>IFERROR(MID(VLOOKUP($B72,Seqs!$A:$B,2,0),AQ72,1),"")</f>
        <v>C</v>
      </c>
      <c r="AQ72" s="3">
        <v>259</v>
      </c>
      <c r="AR72" s="3" t="str">
        <f>IFERROR(MID(VLOOKUP($B72,Seqs!$A:$B,2,0),AS72,1),"")</f>
        <v>P</v>
      </c>
      <c r="AS72" s="3">
        <v>266</v>
      </c>
      <c r="AT72" s="3" t="str">
        <f>IFERROR(MID(VLOOKUP($B72,Seqs!$A:$B,2,0),AU72,1),"")</f>
        <v>R</v>
      </c>
      <c r="AU72" s="3">
        <v>291</v>
      </c>
      <c r="AV72" s="3" t="str">
        <f>IFERROR(MID(VLOOKUP($B72,Seqs!$A:$B,2,0),AW72,1),"")</f>
        <v>I</v>
      </c>
      <c r="AW72" s="3">
        <v>292</v>
      </c>
      <c r="AX72" s="3" t="str">
        <f>IFERROR(MID(VLOOKUP($B72,Seqs!$A:$B,2,0),AY72,1),"")</f>
        <v>V</v>
      </c>
      <c r="AY72" s="3">
        <v>307</v>
      </c>
      <c r="AZ72" s="77" t="str">
        <f>VLOOKUP(B72,Classification!A:D,2,0)</f>
        <v>A</v>
      </c>
      <c r="BA72" s="94" t="str">
        <f>VLOOKUP(B72,Classification!A:D,4,0)</f>
        <v>Adenosine</v>
      </c>
      <c r="BB72" s="27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ref="BC72" si="421">_xlfn.AGGREGATE(9,6,CH72:CS72)-_xlfn.AGGREGATE(9,6,BV72:CG72)+12</f>
        <v>264</v>
      </c>
      <c r="BD72" s="5" t="s">
        <v>23</v>
      </c>
      <c r="BE72" s="3" t="s">
        <v>1370</v>
      </c>
      <c r="BF72" s="118">
        <v>2.25</v>
      </c>
      <c r="BG72" s="49" t="s">
        <v>1</v>
      </c>
      <c r="BH72" s="49" t="s">
        <v>1</v>
      </c>
      <c r="BI72" s="1"/>
      <c r="BJ72" s="70" t="s">
        <v>1283</v>
      </c>
      <c r="BK72" s="57" t="s">
        <v>1283</v>
      </c>
      <c r="BL72" s="57" t="s">
        <v>1283</v>
      </c>
      <c r="BM72" s="57" t="s">
        <v>1283</v>
      </c>
      <c r="BN72" s="57" t="s">
        <v>1283</v>
      </c>
      <c r="BO72" s="57" t="s">
        <v>1283</v>
      </c>
      <c r="BP72" s="57" t="s">
        <v>1283</v>
      </c>
      <c r="BQ72" s="57" t="s">
        <v>1283</v>
      </c>
      <c r="BR72" s="57" t="s">
        <v>1283</v>
      </c>
      <c r="BS72" s="57" t="s">
        <v>1283</v>
      </c>
      <c r="BT72" s="57" t="s">
        <v>1283</v>
      </c>
      <c r="BU72" s="57" t="s">
        <v>1283</v>
      </c>
      <c r="BV72" s="70">
        <f t="shared" ref="BV72" si="422">E72</f>
        <v>1</v>
      </c>
      <c r="BW72" s="71">
        <f t="shared" ref="BW72" si="423">I72</f>
        <v>35</v>
      </c>
      <c r="BX72" s="72">
        <f t="shared" ref="BX72" si="424">M72</f>
        <v>39</v>
      </c>
      <c r="BY72" s="71">
        <f t="shared" ref="BY72" si="425">Q72</f>
        <v>70</v>
      </c>
      <c r="BZ72" s="72">
        <f t="shared" ref="BZ72" si="426">U72</f>
        <v>73</v>
      </c>
      <c r="CA72" s="71">
        <f t="shared" ref="CA72" si="427">Y72</f>
        <v>109</v>
      </c>
      <c r="CB72" s="72">
        <f t="shared" ref="CB72" si="428">AC72</f>
        <v>117</v>
      </c>
      <c r="CC72" s="71">
        <f t="shared" ref="CC72" si="429">AG72</f>
        <v>166</v>
      </c>
      <c r="CD72" s="72">
        <f t="shared" ref="CD72" si="430">AK72</f>
        <v>173</v>
      </c>
      <c r="CE72" s="71">
        <f t="shared" ref="CE72" si="431">AO72</f>
        <v>219</v>
      </c>
      <c r="CF72" s="72">
        <f t="shared" ref="CF72" si="432">AS72</f>
        <v>266</v>
      </c>
      <c r="CG72" s="71">
        <f t="shared" ref="CG72" si="433">AW72</f>
        <v>292</v>
      </c>
      <c r="CH72" s="70">
        <f t="shared" ref="CH72" si="434">G72</f>
        <v>34</v>
      </c>
      <c r="CI72" s="71">
        <f t="shared" ref="CI72" si="435">K72</f>
        <v>38</v>
      </c>
      <c r="CJ72" s="72">
        <f t="shared" ref="CJ72" si="436">O72</f>
        <v>69</v>
      </c>
      <c r="CK72" s="72">
        <f t="shared" ref="CK72" si="437">S72</f>
        <v>72</v>
      </c>
      <c r="CL72" s="72">
        <f t="shared" ref="CL72" si="438">W72</f>
        <v>108</v>
      </c>
      <c r="CM72" s="72">
        <f t="shared" ref="CM72" si="439">AA72</f>
        <v>116</v>
      </c>
      <c r="CN72" s="72">
        <f t="shared" ref="CN72" si="440">AE72</f>
        <v>142</v>
      </c>
      <c r="CO72" s="72">
        <f t="shared" ref="CO72" si="441">AI72</f>
        <v>168</v>
      </c>
      <c r="CP72" s="72">
        <f t="shared" ref="CP72" si="442">AM72</f>
        <v>208</v>
      </c>
      <c r="CQ72" s="72">
        <f t="shared" ref="CQ72" si="443">AQ72</f>
        <v>259</v>
      </c>
      <c r="CR72" s="72">
        <f t="shared" ref="CR72" si="444">AU72</f>
        <v>291</v>
      </c>
      <c r="CS72" s="72">
        <f t="shared" ref="CS72" si="445">AY72</f>
        <v>307</v>
      </c>
      <c r="CT72" s="23">
        <f t="shared" ref="CT72" si="446">M72-K72</f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447">CONCATENATE(B73,"_",C73)</f>
        <v>aa2ar_human_6PS7</v>
      </c>
      <c r="B73" s="3" t="s">
        <v>139</v>
      </c>
      <c r="C73" s="3" t="s">
        <v>1611</v>
      </c>
      <c r="D73" s="3" t="str">
        <f>IFERROR(MID(VLOOKUP($B73,Seqs!$A:$B,2,0),E73,1),"")</f>
        <v>M</v>
      </c>
      <c r="E73" s="3">
        <v>1</v>
      </c>
      <c r="F73" s="3" t="str">
        <f>IFERROR(MID(VLOOKUP($B73,Seqs!$A:$B,2,0),G73,1),"")</f>
        <v>N</v>
      </c>
      <c r="G73" s="3">
        <v>34</v>
      </c>
      <c r="H73" s="3" t="str">
        <f>IFERROR(MID(VLOOKUP($B73,Seqs!$A:$B,2,0),I73,1),"")</f>
        <v>S</v>
      </c>
      <c r="I73" s="23">
        <v>35</v>
      </c>
      <c r="J73" s="3" t="str">
        <f>IFERROR(MID(VLOOKUP($B73,Seqs!$A:$B,2,0),K73,1),"")</f>
        <v>Q</v>
      </c>
      <c r="K73" s="23">
        <v>38</v>
      </c>
      <c r="L73" s="3" t="str">
        <f>IFERROR(MID(VLOOKUP($B73,Seqs!$A:$B,2,0),M73,1),"")</f>
        <v>N</v>
      </c>
      <c r="M73" s="3">
        <v>39</v>
      </c>
      <c r="N73" s="3" t="str">
        <f>IFERROR(MID(VLOOKUP($B73,Seqs!$A:$B,2,0),O73,1),"")</f>
        <v>G</v>
      </c>
      <c r="O73" s="3">
        <v>69</v>
      </c>
      <c r="P73" s="3" t="str">
        <f>IFERROR(MID(VLOOKUP($B73,Seqs!$A:$B,2,0),Q73,1),"")</f>
        <v>F</v>
      </c>
      <c r="Q73" s="3">
        <v>70</v>
      </c>
      <c r="R73" s="3" t="str">
        <f>IFERROR(MID(VLOOKUP($B73,Seqs!$A:$B,2,0),S73,1),"")</f>
        <v>A</v>
      </c>
      <c r="S73" s="3">
        <v>72</v>
      </c>
      <c r="T73" s="3" t="str">
        <f>IFERROR(MID(VLOOKUP($B73,Seqs!$A:$B,2,0),U73,1),"")</f>
        <v>A</v>
      </c>
      <c r="U73" s="3">
        <v>73</v>
      </c>
      <c r="V73" s="3" t="str">
        <f>IFERROR(MID(VLOOKUP($B73,Seqs!$A:$B,2,0),W73,1),"")</f>
        <v>I</v>
      </c>
      <c r="W73" s="3">
        <v>108</v>
      </c>
      <c r="X73" s="3" t="str">
        <f>IFERROR(MID(VLOOKUP($B73,Seqs!$A:$B,2,0),Y73,1),"")</f>
        <v>P</v>
      </c>
      <c r="Y73" s="3">
        <v>109</v>
      </c>
      <c r="Z73" s="3" t="str">
        <f>IFERROR(MID(VLOOKUP($B73,Seqs!$A:$B,2,0),AA73,1),"")</f>
        <v>V</v>
      </c>
      <c r="AA73" s="3">
        <v>116</v>
      </c>
      <c r="AB73" s="3" t="str">
        <f>IFERROR(MID(VLOOKUP($B73,Seqs!$A:$B,2,0),AC73,1),"")</f>
        <v>T</v>
      </c>
      <c r="AC73" s="3">
        <v>117</v>
      </c>
      <c r="AD73" s="3" t="str">
        <f>IFERROR(MID(VLOOKUP($B73,Seqs!$A:$B,2,0),AE73,1),"")</f>
        <v>G</v>
      </c>
      <c r="AE73" s="3">
        <v>142</v>
      </c>
      <c r="AF73" s="3" t="str">
        <f>IFERROR(MID(VLOOKUP($B73,Seqs!$A:$B,2,0),AG73,1),"")</f>
        <v>C</v>
      </c>
      <c r="AG73" s="3">
        <v>166</v>
      </c>
      <c r="AH73" s="3" t="str">
        <f>IFERROR(MID(VLOOKUP($B73,Seqs!$A:$B,2,0),AI73,1),"")</f>
        <v>F</v>
      </c>
      <c r="AI73" s="3">
        <v>168</v>
      </c>
      <c r="AJ73" s="3" t="str">
        <f>IFERROR(MID(VLOOKUP($B73,Seqs!$A:$B,2,0),AK73,1),"")</f>
        <v>P</v>
      </c>
      <c r="AK73" s="3">
        <v>173</v>
      </c>
      <c r="AL73" s="3" t="str">
        <f>IFERROR(MID(VLOOKUP($B73,Seqs!$A:$B,2,0),AM73,1),"")</f>
        <v>L</v>
      </c>
      <c r="AM73" s="3">
        <v>208</v>
      </c>
      <c r="AN73" s="3" t="str">
        <f>IFERROR(MID(VLOOKUP($B73,Seqs!$A:$B,2,0),AO73,1),"")</f>
        <v>E</v>
      </c>
      <c r="AO73" s="3">
        <v>219</v>
      </c>
      <c r="AP73" s="3" t="str">
        <f>IFERROR(MID(VLOOKUP($B73,Seqs!$A:$B,2,0),AQ73,1),"")</f>
        <v>C</v>
      </c>
      <c r="AQ73" s="3">
        <v>259</v>
      </c>
      <c r="AR73" s="3" t="str">
        <f>IFERROR(MID(VLOOKUP($B73,Seqs!$A:$B,2,0),AS73,1),"")</f>
        <v>P</v>
      </c>
      <c r="AS73" s="3">
        <v>266</v>
      </c>
      <c r="AT73" s="3" t="str">
        <f>IFERROR(MID(VLOOKUP($B73,Seqs!$A:$B,2,0),AU73,1),"")</f>
        <v>R</v>
      </c>
      <c r="AU73" s="3">
        <v>291</v>
      </c>
      <c r="AV73" s="3" t="str">
        <f>IFERROR(MID(VLOOKUP($B73,Seqs!$A:$B,2,0),AW73,1),"")</f>
        <v>I</v>
      </c>
      <c r="AW73" s="3">
        <v>292</v>
      </c>
      <c r="AX73" s="3" t="str">
        <f>IFERROR(MID(VLOOKUP($B73,Seqs!$A:$B,2,0),AY73,1),"")</f>
        <v>V</v>
      </c>
      <c r="AY73" s="3">
        <v>307</v>
      </c>
      <c r="AZ73" s="77" t="str">
        <f>VLOOKUP(B73,Classification!A:D,2,0)</f>
        <v>A</v>
      </c>
      <c r="BA73" s="94" t="str">
        <f>VLOOKUP(B73,Classification!A:D,4,0)</f>
        <v>Adenosine</v>
      </c>
      <c r="BB73" s="27" t="b">
        <f t="shared" ref="BB73" si="448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449">_xlfn.AGGREGATE(9,6,CH73:CS73)-_xlfn.AGGREGATE(9,6,BV73:CG73)+12</f>
        <v>264</v>
      </c>
      <c r="BD73" s="5" t="s">
        <v>23</v>
      </c>
      <c r="BE73" s="3" t="s">
        <v>1370</v>
      </c>
      <c r="BF73" s="118">
        <v>1.85</v>
      </c>
      <c r="BG73" s="49" t="s">
        <v>1</v>
      </c>
      <c r="BH73" s="49" t="s">
        <v>1</v>
      </c>
      <c r="BI73" s="1"/>
      <c r="BJ73" s="70" t="s">
        <v>1283</v>
      </c>
      <c r="BK73" s="57" t="s">
        <v>1283</v>
      </c>
      <c r="BL73" s="57" t="s">
        <v>1283</v>
      </c>
      <c r="BM73" s="57" t="s">
        <v>1283</v>
      </c>
      <c r="BN73" s="57" t="s">
        <v>1283</v>
      </c>
      <c r="BO73" s="57" t="s">
        <v>1283</v>
      </c>
      <c r="BP73" s="57" t="s">
        <v>1283</v>
      </c>
      <c r="BQ73" s="57" t="s">
        <v>1283</v>
      </c>
      <c r="BR73" s="57" t="s">
        <v>1283</v>
      </c>
      <c r="BS73" s="57" t="s">
        <v>1283</v>
      </c>
      <c r="BT73" s="57" t="s">
        <v>1283</v>
      </c>
      <c r="BU73" s="57" t="s">
        <v>1283</v>
      </c>
      <c r="BV73" s="70">
        <f t="shared" ref="BV73" si="450">E73</f>
        <v>1</v>
      </c>
      <c r="BW73" s="71">
        <f t="shared" ref="BW73" si="451">I73</f>
        <v>35</v>
      </c>
      <c r="BX73" s="72">
        <f t="shared" ref="BX73" si="452">M73</f>
        <v>39</v>
      </c>
      <c r="BY73" s="71">
        <f t="shared" ref="BY73" si="453">Q73</f>
        <v>70</v>
      </c>
      <c r="BZ73" s="72">
        <f t="shared" ref="BZ73" si="454">U73</f>
        <v>73</v>
      </c>
      <c r="CA73" s="71">
        <f t="shared" ref="CA73" si="455">Y73</f>
        <v>109</v>
      </c>
      <c r="CB73" s="72">
        <f t="shared" ref="CB73" si="456">AC73</f>
        <v>117</v>
      </c>
      <c r="CC73" s="71">
        <f t="shared" ref="CC73" si="457">AG73</f>
        <v>166</v>
      </c>
      <c r="CD73" s="72">
        <f t="shared" ref="CD73" si="458">AK73</f>
        <v>173</v>
      </c>
      <c r="CE73" s="71">
        <f t="shared" ref="CE73" si="459">AO73</f>
        <v>219</v>
      </c>
      <c r="CF73" s="72">
        <f t="shared" ref="CF73" si="460">AS73</f>
        <v>266</v>
      </c>
      <c r="CG73" s="71">
        <f t="shared" ref="CG73" si="461">AW73</f>
        <v>292</v>
      </c>
      <c r="CH73" s="70">
        <f t="shared" ref="CH73" si="462">G73</f>
        <v>34</v>
      </c>
      <c r="CI73" s="71">
        <f t="shared" ref="CI73" si="463">K73</f>
        <v>38</v>
      </c>
      <c r="CJ73" s="72">
        <f t="shared" ref="CJ73" si="464">O73</f>
        <v>69</v>
      </c>
      <c r="CK73" s="72">
        <f t="shared" ref="CK73" si="465">S73</f>
        <v>72</v>
      </c>
      <c r="CL73" s="72">
        <f t="shared" ref="CL73" si="466">W73</f>
        <v>108</v>
      </c>
      <c r="CM73" s="72">
        <f t="shared" ref="CM73" si="467">AA73</f>
        <v>116</v>
      </c>
      <c r="CN73" s="72">
        <f t="shared" ref="CN73" si="468">AE73</f>
        <v>142</v>
      </c>
      <c r="CO73" s="72">
        <f t="shared" ref="CO73" si="469">AI73</f>
        <v>168</v>
      </c>
      <c r="CP73" s="72">
        <f t="shared" ref="CP73" si="470">AM73</f>
        <v>208</v>
      </c>
      <c r="CQ73" s="72">
        <f t="shared" ref="CQ73" si="471">AQ73</f>
        <v>259</v>
      </c>
      <c r="CR73" s="72">
        <f t="shared" ref="CR73" si="472">AU73</f>
        <v>291</v>
      </c>
      <c r="CS73" s="72">
        <f t="shared" ref="CS73" si="473">AY73</f>
        <v>307</v>
      </c>
      <c r="CT73" s="23">
        <f t="shared" ref="CT73" si="474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s="12" customFormat="1" x14ac:dyDescent="0.2">
      <c r="A74" s="9" t="str">
        <f t="shared" ref="A74" si="475">CONCATENATE(B74,"_",C74)</f>
        <v>aa2ar_human_6S0Q</v>
      </c>
      <c r="B74" s="9" t="s">
        <v>139</v>
      </c>
      <c r="C74" s="9" t="s">
        <v>1686</v>
      </c>
      <c r="D74" s="9" t="str">
        <f>IFERROR(MID(VLOOKUP($B74,Seqs!$A:$B,2,0),E74,1),"")</f>
        <v>M</v>
      </c>
      <c r="E74" s="9">
        <v>1</v>
      </c>
      <c r="F74" s="9" t="str">
        <f>IFERROR(MID(VLOOKUP($B74,Seqs!$A:$B,2,0),G74,1),"")</f>
        <v>N</v>
      </c>
      <c r="G74" s="9">
        <v>34</v>
      </c>
      <c r="H74" s="9" t="str">
        <f>IFERROR(MID(VLOOKUP($B74,Seqs!$A:$B,2,0),I74,1),"")</f>
        <v>S</v>
      </c>
      <c r="I74" s="109">
        <v>35</v>
      </c>
      <c r="J74" s="9" t="str">
        <f>IFERROR(MID(VLOOKUP($B74,Seqs!$A:$B,2,0),K74,1),"")</f>
        <v>Q</v>
      </c>
      <c r="K74" s="109">
        <v>38</v>
      </c>
      <c r="L74" s="9" t="str">
        <f>IFERROR(MID(VLOOKUP($B74,Seqs!$A:$B,2,0),M74,1),"")</f>
        <v>N</v>
      </c>
      <c r="M74" s="9">
        <v>39</v>
      </c>
      <c r="N74" s="9" t="str">
        <f>IFERROR(MID(VLOOKUP($B74,Seqs!$A:$B,2,0),O74,1),"")</f>
        <v>G</v>
      </c>
      <c r="O74" s="9">
        <v>69</v>
      </c>
      <c r="P74" s="9" t="str">
        <f>IFERROR(MID(VLOOKUP($B74,Seqs!$A:$B,2,0),Q74,1),"")</f>
        <v>F</v>
      </c>
      <c r="Q74" s="9">
        <v>70</v>
      </c>
      <c r="R74" s="9" t="str">
        <f>IFERROR(MID(VLOOKUP($B74,Seqs!$A:$B,2,0),S74,1),"")</f>
        <v>A</v>
      </c>
      <c r="S74" s="9">
        <v>72</v>
      </c>
      <c r="T74" s="9" t="str">
        <f>IFERROR(MID(VLOOKUP($B74,Seqs!$A:$B,2,0),U74,1),"")</f>
        <v>A</v>
      </c>
      <c r="U74" s="9">
        <v>73</v>
      </c>
      <c r="V74" s="9" t="str">
        <f>IFERROR(MID(VLOOKUP($B74,Seqs!$A:$B,2,0),W74,1),"")</f>
        <v>I</v>
      </c>
      <c r="W74" s="9">
        <v>108</v>
      </c>
      <c r="X74" s="9" t="str">
        <f>IFERROR(MID(VLOOKUP($B74,Seqs!$A:$B,2,0),Y74,1),"")</f>
        <v>P</v>
      </c>
      <c r="Y74" s="9">
        <v>109</v>
      </c>
      <c r="Z74" s="9" t="str">
        <f>IFERROR(MID(VLOOKUP($B74,Seqs!$A:$B,2,0),AA74,1),"")</f>
        <v>V</v>
      </c>
      <c r="AA74" s="9">
        <v>116</v>
      </c>
      <c r="AB74" s="9" t="str">
        <f>IFERROR(MID(VLOOKUP($B74,Seqs!$A:$B,2,0),AC74,1),"")</f>
        <v>T</v>
      </c>
      <c r="AC74" s="9">
        <v>117</v>
      </c>
      <c r="AD74" s="9" t="str">
        <f>IFERROR(MID(VLOOKUP($B74,Seqs!$A:$B,2,0),AE74,1),"")</f>
        <v>G</v>
      </c>
      <c r="AE74" s="9">
        <v>142</v>
      </c>
      <c r="AF74" s="9" t="str">
        <f>IFERROR(MID(VLOOKUP($B74,Seqs!$A:$B,2,0),AG74,1),"")</f>
        <v>C</v>
      </c>
      <c r="AG74" s="9">
        <v>166</v>
      </c>
      <c r="AH74" s="9" t="str">
        <f>IFERROR(MID(VLOOKUP($B74,Seqs!$A:$B,2,0),AI74,1),"")</f>
        <v>F</v>
      </c>
      <c r="AI74" s="9">
        <v>168</v>
      </c>
      <c r="AJ74" s="9" t="str">
        <f>IFERROR(MID(VLOOKUP($B74,Seqs!$A:$B,2,0),AK74,1),"")</f>
        <v>P</v>
      </c>
      <c r="AK74" s="9">
        <v>173</v>
      </c>
      <c r="AL74" s="9" t="str">
        <f>IFERROR(MID(VLOOKUP($B74,Seqs!$A:$B,2,0),AM74,1),"")</f>
        <v>L</v>
      </c>
      <c r="AM74" s="9">
        <v>208</v>
      </c>
      <c r="AN74" s="9" t="str">
        <f>IFERROR(MID(VLOOKUP($B74,Seqs!$A:$B,2,0),AO74,1),"")</f>
        <v>E</v>
      </c>
      <c r="AO74" s="9">
        <v>219</v>
      </c>
      <c r="AP74" s="9" t="str">
        <f>IFERROR(MID(VLOOKUP($B74,Seqs!$A:$B,2,0),AQ74,1),"")</f>
        <v>C</v>
      </c>
      <c r="AQ74" s="9">
        <v>259</v>
      </c>
      <c r="AR74" s="9" t="str">
        <f>IFERROR(MID(VLOOKUP($B74,Seqs!$A:$B,2,0),AS74,1),"")</f>
        <v>P</v>
      </c>
      <c r="AS74" s="9">
        <v>266</v>
      </c>
      <c r="AT74" s="9" t="str">
        <f>IFERROR(MID(VLOOKUP($B74,Seqs!$A:$B,2,0),AU74,1),"")</f>
        <v>R</v>
      </c>
      <c r="AU74" s="9">
        <v>291</v>
      </c>
      <c r="AV74" s="9" t="str">
        <f>IFERROR(MID(VLOOKUP($B74,Seqs!$A:$B,2,0),AW74,1),"")</f>
        <v>I</v>
      </c>
      <c r="AW74" s="9">
        <v>292</v>
      </c>
      <c r="AX74" s="9" t="str">
        <f>IFERROR(MID(VLOOKUP($B74,Seqs!$A:$B,2,0),AY74,1),"")</f>
        <v>S</v>
      </c>
      <c r="AY74" s="9">
        <v>305</v>
      </c>
      <c r="AZ74" s="110" t="str">
        <f>VLOOKUP(B74,Classification!A:D,2,0)</f>
        <v>A</v>
      </c>
      <c r="BA74" s="98" t="str">
        <f>VLOOKUP(B74,Classification!A:D,4,0)</f>
        <v>Adenosine</v>
      </c>
      <c r="BB74" s="36" t="b">
        <f t="shared" ref="BB74" si="476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109">
        <f t="shared" ref="BC74" si="477">_xlfn.AGGREGATE(9,6,CH74:CS74)-_xlfn.AGGREGATE(9,6,BV74:CG74)+12</f>
        <v>262</v>
      </c>
      <c r="BD74" s="13" t="s">
        <v>23</v>
      </c>
      <c r="BE74" s="9" t="s">
        <v>1370</v>
      </c>
      <c r="BF74" s="119">
        <v>2.65</v>
      </c>
      <c r="BG74" s="51" t="s">
        <v>1</v>
      </c>
      <c r="BH74" s="51" t="s">
        <v>1</v>
      </c>
      <c r="BJ74" s="111" t="s">
        <v>1283</v>
      </c>
      <c r="BK74" s="112" t="s">
        <v>1283</v>
      </c>
      <c r="BL74" s="112" t="s">
        <v>1283</v>
      </c>
      <c r="BM74" s="112" t="s">
        <v>1283</v>
      </c>
      <c r="BN74" s="112" t="s">
        <v>1283</v>
      </c>
      <c r="BO74" s="112" t="s">
        <v>1283</v>
      </c>
      <c r="BP74" s="112" t="s">
        <v>1283</v>
      </c>
      <c r="BQ74" s="112" t="s">
        <v>1283</v>
      </c>
      <c r="BR74" s="112" t="s">
        <v>1283</v>
      </c>
      <c r="BS74" s="112" t="s">
        <v>1283</v>
      </c>
      <c r="BT74" s="112" t="s">
        <v>1283</v>
      </c>
      <c r="BU74" s="112" t="s">
        <v>1283</v>
      </c>
      <c r="BV74" s="111">
        <f t="shared" ref="BV74" si="478">E74</f>
        <v>1</v>
      </c>
      <c r="BW74" s="113">
        <f t="shared" ref="BW74" si="479">I74</f>
        <v>35</v>
      </c>
      <c r="BX74" s="114">
        <f t="shared" ref="BX74" si="480">M74</f>
        <v>39</v>
      </c>
      <c r="BY74" s="113">
        <f t="shared" ref="BY74" si="481">Q74</f>
        <v>70</v>
      </c>
      <c r="BZ74" s="114">
        <f t="shared" ref="BZ74" si="482">U74</f>
        <v>73</v>
      </c>
      <c r="CA74" s="113">
        <f t="shared" ref="CA74" si="483">Y74</f>
        <v>109</v>
      </c>
      <c r="CB74" s="114">
        <f t="shared" ref="CB74" si="484">AC74</f>
        <v>117</v>
      </c>
      <c r="CC74" s="113">
        <f t="shared" ref="CC74" si="485">AG74</f>
        <v>166</v>
      </c>
      <c r="CD74" s="114">
        <f t="shared" ref="CD74" si="486">AK74</f>
        <v>173</v>
      </c>
      <c r="CE74" s="113">
        <f t="shared" ref="CE74" si="487">AO74</f>
        <v>219</v>
      </c>
      <c r="CF74" s="114">
        <f t="shared" ref="CF74" si="488">AS74</f>
        <v>266</v>
      </c>
      <c r="CG74" s="113">
        <f t="shared" ref="CG74" si="489">AW74</f>
        <v>292</v>
      </c>
      <c r="CH74" s="111">
        <f t="shared" ref="CH74" si="490">G74</f>
        <v>34</v>
      </c>
      <c r="CI74" s="113">
        <f t="shared" ref="CI74" si="491">K74</f>
        <v>38</v>
      </c>
      <c r="CJ74" s="114">
        <f t="shared" ref="CJ74" si="492">O74</f>
        <v>69</v>
      </c>
      <c r="CK74" s="114">
        <f t="shared" ref="CK74" si="493">S74</f>
        <v>72</v>
      </c>
      <c r="CL74" s="114">
        <f t="shared" ref="CL74" si="494">W74</f>
        <v>108</v>
      </c>
      <c r="CM74" s="114">
        <f t="shared" ref="CM74" si="495">AA74</f>
        <v>116</v>
      </c>
      <c r="CN74" s="114">
        <f t="shared" ref="CN74" si="496">AE74</f>
        <v>142</v>
      </c>
      <c r="CO74" s="114">
        <f t="shared" ref="CO74" si="497">AI74</f>
        <v>168</v>
      </c>
      <c r="CP74" s="114">
        <f t="shared" ref="CP74" si="498">AM74</f>
        <v>208</v>
      </c>
      <c r="CQ74" s="114">
        <f t="shared" ref="CQ74" si="499">AQ74</f>
        <v>259</v>
      </c>
      <c r="CR74" s="114">
        <f t="shared" ref="CR74" si="500">AU74</f>
        <v>291</v>
      </c>
      <c r="CS74" s="114">
        <f t="shared" ref="CS74" si="501">AY74</f>
        <v>305</v>
      </c>
      <c r="CT74" s="109">
        <f t="shared" ref="CT74" si="502">M74-K74</f>
        <v>1</v>
      </c>
    </row>
    <row r="75" spans="1:1029" x14ac:dyDescent="0.2">
      <c r="A75" s="3" t="str">
        <f t="shared" si="0"/>
        <v>acm1_human__wt</v>
      </c>
      <c r="B75" s="3" t="s">
        <v>146</v>
      </c>
      <c r="C75" s="3" t="s">
        <v>100</v>
      </c>
      <c r="D75" s="3" t="str">
        <f>IFERROR(MID(VLOOKUP($B75,Seqs!$A:$B,2,0),E75,1),"")</f>
        <v>P</v>
      </c>
      <c r="E75" s="3">
        <v>22</v>
      </c>
      <c r="F75" s="3" t="str">
        <f>IFERROR(MID(VLOOKUP($B75,Seqs!$A:$B,2,0),G75,1),"")</f>
        <v>N</v>
      </c>
      <c r="G75" s="3">
        <v>53</v>
      </c>
      <c r="H75" s="3" t="str">
        <f>IFERROR(MID(VLOOKUP($B75,Seqs!$A:$B,2,0),I75,1),"")</f>
        <v>T</v>
      </c>
      <c r="I75" s="23">
        <v>54</v>
      </c>
      <c r="J75" s="3" t="str">
        <f>IFERROR(MID(VLOOKUP($B75,Seqs!$A:$B,2,0),K75,1),"")</f>
        <v>K</v>
      </c>
      <c r="K75" s="23">
        <v>57</v>
      </c>
      <c r="L75" s="3" t="str">
        <f>IFERROR(MID(VLOOKUP($B75,Seqs!$A:$B,2,0),M75,1),"")</f>
        <v>T</v>
      </c>
      <c r="M75" s="3">
        <v>58</v>
      </c>
      <c r="N75" s="3" t="str">
        <f>IFERROR(MID(VLOOKUP($B75,Seqs!$A:$B,2,0),O75,1),"")</f>
        <v>G</v>
      </c>
      <c r="O75" s="3">
        <v>89</v>
      </c>
      <c r="P75" s="3" t="str">
        <f>IFERROR(MID(VLOOKUP($B75,Seqs!$A:$B,2,0),Q75,1),"")</f>
        <v>H</v>
      </c>
      <c r="Q75" s="3">
        <v>90</v>
      </c>
      <c r="R75" s="3" t="str">
        <f>IFERROR(MID(VLOOKUP($B75,Seqs!$A:$B,2,0),S75,1),"")</f>
        <v>L</v>
      </c>
      <c r="S75" s="3">
        <v>93</v>
      </c>
      <c r="T75" s="3" t="str">
        <f>IFERROR(MID(VLOOKUP($B75,Seqs!$A:$B,2,0),U75,1),"")</f>
        <v>G</v>
      </c>
      <c r="U75" s="3">
        <v>94</v>
      </c>
      <c r="V75" s="3" t="str">
        <f>IFERROR(MID(VLOOKUP($B75,Seqs!$A:$B,2,0),W75,1),"")</f>
        <v>R</v>
      </c>
      <c r="W75" s="3">
        <v>129</v>
      </c>
      <c r="X75" s="3" t="str">
        <f>IFERROR(MID(VLOOKUP($B75,Seqs!$A:$B,2,0),Y75,1),"")</f>
        <v>P</v>
      </c>
      <c r="Y75" s="3">
        <v>130</v>
      </c>
      <c r="Z75" s="3" t="str">
        <f>IFERROR(MID(VLOOKUP($B75,Seqs!$A:$B,2,0),AA75,1),"")</f>
        <v>R</v>
      </c>
      <c r="AA75" s="3">
        <v>137</v>
      </c>
      <c r="AB75" s="3" t="str">
        <f>IFERROR(MID(VLOOKUP($B75,Seqs!$A:$B,2,0),AC75,1),"")</f>
        <v>T</v>
      </c>
      <c r="AC75" s="3">
        <v>138</v>
      </c>
      <c r="AD75" s="3" t="str">
        <f>IFERROR(MID(VLOOKUP($B75,Seqs!$A:$B,2,0),AE75,1),"")</f>
        <v>G</v>
      </c>
      <c r="AE75" s="3">
        <v>169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I</v>
      </c>
      <c r="AI75" s="3">
        <v>180</v>
      </c>
      <c r="AJ75" s="3" t="str">
        <f>IFERROR(MID(VLOOKUP($B75,Seqs!$A:$B,2,0),AK75,1),"")</f>
        <v>Q</v>
      </c>
      <c r="AK75" s="3">
        <v>185</v>
      </c>
      <c r="AL75" s="3" t="str">
        <f>IFERROR(MID(VLOOKUP($B75,Seqs!$A:$B,2,0),AM75,1),"")</f>
        <v>L</v>
      </c>
      <c r="AM75" s="3">
        <v>225</v>
      </c>
      <c r="AN75" s="3" t="str">
        <f>IFERROR(MID(VLOOKUP($B75,Seqs!$A:$B,2,0),AO75,1),"")</f>
        <v>T</v>
      </c>
      <c r="AO75" s="3">
        <v>354</v>
      </c>
      <c r="AP75" s="3" t="str">
        <f>IFERROR(MID(VLOOKUP($B75,Seqs!$A:$B,2,0),AQ75,1),"")</f>
        <v>C</v>
      </c>
      <c r="AQ75" s="3">
        <v>391</v>
      </c>
      <c r="AR75" s="3" t="str">
        <f>IFERROR(MID(VLOOKUP($B75,Seqs!$A:$B,2,0),AS75,1),"")</f>
        <v>P</v>
      </c>
      <c r="AS75" s="3">
        <v>396</v>
      </c>
      <c r="AT75" s="3" t="str">
        <f>IFERROR(MID(VLOOKUP($B75,Seqs!$A:$B,2,0),AU75,1),"")</f>
        <v>C</v>
      </c>
      <c r="AU75" s="3">
        <v>421</v>
      </c>
      <c r="AV75" s="3" t="str">
        <f>IFERROR(MID(VLOOKUP($B75,Seqs!$A:$B,2,0),AW75,1),"")</f>
        <v>N</v>
      </c>
      <c r="AW75" s="3">
        <v>422</v>
      </c>
      <c r="AX75" s="3" t="str">
        <f>IFERROR(MID(VLOOKUP($B75,Seqs!$A:$B,2,0),AY75,1),"")</f>
        <v>C</v>
      </c>
      <c r="AY75" s="3">
        <v>435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270</v>
      </c>
      <c r="BD75" s="56" t="s">
        <v>23</v>
      </c>
      <c r="BE75" s="3" t="s">
        <v>23</v>
      </c>
      <c r="BF75" s="118" t="s">
        <v>23</v>
      </c>
      <c r="BG75" s="49" t="s">
        <v>1368</v>
      </c>
      <c r="BH75" s="49" t="s">
        <v>1373</v>
      </c>
      <c r="BI75" s="1"/>
      <c r="BJ75" s="70" t="s">
        <v>1283</v>
      </c>
      <c r="BK75" s="57" t="s">
        <v>1283</v>
      </c>
      <c r="BL75" s="57" t="s">
        <v>1283</v>
      </c>
      <c r="BM75" s="57" t="s">
        <v>1283</v>
      </c>
      <c r="BN75" s="57" t="s">
        <v>1283</v>
      </c>
      <c r="BO75" s="57" t="s">
        <v>1283</v>
      </c>
      <c r="BP75" s="57" t="s">
        <v>1283</v>
      </c>
      <c r="BQ75" s="57" t="s">
        <v>1283</v>
      </c>
      <c r="BR75" s="57" t="s">
        <v>1283</v>
      </c>
      <c r="BS75" s="57" t="s">
        <v>1283</v>
      </c>
      <c r="BT75" s="57" t="s">
        <v>1283</v>
      </c>
      <c r="BU75" s="57" t="s">
        <v>1283</v>
      </c>
      <c r="BV75" s="70">
        <f t="shared" si="226"/>
        <v>22</v>
      </c>
      <c r="BW75" s="71">
        <f t="shared" si="227"/>
        <v>54</v>
      </c>
      <c r="BX75" s="72">
        <f t="shared" si="228"/>
        <v>58</v>
      </c>
      <c r="BY75" s="71">
        <f t="shared" si="229"/>
        <v>90</v>
      </c>
      <c r="BZ75" s="72">
        <f t="shared" si="230"/>
        <v>94</v>
      </c>
      <c r="CA75" s="71">
        <f t="shared" si="231"/>
        <v>130</v>
      </c>
      <c r="CB75" s="72">
        <f t="shared" si="232"/>
        <v>138</v>
      </c>
      <c r="CC75" s="71">
        <f t="shared" si="233"/>
        <v>178</v>
      </c>
      <c r="CD75" s="72">
        <f t="shared" si="234"/>
        <v>185</v>
      </c>
      <c r="CE75" s="71">
        <f t="shared" si="235"/>
        <v>354</v>
      </c>
      <c r="CF75" s="72">
        <f t="shared" si="236"/>
        <v>396</v>
      </c>
      <c r="CG75" s="71">
        <f t="shared" si="237"/>
        <v>422</v>
      </c>
      <c r="CH75" s="70">
        <f t="shared" si="238"/>
        <v>53</v>
      </c>
      <c r="CI75" s="71">
        <f t="shared" si="239"/>
        <v>57</v>
      </c>
      <c r="CJ75" s="72">
        <f t="shared" si="240"/>
        <v>89</v>
      </c>
      <c r="CK75" s="72">
        <f t="shared" si="241"/>
        <v>93</v>
      </c>
      <c r="CL75" s="72">
        <f t="shared" si="242"/>
        <v>129</v>
      </c>
      <c r="CM75" s="72">
        <f t="shared" si="243"/>
        <v>137</v>
      </c>
      <c r="CN75" s="72">
        <f t="shared" si="244"/>
        <v>169</v>
      </c>
      <c r="CO75" s="72">
        <f t="shared" si="245"/>
        <v>180</v>
      </c>
      <c r="CP75" s="72">
        <f t="shared" si="246"/>
        <v>225</v>
      </c>
      <c r="CQ75" s="72">
        <f t="shared" si="247"/>
        <v>391</v>
      </c>
      <c r="CR75" s="72">
        <f t="shared" si="248"/>
        <v>421</v>
      </c>
      <c r="CS75" s="72">
        <f t="shared" si="249"/>
        <v>435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0"/>
        <v>acm1_human_5CXV</v>
      </c>
      <c r="B76" s="3" t="s">
        <v>146</v>
      </c>
      <c r="C76" s="3" t="s">
        <v>62</v>
      </c>
      <c r="D76" s="3" t="str">
        <f>IFERROR(MID(VLOOKUP($B76,Seqs!$A:$B,2,0),E76,1),"")</f>
        <v>P</v>
      </c>
      <c r="E76" s="3">
        <v>22</v>
      </c>
      <c r="F76" s="3" t="str">
        <f>IFERROR(MID(VLOOKUP($B76,Seqs!$A:$B,2,0),G76,1),"")</f>
        <v>N</v>
      </c>
      <c r="G76" s="3">
        <v>53</v>
      </c>
      <c r="H76" s="3" t="str">
        <f>IFERROR(MID(VLOOKUP($B76,Seqs!$A:$B,2,0),I76,1),"")</f>
        <v>T</v>
      </c>
      <c r="I76" s="23">
        <v>54</v>
      </c>
      <c r="J76" s="3" t="str">
        <f>IFERROR(MID(VLOOKUP($B76,Seqs!$A:$B,2,0),K76,1),"")</f>
        <v>K</v>
      </c>
      <c r="K76" s="23">
        <v>57</v>
      </c>
      <c r="L76" s="3" t="str">
        <f>IFERROR(MID(VLOOKUP($B76,Seqs!$A:$B,2,0),M76,1),"")</f>
        <v>T</v>
      </c>
      <c r="M76" s="3">
        <v>58</v>
      </c>
      <c r="N76" s="3" t="str">
        <f>IFERROR(MID(VLOOKUP($B76,Seqs!$A:$B,2,0),O76,1),"")</f>
        <v>G</v>
      </c>
      <c r="O76" s="3">
        <v>89</v>
      </c>
      <c r="P76" s="3" t="str">
        <f>IFERROR(MID(VLOOKUP($B76,Seqs!$A:$B,2,0),Q76,1),"")</f>
        <v>H</v>
      </c>
      <c r="Q76" s="3">
        <v>90</v>
      </c>
      <c r="R76" s="3" t="str">
        <f>IFERROR(MID(VLOOKUP($B76,Seqs!$A:$B,2,0),S76,1),"")</f>
        <v>L</v>
      </c>
      <c r="S76" s="3">
        <v>93</v>
      </c>
      <c r="T76" s="3" t="str">
        <f>IFERROR(MID(VLOOKUP($B76,Seqs!$A:$B,2,0),U76,1),"")</f>
        <v>G</v>
      </c>
      <c r="U76" s="3">
        <v>94</v>
      </c>
      <c r="V76" s="3" t="str">
        <f>IFERROR(MID(VLOOKUP($B76,Seqs!$A:$B,2,0),W76,1),"")</f>
        <v>R</v>
      </c>
      <c r="W76" s="3">
        <v>129</v>
      </c>
      <c r="X76" s="3" t="str">
        <f>IFERROR(MID(VLOOKUP($B76,Seqs!$A:$B,2,0),Y76,1),"")</f>
        <v>P</v>
      </c>
      <c r="Y76" s="3">
        <v>130</v>
      </c>
      <c r="Z76" s="3" t="str">
        <f>IFERROR(MID(VLOOKUP($B76,Seqs!$A:$B,2,0),AA76,1),"")</f>
        <v>R</v>
      </c>
      <c r="AA76" s="3">
        <v>137</v>
      </c>
      <c r="AB76" s="3" t="str">
        <f>IFERROR(MID(VLOOKUP($B76,Seqs!$A:$B,2,0),AC76,1),"")</f>
        <v>T</v>
      </c>
      <c r="AC76" s="9">
        <v>138</v>
      </c>
      <c r="AD76" s="3" t="str">
        <f>IFERROR(MID(VLOOKUP($B76,Seqs!$A:$B,2,0),AE76,1),"")</f>
        <v>G</v>
      </c>
      <c r="AE76" s="3">
        <v>169</v>
      </c>
      <c r="AF76" s="3" t="str">
        <f>IFERROR(MID(VLOOKUP($B76,Seqs!$A:$B,2,0),AG76,1),"")</f>
        <v>C</v>
      </c>
      <c r="AG76" s="3">
        <v>178</v>
      </c>
      <c r="AH76" s="3" t="str">
        <f>IFERROR(MID(VLOOKUP($B76,Seqs!$A:$B,2,0),AI76,1),"")</f>
        <v>I</v>
      </c>
      <c r="AI76" s="3">
        <v>180</v>
      </c>
      <c r="AJ76" s="3" t="str">
        <f>IFERROR(MID(VLOOKUP($B76,Seqs!$A:$B,2,0),AK76,1),"")</f>
        <v>Q</v>
      </c>
      <c r="AK76" s="3">
        <v>185</v>
      </c>
      <c r="AL76" s="3" t="str">
        <f>IFERROR(MID(VLOOKUP($B76,Seqs!$A:$B,2,0),AM76,1),"")</f>
        <v>R</v>
      </c>
      <c r="AM76" s="3">
        <v>213</v>
      </c>
      <c r="AN76" s="3" t="str">
        <f>IFERROR(MID(VLOOKUP($B76,Seqs!$A:$B,2,0),AO76,1),"")</f>
        <v>L</v>
      </c>
      <c r="AO76" s="3">
        <v>357</v>
      </c>
      <c r="AP76" s="3" t="str">
        <f>IFERROR(MID(VLOOKUP($B76,Seqs!$A:$B,2,0),AQ76,1),"")</f>
        <v>C</v>
      </c>
      <c r="AQ76" s="3">
        <v>391</v>
      </c>
      <c r="AR76" s="3" t="str">
        <f>IFERROR(MID(VLOOKUP($B76,Seqs!$A:$B,2,0),AS76,1),"")</f>
        <v>P</v>
      </c>
      <c r="AS76" s="3">
        <v>396</v>
      </c>
      <c r="AT76" s="3" t="str">
        <f>IFERROR(MID(VLOOKUP($B76,Seqs!$A:$B,2,0),AU76,1),"")</f>
        <v>C</v>
      </c>
      <c r="AU76" s="3">
        <v>421</v>
      </c>
      <c r="AV76" s="3" t="str">
        <f>IFERROR(MID(VLOOKUP($B76,Seqs!$A:$B,2,0),AW76,1),"")</f>
        <v>N</v>
      </c>
      <c r="AW76" s="3">
        <v>422</v>
      </c>
      <c r="AX76" s="3" t="str">
        <f>IFERROR(MID(VLOOKUP($B76,Seqs!$A:$B,2,0),AY76,1),"")</f>
        <v>C</v>
      </c>
      <c r="AY76" s="3">
        <v>435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1"/>
        <v>1</v>
      </c>
      <c r="BC76" s="23">
        <f t="shared" si="225"/>
        <v>255</v>
      </c>
      <c r="BD76" s="16" t="s">
        <v>23</v>
      </c>
      <c r="BE76" s="3" t="s">
        <v>1370</v>
      </c>
      <c r="BF76" s="118">
        <v>2.7</v>
      </c>
      <c r="BG76" s="49" t="s">
        <v>1373</v>
      </c>
      <c r="BH76" s="49" t="s">
        <v>1373</v>
      </c>
      <c r="BI76" s="1"/>
      <c r="BJ76" s="70" t="s">
        <v>1283</v>
      </c>
      <c r="BK76" s="57" t="s">
        <v>1283</v>
      </c>
      <c r="BL76" s="57" t="s">
        <v>1283</v>
      </c>
      <c r="BM76" s="57" t="s">
        <v>1283</v>
      </c>
      <c r="BN76" s="57" t="s">
        <v>1283</v>
      </c>
      <c r="BO76" s="57" t="s">
        <v>1283</v>
      </c>
      <c r="BP76" s="57" t="s">
        <v>1283</v>
      </c>
      <c r="BQ76" s="57" t="s">
        <v>1283</v>
      </c>
      <c r="BR76" s="57" t="s">
        <v>1283</v>
      </c>
      <c r="BS76" s="57" t="s">
        <v>1283</v>
      </c>
      <c r="BT76" s="57" t="s">
        <v>1283</v>
      </c>
      <c r="BU76" s="57" t="s">
        <v>1283</v>
      </c>
      <c r="BV76" s="70">
        <f t="shared" si="226"/>
        <v>22</v>
      </c>
      <c r="BW76" s="71">
        <f t="shared" si="227"/>
        <v>54</v>
      </c>
      <c r="BX76" s="72">
        <f t="shared" si="228"/>
        <v>58</v>
      </c>
      <c r="BY76" s="71">
        <f t="shared" si="229"/>
        <v>90</v>
      </c>
      <c r="BZ76" s="72">
        <f t="shared" si="230"/>
        <v>94</v>
      </c>
      <c r="CA76" s="71">
        <f t="shared" si="231"/>
        <v>130</v>
      </c>
      <c r="CB76" s="72">
        <f t="shared" si="232"/>
        <v>138</v>
      </c>
      <c r="CC76" s="71">
        <f t="shared" si="233"/>
        <v>178</v>
      </c>
      <c r="CD76" s="72">
        <f t="shared" si="234"/>
        <v>185</v>
      </c>
      <c r="CE76" s="71">
        <f t="shared" si="235"/>
        <v>357</v>
      </c>
      <c r="CF76" s="72">
        <f t="shared" si="236"/>
        <v>396</v>
      </c>
      <c r="CG76" s="71">
        <f t="shared" si="237"/>
        <v>422</v>
      </c>
      <c r="CH76" s="70">
        <f t="shared" si="238"/>
        <v>53</v>
      </c>
      <c r="CI76" s="71">
        <f t="shared" si="239"/>
        <v>57</v>
      </c>
      <c r="CJ76" s="72">
        <f t="shared" si="240"/>
        <v>89</v>
      </c>
      <c r="CK76" s="72">
        <f t="shared" si="241"/>
        <v>93</v>
      </c>
      <c r="CL76" s="72">
        <f t="shared" si="242"/>
        <v>129</v>
      </c>
      <c r="CM76" s="72">
        <f t="shared" si="243"/>
        <v>137</v>
      </c>
      <c r="CN76" s="72">
        <f t="shared" si="244"/>
        <v>169</v>
      </c>
      <c r="CO76" s="72">
        <f t="shared" si="245"/>
        <v>180</v>
      </c>
      <c r="CP76" s="72">
        <f t="shared" si="246"/>
        <v>213</v>
      </c>
      <c r="CQ76" s="72">
        <f t="shared" si="247"/>
        <v>391</v>
      </c>
      <c r="CR76" s="72">
        <f t="shared" si="248"/>
        <v>421</v>
      </c>
      <c r="CS76" s="72">
        <f t="shared" si="249"/>
        <v>435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503">CONCATENATE(B77,"_",C77)</f>
        <v>acm1_human_6OIJ</v>
      </c>
      <c r="B77" s="3" t="s">
        <v>146</v>
      </c>
      <c r="C77" s="3" t="s">
        <v>1573</v>
      </c>
      <c r="D77" s="3" t="str">
        <f>IFERROR(MID(VLOOKUP($B77,Seqs!$A:$B,2,0),E77,1),"")</f>
        <v>W</v>
      </c>
      <c r="E77" s="3">
        <v>23</v>
      </c>
      <c r="F77" s="3" t="str">
        <f>IFERROR(MID(VLOOKUP($B77,Seqs!$A:$B,2,0),G77,1),"")</f>
        <v>N</v>
      </c>
      <c r="G77" s="3">
        <v>53</v>
      </c>
      <c r="H77" s="3" t="str">
        <f>IFERROR(MID(VLOOKUP($B77,Seqs!$A:$B,2,0),I77,1),"")</f>
        <v>T</v>
      </c>
      <c r="I77" s="23">
        <v>54</v>
      </c>
      <c r="J77" s="3" t="str">
        <f>IFERROR(MID(VLOOKUP($B77,Seqs!$A:$B,2,0),K77,1),"")</f>
        <v>K</v>
      </c>
      <c r="K77" s="23">
        <v>57</v>
      </c>
      <c r="L77" s="3" t="str">
        <f>IFERROR(MID(VLOOKUP($B77,Seqs!$A:$B,2,0),M77,1),"")</f>
        <v>N</v>
      </c>
      <c r="M77" s="3">
        <v>60</v>
      </c>
      <c r="N77" s="3" t="str">
        <f>IFERROR(MID(VLOOKUP($B77,Seqs!$A:$B,2,0),O77,1),"")</f>
        <v>G</v>
      </c>
      <c r="O77" s="3">
        <v>89</v>
      </c>
      <c r="P77" s="3" t="str">
        <f>IFERROR(MID(VLOOKUP($B77,Seqs!$A:$B,2,0),Q77,1),"")</f>
        <v>H</v>
      </c>
      <c r="Q77" s="3">
        <v>90</v>
      </c>
      <c r="R77" s="3" t="str">
        <f>IFERROR(MID(VLOOKUP($B77,Seqs!$A:$B,2,0),S77,1),"")</f>
        <v>L</v>
      </c>
      <c r="S77" s="3">
        <v>93</v>
      </c>
      <c r="T77" s="3" t="str">
        <f>IFERROR(MID(VLOOKUP($B77,Seqs!$A:$B,2,0),U77,1),"")</f>
        <v>G</v>
      </c>
      <c r="U77" s="3">
        <v>94</v>
      </c>
      <c r="V77" s="3" t="str">
        <f>IFERROR(MID(VLOOKUP($B77,Seqs!$A:$B,2,0),W77,1),"")</f>
        <v>R</v>
      </c>
      <c r="W77" s="3">
        <v>129</v>
      </c>
      <c r="X77" s="3" t="str">
        <f>IFERROR(MID(VLOOKUP($B77,Seqs!$A:$B,2,0),Y77,1),"")</f>
        <v>P</v>
      </c>
      <c r="Y77" s="3">
        <v>130</v>
      </c>
      <c r="Z77" s="3" t="str">
        <f>IFERROR(MID(VLOOKUP($B77,Seqs!$A:$B,2,0),AA77,1),"")</f>
        <v>R</v>
      </c>
      <c r="AA77" s="3">
        <v>137</v>
      </c>
      <c r="AB77" s="3" t="str">
        <f>IFERROR(MID(VLOOKUP($B77,Seqs!$A:$B,2,0),AC77,1),"")</f>
        <v>T</v>
      </c>
      <c r="AC77" s="3">
        <v>138</v>
      </c>
      <c r="AD77" s="3" t="str">
        <f>IFERROR(MID(VLOOKUP($B77,Seqs!$A:$B,2,0),AE77,1),"")</f>
        <v>G</v>
      </c>
      <c r="AE77" s="3">
        <v>169</v>
      </c>
      <c r="AF77" s="3" t="str">
        <f>IFERROR(MID(VLOOKUP($B77,Seqs!$A:$B,2,0),AG77,1),"")</f>
        <v>C</v>
      </c>
      <c r="AG77" s="3">
        <v>178</v>
      </c>
      <c r="AH77" s="3" t="str">
        <f>IFERROR(MID(VLOOKUP($B77,Seqs!$A:$B,2,0),AI77,1),"")</f>
        <v>I</v>
      </c>
      <c r="AI77" s="3">
        <v>180</v>
      </c>
      <c r="AJ77" s="3" t="str">
        <f>IFERROR(MID(VLOOKUP($B77,Seqs!$A:$B,2,0),AK77,1),"")</f>
        <v>Q</v>
      </c>
      <c r="AK77" s="3">
        <v>185</v>
      </c>
      <c r="AL77" s="3" t="str">
        <f>IFERROR(MID(VLOOKUP($B77,Seqs!$A:$B,2,0),AM77,1),"")</f>
        <v>L</v>
      </c>
      <c r="AM77" s="3">
        <v>225</v>
      </c>
      <c r="AN77" s="3" t="str">
        <f>IFERROR(MID(VLOOKUP($B77,Seqs!$A:$B,2,0),AO77,1),"")</f>
        <v>K</v>
      </c>
      <c r="AO77" s="3">
        <v>362</v>
      </c>
      <c r="AP77" s="3" t="str">
        <f>IFERROR(MID(VLOOKUP($B77,Seqs!$A:$B,2,0),AQ77,1),"")</f>
        <v>C</v>
      </c>
      <c r="AQ77" s="3">
        <v>391</v>
      </c>
      <c r="AR77" s="3" t="str">
        <f>IFERROR(MID(VLOOKUP($B77,Seqs!$A:$B,2,0),AS77,1),"")</f>
        <v>E</v>
      </c>
      <c r="AS77" s="3">
        <v>397</v>
      </c>
      <c r="AT77" s="3" t="str">
        <f>IFERROR(MID(VLOOKUP($B77,Seqs!$A:$B,2,0),AU77,1),"")</f>
        <v>C</v>
      </c>
      <c r="AU77" s="3">
        <v>421</v>
      </c>
      <c r="AV77" s="3" t="str">
        <f>IFERROR(MID(VLOOKUP($B77,Seqs!$A:$B,2,0),AW77,1),"")</f>
        <v>N</v>
      </c>
      <c r="AW77" s="3">
        <v>422</v>
      </c>
      <c r="AX77" s="3" t="str">
        <f>IFERROR(MID(VLOOKUP($B77,Seqs!$A:$B,2,0),AY77,1),"")</f>
        <v>L</v>
      </c>
      <c r="AY77" s="3">
        <v>433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ref="BB77" si="504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505">_xlfn.AGGREGATE(9,6,CH77:CS77)-_xlfn.AGGREGATE(9,6,BV77:CG77)+12</f>
        <v>256</v>
      </c>
      <c r="BD77" s="16" t="s">
        <v>1371</v>
      </c>
      <c r="BE77" s="3" t="s">
        <v>1287</v>
      </c>
      <c r="BF77" s="118">
        <v>3.3</v>
      </c>
      <c r="BG77" s="49" t="s">
        <v>1418</v>
      </c>
      <c r="BH77" s="49" t="s">
        <v>1418</v>
      </c>
      <c r="BI77" s="1"/>
      <c r="BJ77" s="70" t="s">
        <v>1283</v>
      </c>
      <c r="BK77" s="57" t="s">
        <v>1283</v>
      </c>
      <c r="BL77" s="57" t="s">
        <v>1283</v>
      </c>
      <c r="BM77" s="57" t="s">
        <v>1283</v>
      </c>
      <c r="BN77" s="57" t="s">
        <v>1283</v>
      </c>
      <c r="BO77" s="57" t="s">
        <v>1283</v>
      </c>
      <c r="BP77" s="57" t="s">
        <v>1283</v>
      </c>
      <c r="BQ77" s="57" t="s">
        <v>1283</v>
      </c>
      <c r="BR77" s="57" t="s">
        <v>1283</v>
      </c>
      <c r="BS77" s="57" t="s">
        <v>1283</v>
      </c>
      <c r="BT77" s="57" t="s">
        <v>1283</v>
      </c>
      <c r="BU77" s="57" t="s">
        <v>1283</v>
      </c>
      <c r="BV77" s="70">
        <f t="shared" ref="BV77" si="506">E77</f>
        <v>23</v>
      </c>
      <c r="BW77" s="71">
        <f t="shared" ref="BW77" si="507">I77</f>
        <v>54</v>
      </c>
      <c r="BX77" s="72">
        <f t="shared" ref="BX77" si="508">M77</f>
        <v>60</v>
      </c>
      <c r="BY77" s="71">
        <f t="shared" ref="BY77" si="509">Q77</f>
        <v>90</v>
      </c>
      <c r="BZ77" s="72">
        <f t="shared" ref="BZ77" si="510">U77</f>
        <v>94</v>
      </c>
      <c r="CA77" s="71">
        <f t="shared" ref="CA77" si="511">Y77</f>
        <v>130</v>
      </c>
      <c r="CB77" s="72">
        <f t="shared" ref="CB77" si="512">AC77</f>
        <v>138</v>
      </c>
      <c r="CC77" s="71">
        <f t="shared" ref="CC77" si="513">AG77</f>
        <v>178</v>
      </c>
      <c r="CD77" s="72">
        <f t="shared" ref="CD77" si="514">AK77</f>
        <v>185</v>
      </c>
      <c r="CE77" s="71">
        <f t="shared" ref="CE77" si="515">AO77</f>
        <v>362</v>
      </c>
      <c r="CF77" s="72">
        <f t="shared" ref="CF77" si="516">AS77</f>
        <v>397</v>
      </c>
      <c r="CG77" s="71">
        <f t="shared" ref="CG77" si="517">AW77</f>
        <v>422</v>
      </c>
      <c r="CH77" s="70">
        <f t="shared" ref="CH77" si="518">G77</f>
        <v>53</v>
      </c>
      <c r="CI77" s="71">
        <f t="shared" ref="CI77" si="519">K77</f>
        <v>57</v>
      </c>
      <c r="CJ77" s="72">
        <f t="shared" ref="CJ77" si="520">O77</f>
        <v>89</v>
      </c>
      <c r="CK77" s="72">
        <f t="shared" ref="CK77" si="521">S77</f>
        <v>93</v>
      </c>
      <c r="CL77" s="72">
        <f t="shared" ref="CL77" si="522">W77</f>
        <v>129</v>
      </c>
      <c r="CM77" s="72">
        <f t="shared" ref="CM77" si="523">AA77</f>
        <v>137</v>
      </c>
      <c r="CN77" s="72">
        <f t="shared" ref="CN77" si="524">AE77</f>
        <v>169</v>
      </c>
      <c r="CO77" s="72">
        <f t="shared" ref="CO77" si="525">AI77</f>
        <v>180</v>
      </c>
      <c r="CP77" s="72">
        <f t="shared" ref="CP77" si="526">AM77</f>
        <v>225</v>
      </c>
      <c r="CQ77" s="72">
        <f t="shared" ref="CQ77" si="527">AQ77</f>
        <v>391</v>
      </c>
      <c r="CR77" s="72">
        <f t="shared" ref="CR77" si="528">AU77</f>
        <v>421</v>
      </c>
      <c r="CS77" s="72">
        <f t="shared" ref="CS77" si="529">AY77</f>
        <v>433</v>
      </c>
      <c r="CT77" s="23">
        <f t="shared" ref="CT77" si="530">M77-K77</f>
        <v>3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s="12" customFormat="1" x14ac:dyDescent="0.2">
      <c r="A78" s="9" t="str">
        <f t="shared" ref="A78" si="531">CONCATENATE(B78,"_",C78)</f>
        <v>acm1_human_6WJC</v>
      </c>
      <c r="B78" s="9" t="s">
        <v>146</v>
      </c>
      <c r="C78" s="9" t="s">
        <v>1674</v>
      </c>
      <c r="D78" s="9" t="str">
        <f>IFERROR(MID(VLOOKUP($B78,Seqs!$A:$B,2,0),E78,1),"")</f>
        <v>P</v>
      </c>
      <c r="E78" s="9">
        <v>22</v>
      </c>
      <c r="F78" s="9" t="str">
        <f>IFERROR(MID(VLOOKUP($B78,Seqs!$A:$B,2,0),G78,1),"")</f>
        <v>N</v>
      </c>
      <c r="G78" s="9">
        <v>53</v>
      </c>
      <c r="H78" s="9" t="str">
        <f>IFERROR(MID(VLOOKUP($B78,Seqs!$A:$B,2,0),I78,1),"")</f>
        <v>T</v>
      </c>
      <c r="I78" s="109">
        <v>54</v>
      </c>
      <c r="J78" s="9" t="str">
        <f>IFERROR(MID(VLOOKUP($B78,Seqs!$A:$B,2,0),K78,1),"")</f>
        <v>K</v>
      </c>
      <c r="K78" s="109">
        <v>57</v>
      </c>
      <c r="L78" s="9" t="str">
        <f>IFERROR(MID(VLOOKUP($B78,Seqs!$A:$B,2,0),M78,1),"")</f>
        <v>T</v>
      </c>
      <c r="M78" s="9">
        <v>58</v>
      </c>
      <c r="N78" s="9" t="str">
        <f>IFERROR(MID(VLOOKUP($B78,Seqs!$A:$B,2,0),O78,1),"")</f>
        <v>G</v>
      </c>
      <c r="O78" s="9">
        <v>89</v>
      </c>
      <c r="P78" s="9" t="str">
        <f>IFERROR(MID(VLOOKUP($B78,Seqs!$A:$B,2,0),Q78,1),"")</f>
        <v>H</v>
      </c>
      <c r="Q78" s="9">
        <v>90</v>
      </c>
      <c r="R78" s="9" t="str">
        <f>IFERROR(MID(VLOOKUP($B78,Seqs!$A:$B,2,0),S78,1),"")</f>
        <v>L</v>
      </c>
      <c r="S78" s="9">
        <v>93</v>
      </c>
      <c r="T78" s="9" t="str">
        <f>IFERROR(MID(VLOOKUP($B78,Seqs!$A:$B,2,0),U78,1),"")</f>
        <v>G</v>
      </c>
      <c r="U78" s="9">
        <v>94</v>
      </c>
      <c r="V78" s="9" t="str">
        <f>IFERROR(MID(VLOOKUP($B78,Seqs!$A:$B,2,0),W78,1),"")</f>
        <v>R</v>
      </c>
      <c r="W78" s="9">
        <v>129</v>
      </c>
      <c r="X78" s="9" t="str">
        <f>IFERROR(MID(VLOOKUP($B78,Seqs!$A:$B,2,0),Y78,1),"")</f>
        <v>P</v>
      </c>
      <c r="Y78" s="9">
        <v>130</v>
      </c>
      <c r="Z78" s="9" t="str">
        <f>IFERROR(MID(VLOOKUP($B78,Seqs!$A:$B,2,0),AA78,1),"")</f>
        <v>R</v>
      </c>
      <c r="AA78" s="9">
        <v>137</v>
      </c>
      <c r="AB78" s="9" t="str">
        <f>IFERROR(MID(VLOOKUP($B78,Seqs!$A:$B,2,0),AC78,1),"")</f>
        <v>T</v>
      </c>
      <c r="AC78" s="9">
        <v>138</v>
      </c>
      <c r="AD78" s="9" t="str">
        <f>IFERROR(MID(VLOOKUP($B78,Seqs!$A:$B,2,0),AE78,1),"")</f>
        <v>G</v>
      </c>
      <c r="AE78" s="9">
        <v>169</v>
      </c>
      <c r="AF78" s="9" t="str">
        <f>IFERROR(MID(VLOOKUP($B78,Seqs!$A:$B,2,0),AG78,1),"")</f>
        <v>C</v>
      </c>
      <c r="AG78" s="9">
        <v>178</v>
      </c>
      <c r="AH78" s="9" t="str">
        <f>IFERROR(MID(VLOOKUP($B78,Seqs!$A:$B,2,0),AI78,1),"")</f>
        <v>I</v>
      </c>
      <c r="AI78" s="9">
        <v>180</v>
      </c>
      <c r="AJ78" s="9" t="str">
        <f>IFERROR(MID(VLOOKUP($B78,Seqs!$A:$B,2,0),AK78,1),"")</f>
        <v>Q</v>
      </c>
      <c r="AK78" s="9">
        <v>185</v>
      </c>
      <c r="AL78" s="9" t="str">
        <f>IFERROR(MID(VLOOKUP($B78,Seqs!$A:$B,2,0),AM78,1),"")</f>
        <v>T</v>
      </c>
      <c r="AM78" s="9">
        <v>215</v>
      </c>
      <c r="AN78" s="9" t="str">
        <f>IFERROR(MID(VLOOKUP($B78,Seqs!$A:$B,2,0),AO78,1),"")</f>
        <v>V</v>
      </c>
      <c r="AO78" s="9">
        <v>358</v>
      </c>
      <c r="AP78" s="9" t="str">
        <f>IFERROR(MID(VLOOKUP($B78,Seqs!$A:$B,2,0),AQ78,1),"")</f>
        <v>C</v>
      </c>
      <c r="AQ78" s="9">
        <v>391</v>
      </c>
      <c r="AR78" s="9" t="str">
        <f>IFERROR(MID(VLOOKUP($B78,Seqs!$A:$B,2,0),AS78,1),"")</f>
        <v>P</v>
      </c>
      <c r="AS78" s="9">
        <v>396</v>
      </c>
      <c r="AT78" s="9" t="str">
        <f>IFERROR(MID(VLOOKUP($B78,Seqs!$A:$B,2,0),AU78,1),"")</f>
        <v>C</v>
      </c>
      <c r="AU78" s="9">
        <v>421</v>
      </c>
      <c r="AV78" s="9" t="str">
        <f>IFERROR(MID(VLOOKUP($B78,Seqs!$A:$B,2,0),AW78,1),"")</f>
        <v>N</v>
      </c>
      <c r="AW78" s="9">
        <v>422</v>
      </c>
      <c r="AX78" s="9" t="str">
        <f>IFERROR(MID(VLOOKUP($B78,Seqs!$A:$B,2,0),AY78,1),"")</f>
        <v>C</v>
      </c>
      <c r="AY78" s="9">
        <v>435</v>
      </c>
      <c r="AZ78" s="110" t="str">
        <f>VLOOKUP(B78,Classification!A:D,2,0)</f>
        <v>A</v>
      </c>
      <c r="BA78" s="98" t="str">
        <f>VLOOKUP(B78,Classification!A:D,4,0)</f>
        <v>Acetylcholine(muscarinic)</v>
      </c>
      <c r="BB78" s="36" t="b">
        <f t="shared" ref="BB78" si="532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109">
        <f t="shared" ref="BC78" si="533">_xlfn.AGGREGATE(9,6,CH78:CS78)-_xlfn.AGGREGATE(9,6,BV78:CG78)+12</f>
        <v>256</v>
      </c>
      <c r="BD78" s="125" t="s">
        <v>1372</v>
      </c>
      <c r="BE78" s="9" t="s">
        <v>1370</v>
      </c>
      <c r="BF78" s="119">
        <v>2.5499999999999998</v>
      </c>
      <c r="BG78" s="51" t="s">
        <v>1</v>
      </c>
      <c r="BH78" s="51" t="s">
        <v>1</v>
      </c>
      <c r="BJ78" s="111" t="s">
        <v>1283</v>
      </c>
      <c r="BK78" s="112" t="s">
        <v>1283</v>
      </c>
      <c r="BL78" s="112" t="s">
        <v>1283</v>
      </c>
      <c r="BM78" s="112" t="s">
        <v>1283</v>
      </c>
      <c r="BN78" s="112" t="s">
        <v>1283</v>
      </c>
      <c r="BO78" s="112" t="s">
        <v>1283</v>
      </c>
      <c r="BP78" s="112" t="s">
        <v>1283</v>
      </c>
      <c r="BQ78" s="112" t="s">
        <v>1283</v>
      </c>
      <c r="BR78" s="112" t="s">
        <v>1283</v>
      </c>
      <c r="BS78" s="112" t="s">
        <v>1283</v>
      </c>
      <c r="BT78" s="112" t="s">
        <v>1283</v>
      </c>
      <c r="BU78" s="112" t="s">
        <v>1283</v>
      </c>
      <c r="BV78" s="111">
        <f t="shared" ref="BV78" si="534">E78</f>
        <v>22</v>
      </c>
      <c r="BW78" s="113">
        <f t="shared" ref="BW78" si="535">I78</f>
        <v>54</v>
      </c>
      <c r="BX78" s="114">
        <f t="shared" ref="BX78" si="536">M78</f>
        <v>58</v>
      </c>
      <c r="BY78" s="113">
        <f t="shared" ref="BY78" si="537">Q78</f>
        <v>90</v>
      </c>
      <c r="BZ78" s="114">
        <f t="shared" ref="BZ78" si="538">U78</f>
        <v>94</v>
      </c>
      <c r="CA78" s="113">
        <f t="shared" ref="CA78" si="539">Y78</f>
        <v>130</v>
      </c>
      <c r="CB78" s="114">
        <f t="shared" ref="CB78" si="540">AC78</f>
        <v>138</v>
      </c>
      <c r="CC78" s="113">
        <f t="shared" ref="CC78" si="541">AG78</f>
        <v>178</v>
      </c>
      <c r="CD78" s="114">
        <f t="shared" ref="CD78" si="542">AK78</f>
        <v>185</v>
      </c>
      <c r="CE78" s="113">
        <f t="shared" ref="CE78" si="543">AO78</f>
        <v>358</v>
      </c>
      <c r="CF78" s="114">
        <f t="shared" ref="CF78" si="544">AS78</f>
        <v>396</v>
      </c>
      <c r="CG78" s="113">
        <f t="shared" ref="CG78" si="545">AW78</f>
        <v>422</v>
      </c>
      <c r="CH78" s="111">
        <f t="shared" ref="CH78" si="546">G78</f>
        <v>53</v>
      </c>
      <c r="CI78" s="113">
        <f t="shared" ref="CI78" si="547">K78</f>
        <v>57</v>
      </c>
      <c r="CJ78" s="114">
        <f t="shared" ref="CJ78" si="548">O78</f>
        <v>89</v>
      </c>
      <c r="CK78" s="114">
        <f t="shared" ref="CK78" si="549">S78</f>
        <v>93</v>
      </c>
      <c r="CL78" s="114">
        <f t="shared" ref="CL78" si="550">W78</f>
        <v>129</v>
      </c>
      <c r="CM78" s="114">
        <f t="shared" ref="CM78" si="551">AA78</f>
        <v>137</v>
      </c>
      <c r="CN78" s="114">
        <f t="shared" ref="CN78" si="552">AE78</f>
        <v>169</v>
      </c>
      <c r="CO78" s="114">
        <f t="shared" ref="CO78" si="553">AI78</f>
        <v>180</v>
      </c>
      <c r="CP78" s="114">
        <f t="shared" ref="CP78" si="554">AM78</f>
        <v>215</v>
      </c>
      <c r="CQ78" s="114">
        <f t="shared" ref="CQ78" si="555">AQ78</f>
        <v>391</v>
      </c>
      <c r="CR78" s="114">
        <f t="shared" ref="CR78" si="556">AU78</f>
        <v>421</v>
      </c>
      <c r="CS78" s="114">
        <f t="shared" ref="CS78" si="557">AY78</f>
        <v>435</v>
      </c>
      <c r="CT78" s="109">
        <f t="shared" ref="CT78" si="558">M78-K78</f>
        <v>1</v>
      </c>
    </row>
    <row r="79" spans="1:1029" x14ac:dyDescent="0.2">
      <c r="A79" s="3" t="str">
        <f t="shared" si="0"/>
        <v>acm2_human__wt</v>
      </c>
      <c r="B79" s="3" t="s">
        <v>147</v>
      </c>
      <c r="C79" s="3" t="s">
        <v>100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105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E</v>
      </c>
      <c r="AM79" s="3">
        <v>223</v>
      </c>
      <c r="AN79" s="3" t="str">
        <f>IFERROR(MID(VLOOKUP($B79,Seqs!$A:$B,2,0),AO79,1),"")</f>
        <v>K</v>
      </c>
      <c r="AO79" s="3">
        <v>376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1"/>
        <v>1</v>
      </c>
      <c r="BC79" s="23">
        <f t="shared" si="225"/>
        <v>270</v>
      </c>
      <c r="BD79" s="56" t="s">
        <v>23</v>
      </c>
      <c r="BE79" s="3" t="s">
        <v>23</v>
      </c>
      <c r="BF79" s="118" t="s">
        <v>23</v>
      </c>
      <c r="BG79" s="49" t="s">
        <v>1368</v>
      </c>
      <c r="BH79" s="49" t="s">
        <v>1373</v>
      </c>
      <c r="BI79" s="1"/>
      <c r="BJ79" s="70" t="s">
        <v>1283</v>
      </c>
      <c r="BK79" s="57" t="s">
        <v>1283</v>
      </c>
      <c r="BL79" s="57" t="s">
        <v>1283</v>
      </c>
      <c r="BM79" s="57" t="s">
        <v>1283</v>
      </c>
      <c r="BN79" s="57" t="s">
        <v>1283</v>
      </c>
      <c r="BO79" s="57" t="s">
        <v>1283</v>
      </c>
      <c r="BP79" s="57" t="s">
        <v>1283</v>
      </c>
      <c r="BQ79" s="57" t="s">
        <v>1283</v>
      </c>
      <c r="BR79" s="57" t="s">
        <v>1283</v>
      </c>
      <c r="BS79" s="57" t="s">
        <v>1283</v>
      </c>
      <c r="BT79" s="57" t="s">
        <v>1283</v>
      </c>
      <c r="BU79" s="57" t="s">
        <v>1283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376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223</v>
      </c>
      <c r="CQ79" s="72">
        <f t="shared" si="247"/>
        <v>413</v>
      </c>
      <c r="CR79" s="72">
        <f t="shared" si="248"/>
        <v>443</v>
      </c>
      <c r="CS79" s="72">
        <f t="shared" si="249"/>
        <v>456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ref="A80:A137" si="559">CONCATENATE(B80,"_",C80)</f>
        <v>acm2_human_3UON</v>
      </c>
      <c r="B80" s="3" t="s">
        <v>147</v>
      </c>
      <c r="C80" s="3" t="s">
        <v>79</v>
      </c>
      <c r="D80" s="3" t="str">
        <f>IFERROR(MID(VLOOKUP($B80,Seqs!$A:$B,2,0),E80,1),"")</f>
        <v>V</v>
      </c>
      <c r="E80" s="3">
        <v>23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I</v>
      </c>
      <c r="O80" s="3">
        <v>86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S</v>
      </c>
      <c r="AM80" s="3">
        <v>213</v>
      </c>
      <c r="AN80" s="3" t="str">
        <f>IFERROR(MID(VLOOKUP($B80,Seqs!$A:$B,2,0),AO80,1),"")</f>
        <v>K</v>
      </c>
      <c r="AO80" s="3">
        <v>384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ref="BB80:BB137" si="560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23">
        <f t="shared" si="225"/>
        <v>247</v>
      </c>
      <c r="BD80" s="16" t="s">
        <v>23</v>
      </c>
      <c r="BE80" s="3" t="s">
        <v>1370</v>
      </c>
      <c r="BF80" s="118">
        <v>3</v>
      </c>
      <c r="BG80" s="49" t="s">
        <v>1373</v>
      </c>
      <c r="BH80" s="49" t="s">
        <v>1373</v>
      </c>
      <c r="BI80" s="1"/>
      <c r="BJ80" s="70" t="s">
        <v>1283</v>
      </c>
      <c r="BK80" s="57" t="s">
        <v>1283</v>
      </c>
      <c r="BL80" s="57" t="s">
        <v>1283</v>
      </c>
      <c r="BM80" s="57" t="s">
        <v>1283</v>
      </c>
      <c r="BN80" s="57" t="s">
        <v>1283</v>
      </c>
      <c r="BO80" s="57" t="s">
        <v>1283</v>
      </c>
      <c r="BP80" s="57" t="s">
        <v>1283</v>
      </c>
      <c r="BQ80" s="57" t="s">
        <v>1283</v>
      </c>
      <c r="BR80" s="57" t="s">
        <v>1283</v>
      </c>
      <c r="BS80" s="57" t="s">
        <v>1283</v>
      </c>
      <c r="BT80" s="57" t="s">
        <v>1283</v>
      </c>
      <c r="BU80" s="57" t="s">
        <v>1283</v>
      </c>
      <c r="BV80" s="70">
        <f t="shared" si="226"/>
        <v>23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384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86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213</v>
      </c>
      <c r="CQ80" s="72">
        <f t="shared" si="247"/>
        <v>413</v>
      </c>
      <c r="CR80" s="72">
        <f t="shared" si="248"/>
        <v>443</v>
      </c>
      <c r="CS80" s="72">
        <f t="shared" si="249"/>
        <v>456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559"/>
        <v>acm2_human_4MQS</v>
      </c>
      <c r="B81" s="3" t="s">
        <v>147</v>
      </c>
      <c r="C81" s="3" t="s">
        <v>68</v>
      </c>
      <c r="D81" s="3" t="str">
        <f>IFERROR(MID(VLOOKUP($B81,Seqs!$A:$B,2,0),E81,1),"")</f>
        <v>K</v>
      </c>
      <c r="E81" s="3">
        <v>19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9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S</v>
      </c>
      <c r="AO81" s="3">
        <v>380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3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si="560"/>
        <v>1</v>
      </c>
      <c r="BC81" s="23">
        <f t="shared" si="225"/>
        <v>257</v>
      </c>
      <c r="BD81" s="4" t="s">
        <v>23</v>
      </c>
      <c r="BE81" s="3" t="s">
        <v>1287</v>
      </c>
      <c r="BF81" s="118">
        <v>3.5</v>
      </c>
      <c r="BG81" s="49" t="s">
        <v>1373</v>
      </c>
      <c r="BH81" s="49" t="s">
        <v>1373</v>
      </c>
      <c r="BI81" s="1"/>
      <c r="BJ81" s="70" t="s">
        <v>1283</v>
      </c>
      <c r="BK81" s="57" t="s">
        <v>1283</v>
      </c>
      <c r="BL81" s="57" t="s">
        <v>1283</v>
      </c>
      <c r="BM81" s="57" t="s">
        <v>1283</v>
      </c>
      <c r="BN81" s="57" t="s">
        <v>1283</v>
      </c>
      <c r="BO81" s="57" t="s">
        <v>1283</v>
      </c>
      <c r="BP81" s="57" t="s">
        <v>1283</v>
      </c>
      <c r="BQ81" s="57" t="s">
        <v>1283</v>
      </c>
      <c r="BR81" s="57" t="s">
        <v>1283</v>
      </c>
      <c r="BS81" s="57" t="s">
        <v>1283</v>
      </c>
      <c r="BT81" s="57" t="s">
        <v>1283</v>
      </c>
      <c r="BU81" s="57" t="s">
        <v>1283</v>
      </c>
      <c r="BV81" s="70">
        <f t="shared" si="226"/>
        <v>19</v>
      </c>
      <c r="BW81" s="71">
        <f t="shared" si="227"/>
        <v>52</v>
      </c>
      <c r="BX81" s="72">
        <f t="shared" si="228"/>
        <v>56</v>
      </c>
      <c r="BY81" s="71">
        <f t="shared" si="229"/>
        <v>88</v>
      </c>
      <c r="BZ81" s="72">
        <f t="shared" si="230"/>
        <v>92</v>
      </c>
      <c r="CA81" s="71">
        <f t="shared" si="231"/>
        <v>128</v>
      </c>
      <c r="CB81" s="72">
        <f t="shared" si="232"/>
        <v>136</v>
      </c>
      <c r="CC81" s="71">
        <f t="shared" si="233"/>
        <v>176</v>
      </c>
      <c r="CD81" s="72">
        <f t="shared" si="234"/>
        <v>183</v>
      </c>
      <c r="CE81" s="71">
        <f t="shared" si="235"/>
        <v>380</v>
      </c>
      <c r="CF81" s="72">
        <f t="shared" si="236"/>
        <v>418</v>
      </c>
      <c r="CG81" s="71">
        <f t="shared" si="237"/>
        <v>444</v>
      </c>
      <c r="CH81" s="70">
        <f t="shared" si="238"/>
        <v>51</v>
      </c>
      <c r="CI81" s="71">
        <f t="shared" si="239"/>
        <v>55</v>
      </c>
      <c r="CJ81" s="72">
        <f t="shared" si="240"/>
        <v>87</v>
      </c>
      <c r="CK81" s="72">
        <f t="shared" si="241"/>
        <v>91</v>
      </c>
      <c r="CL81" s="72">
        <f t="shared" si="242"/>
        <v>127</v>
      </c>
      <c r="CM81" s="72">
        <f t="shared" si="243"/>
        <v>135</v>
      </c>
      <c r="CN81" s="72">
        <f t="shared" si="244"/>
        <v>167</v>
      </c>
      <c r="CO81" s="72">
        <f t="shared" si="245"/>
        <v>178</v>
      </c>
      <c r="CP81" s="72">
        <f t="shared" si="246"/>
        <v>214</v>
      </c>
      <c r="CQ81" s="72">
        <f t="shared" si="247"/>
        <v>413</v>
      </c>
      <c r="CR81" s="72">
        <f t="shared" si="248"/>
        <v>443</v>
      </c>
      <c r="CS81" s="72">
        <f t="shared" si="249"/>
        <v>456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559"/>
        <v>acm2_human_4MQT</v>
      </c>
      <c r="B82" s="3" t="s">
        <v>147</v>
      </c>
      <c r="C82" s="3" t="s">
        <v>1042</v>
      </c>
      <c r="D82" s="3" t="str">
        <f>IFERROR(MID(VLOOKUP($B82,Seqs!$A:$B,2,0),E82,1),"")</f>
        <v>K</v>
      </c>
      <c r="E82" s="3">
        <v>19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9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S</v>
      </c>
      <c r="AM82" s="3">
        <v>215</v>
      </c>
      <c r="AN82" s="3" t="str">
        <f>IFERROR(MID(VLOOKUP($B82,Seqs!$A:$B,2,0),AO82,1),"")</f>
        <v>P</v>
      </c>
      <c r="AO82" s="3">
        <v>379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3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C</v>
      </c>
      <c r="AY82" s="3">
        <v>457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560"/>
        <v>1</v>
      </c>
      <c r="BC82" s="23">
        <f t="shared" si="225"/>
        <v>260</v>
      </c>
      <c r="BD82" s="4" t="s">
        <v>1371</v>
      </c>
      <c r="BE82" s="3" t="s">
        <v>1287</v>
      </c>
      <c r="BF82" s="118">
        <v>3.7</v>
      </c>
      <c r="BG82" s="49" t="s">
        <v>1373</v>
      </c>
      <c r="BH82" s="49" t="s">
        <v>1373</v>
      </c>
      <c r="BI82" s="1"/>
      <c r="BJ82" s="70" t="s">
        <v>1283</v>
      </c>
      <c r="BK82" s="57" t="s">
        <v>1283</v>
      </c>
      <c r="BL82" s="57" t="s">
        <v>1283</v>
      </c>
      <c r="BM82" s="57" t="s">
        <v>1283</v>
      </c>
      <c r="BN82" s="57" t="s">
        <v>1283</v>
      </c>
      <c r="BO82" s="57" t="s">
        <v>1283</v>
      </c>
      <c r="BP82" s="57" t="s">
        <v>1283</v>
      </c>
      <c r="BQ82" s="57" t="s">
        <v>1283</v>
      </c>
      <c r="BR82" s="57" t="s">
        <v>1283</v>
      </c>
      <c r="BS82" s="57" t="s">
        <v>1283</v>
      </c>
      <c r="BT82" s="57" t="s">
        <v>1283</v>
      </c>
      <c r="BU82" s="57" t="s">
        <v>1283</v>
      </c>
      <c r="BV82" s="70">
        <f t="shared" si="226"/>
        <v>19</v>
      </c>
      <c r="BW82" s="71">
        <f t="shared" si="227"/>
        <v>52</v>
      </c>
      <c r="BX82" s="72">
        <f t="shared" si="228"/>
        <v>56</v>
      </c>
      <c r="BY82" s="71">
        <f t="shared" si="229"/>
        <v>88</v>
      </c>
      <c r="BZ82" s="72">
        <f t="shared" si="230"/>
        <v>92</v>
      </c>
      <c r="CA82" s="71">
        <f t="shared" si="231"/>
        <v>128</v>
      </c>
      <c r="CB82" s="72">
        <f t="shared" si="232"/>
        <v>136</v>
      </c>
      <c r="CC82" s="71">
        <f t="shared" si="233"/>
        <v>176</v>
      </c>
      <c r="CD82" s="72">
        <f t="shared" si="234"/>
        <v>183</v>
      </c>
      <c r="CE82" s="71">
        <f t="shared" si="235"/>
        <v>379</v>
      </c>
      <c r="CF82" s="72">
        <f t="shared" si="236"/>
        <v>418</v>
      </c>
      <c r="CG82" s="71">
        <f t="shared" si="237"/>
        <v>444</v>
      </c>
      <c r="CH82" s="70">
        <f t="shared" si="238"/>
        <v>51</v>
      </c>
      <c r="CI82" s="71">
        <f t="shared" si="239"/>
        <v>55</v>
      </c>
      <c r="CJ82" s="72">
        <f t="shared" si="240"/>
        <v>87</v>
      </c>
      <c r="CK82" s="72">
        <f t="shared" si="241"/>
        <v>91</v>
      </c>
      <c r="CL82" s="72">
        <f t="shared" si="242"/>
        <v>127</v>
      </c>
      <c r="CM82" s="72">
        <f t="shared" si="243"/>
        <v>135</v>
      </c>
      <c r="CN82" s="72">
        <f t="shared" si="244"/>
        <v>167</v>
      </c>
      <c r="CO82" s="72">
        <f t="shared" si="245"/>
        <v>178</v>
      </c>
      <c r="CP82" s="72">
        <f t="shared" si="246"/>
        <v>215</v>
      </c>
      <c r="CQ82" s="72">
        <f t="shared" si="247"/>
        <v>413</v>
      </c>
      <c r="CR82" s="72">
        <f t="shared" si="248"/>
        <v>443</v>
      </c>
      <c r="CS82" s="72">
        <f t="shared" si="249"/>
        <v>457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acm2_human_5ZKC</v>
      </c>
      <c r="B83" s="3" t="s">
        <v>147</v>
      </c>
      <c r="C83" s="3" t="s">
        <v>1526</v>
      </c>
      <c r="D83" s="3" t="str">
        <f>IFERROR(MID(VLOOKUP($B83,Seqs!$A:$B,2,0),E83,1),"")</f>
        <v>P</v>
      </c>
      <c r="E83" s="3">
        <v>17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V</v>
      </c>
      <c r="AE83" s="3">
        <v>166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R</v>
      </c>
      <c r="AO83" s="3">
        <v>381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257</v>
      </c>
      <c r="BD83" s="4" t="s">
        <v>1372</v>
      </c>
      <c r="BE83" s="3" t="s">
        <v>1370</v>
      </c>
      <c r="BF83" s="118">
        <v>2.2999999999999998</v>
      </c>
      <c r="BG83" s="49" t="s">
        <v>1</v>
      </c>
      <c r="BH83" s="49" t="s">
        <v>1</v>
      </c>
      <c r="BI83" s="1"/>
      <c r="BJ83" s="70" t="s">
        <v>1283</v>
      </c>
      <c r="BK83" s="57" t="s">
        <v>1283</v>
      </c>
      <c r="BL83" s="57" t="s">
        <v>1283</v>
      </c>
      <c r="BM83" s="57" t="s">
        <v>1283</v>
      </c>
      <c r="BN83" s="57" t="s">
        <v>1283</v>
      </c>
      <c r="BO83" s="57" t="s">
        <v>1283</v>
      </c>
      <c r="BP83" s="57" t="s">
        <v>1283</v>
      </c>
      <c r="BQ83" s="57" t="s">
        <v>1283</v>
      </c>
      <c r="BR83" s="57" t="s">
        <v>1283</v>
      </c>
      <c r="BS83" s="57" t="s">
        <v>1283</v>
      </c>
      <c r="BT83" s="57" t="s">
        <v>1283</v>
      </c>
      <c r="BU83" s="57" t="s">
        <v>1283</v>
      </c>
      <c r="BV83" s="70">
        <f t="shared" ref="BV83" si="564">E83</f>
        <v>17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381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166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acm2_human_5ZKB</v>
      </c>
      <c r="B84" s="3" t="s">
        <v>147</v>
      </c>
      <c r="C84" s="3" t="s">
        <v>1527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V</v>
      </c>
      <c r="AE84" s="3">
        <v>166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S</v>
      </c>
      <c r="AO84" s="3">
        <v>380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257</v>
      </c>
      <c r="BD84" s="4" t="s">
        <v>23</v>
      </c>
      <c r="BE84" s="3" t="s">
        <v>1370</v>
      </c>
      <c r="BF84" s="118">
        <v>2.95</v>
      </c>
      <c r="BG84" s="49" t="s">
        <v>1</v>
      </c>
      <c r="BH84" s="49" t="s">
        <v>1</v>
      </c>
      <c r="BI84" s="1"/>
      <c r="BJ84" s="70" t="s">
        <v>1283</v>
      </c>
      <c r="BK84" s="57" t="s">
        <v>1283</v>
      </c>
      <c r="BL84" s="57" t="s">
        <v>1283</v>
      </c>
      <c r="BM84" s="57" t="s">
        <v>1283</v>
      </c>
      <c r="BN84" s="57" t="s">
        <v>1283</v>
      </c>
      <c r="BO84" s="57" t="s">
        <v>1283</v>
      </c>
      <c r="BP84" s="57" t="s">
        <v>1283</v>
      </c>
      <c r="BQ84" s="57" t="s">
        <v>1283</v>
      </c>
      <c r="BR84" s="57" t="s">
        <v>1283</v>
      </c>
      <c r="BS84" s="57" t="s">
        <v>1283</v>
      </c>
      <c r="BT84" s="57" t="s">
        <v>1283</v>
      </c>
      <c r="BU84" s="57" t="s">
        <v>1283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380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166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617">CONCATENATE(B85,"_",C85)</f>
        <v>acm2_human_5ZK8</v>
      </c>
      <c r="B85" s="3" t="s">
        <v>147</v>
      </c>
      <c r="C85" s="3" t="s">
        <v>1528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K</v>
      </c>
      <c r="AO85" s="3">
        <v>383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619">_xlfn.AGGREGATE(9,6,CH85:CS85)-_xlfn.AGGREGATE(9,6,BV85:CG85)+12</f>
        <v>255</v>
      </c>
      <c r="BD85" s="4" t="s">
        <v>23</v>
      </c>
      <c r="BE85" s="3" t="s">
        <v>1370</v>
      </c>
      <c r="BF85" s="118">
        <v>3</v>
      </c>
      <c r="BG85" s="49" t="s">
        <v>1</v>
      </c>
      <c r="BH85" s="49" t="s">
        <v>1</v>
      </c>
      <c r="BI85" s="1"/>
      <c r="BJ85" s="70" t="s">
        <v>1283</v>
      </c>
      <c r="BK85" s="57" t="s">
        <v>1283</v>
      </c>
      <c r="BL85" s="57" t="s">
        <v>1283</v>
      </c>
      <c r="BM85" s="57" t="s">
        <v>1283</v>
      </c>
      <c r="BN85" s="57" t="s">
        <v>1283</v>
      </c>
      <c r="BO85" s="57" t="s">
        <v>1283</v>
      </c>
      <c r="BP85" s="57" t="s">
        <v>1283</v>
      </c>
      <c r="BQ85" s="57" t="s">
        <v>1283</v>
      </c>
      <c r="BR85" s="57" t="s">
        <v>1283</v>
      </c>
      <c r="BS85" s="57" t="s">
        <v>1283</v>
      </c>
      <c r="BT85" s="57" t="s">
        <v>1283</v>
      </c>
      <c r="BU85" s="57" t="s">
        <v>1283</v>
      </c>
      <c r="BV85" s="70">
        <f t="shared" ref="BV85" si="620">E85</f>
        <v>18</v>
      </c>
      <c r="BW85" s="71">
        <f t="shared" ref="BW85" si="621">I85</f>
        <v>52</v>
      </c>
      <c r="BX85" s="72">
        <f t="shared" ref="BX85" si="622">M85</f>
        <v>56</v>
      </c>
      <c r="BY85" s="71">
        <f t="shared" ref="BY85" si="623">Q85</f>
        <v>88</v>
      </c>
      <c r="BZ85" s="72">
        <f t="shared" ref="BZ85" si="624">U85</f>
        <v>92</v>
      </c>
      <c r="CA85" s="71">
        <f t="shared" ref="CA85" si="625">Y85</f>
        <v>128</v>
      </c>
      <c r="CB85" s="72">
        <f t="shared" ref="CB85" si="626">AC85</f>
        <v>136</v>
      </c>
      <c r="CC85" s="71">
        <f t="shared" ref="CC85" si="627">AG85</f>
        <v>176</v>
      </c>
      <c r="CD85" s="72">
        <f t="shared" ref="CD85" si="628">AK85</f>
        <v>183</v>
      </c>
      <c r="CE85" s="71">
        <f t="shared" ref="CE85" si="629">AO85</f>
        <v>383</v>
      </c>
      <c r="CF85" s="72">
        <f t="shared" ref="CF85" si="630">AS85</f>
        <v>418</v>
      </c>
      <c r="CG85" s="71">
        <f t="shared" ref="CG85" si="631">AW85</f>
        <v>444</v>
      </c>
      <c r="CH85" s="70">
        <f t="shared" ref="CH85" si="632">G85</f>
        <v>51</v>
      </c>
      <c r="CI85" s="71">
        <f t="shared" ref="CI85" si="633">K85</f>
        <v>55</v>
      </c>
      <c r="CJ85" s="72">
        <f t="shared" ref="CJ85" si="634">O85</f>
        <v>87</v>
      </c>
      <c r="CK85" s="72">
        <f t="shared" ref="CK85" si="635">S85</f>
        <v>91</v>
      </c>
      <c r="CL85" s="72">
        <f t="shared" ref="CL85" si="636">W85</f>
        <v>127</v>
      </c>
      <c r="CM85" s="72">
        <f t="shared" ref="CM85" si="637">AA85</f>
        <v>135</v>
      </c>
      <c r="CN85" s="72">
        <f t="shared" ref="CN85" si="638">AE85</f>
        <v>167</v>
      </c>
      <c r="CO85" s="72">
        <f t="shared" ref="CO85" si="639">AI85</f>
        <v>178</v>
      </c>
      <c r="CP85" s="72">
        <f t="shared" ref="CP85" si="640">AM85</f>
        <v>214</v>
      </c>
      <c r="CQ85" s="72">
        <f t="shared" ref="CQ85" si="641">AQ85</f>
        <v>413</v>
      </c>
      <c r="CR85" s="72">
        <f t="shared" ref="CR85" si="642">AU85</f>
        <v>443</v>
      </c>
      <c r="CS85" s="72">
        <f t="shared" ref="CS85" si="643">AY85</f>
        <v>456</v>
      </c>
      <c r="CT85" s="23">
        <f t="shared" ref="CT85" si="644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45">CONCATENATE(B86,"_",C86)</f>
        <v>acm2_human_5ZK3</v>
      </c>
      <c r="B86" s="3" t="s">
        <v>147</v>
      </c>
      <c r="C86" s="3" t="s">
        <v>1529</v>
      </c>
      <c r="D86" s="3" t="str">
        <f>IFERROR(MID(VLOOKUP($B86,Seqs!$A:$B,2,0),E86,1),"")</f>
        <v>Y</v>
      </c>
      <c r="E86" s="3">
        <v>18</v>
      </c>
      <c r="F86" s="3" t="str">
        <f>IFERROR(MID(VLOOKUP($B86,Seqs!$A:$B,2,0),G86,1),"")</f>
        <v>N</v>
      </c>
      <c r="G86" s="3">
        <v>51</v>
      </c>
      <c r="H86" s="3" t="str">
        <f>IFERROR(MID(VLOOKUP($B86,Seqs!$A:$B,2,0),I86,1),"")</f>
        <v>R</v>
      </c>
      <c r="I86" s="23">
        <v>52</v>
      </c>
      <c r="J86" s="3" t="str">
        <f>IFERROR(MID(VLOOKUP($B86,Seqs!$A:$B,2,0),K86,1),"")</f>
        <v>Q</v>
      </c>
      <c r="K86" s="23">
        <v>55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N</v>
      </c>
      <c r="AK86" s="3">
        <v>183</v>
      </c>
      <c r="AL86" s="3" t="str">
        <f>IFERROR(MID(VLOOKUP($B86,Seqs!$A:$B,2,0),AM86,1),"")</f>
        <v>K</v>
      </c>
      <c r="AM86" s="3">
        <v>214</v>
      </c>
      <c r="AN86" s="3" t="str">
        <f>IFERROR(MID(VLOOKUP($B86,Seqs!$A:$B,2,0),AO86,1),"")</f>
        <v>E</v>
      </c>
      <c r="AO86" s="3">
        <v>382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P</v>
      </c>
      <c r="AS86" s="3">
        <v>418</v>
      </c>
      <c r="AT86" s="3" t="str">
        <f>IFERROR(MID(VLOOKUP($B86,Seqs!$A:$B,2,0),AU86,1),"")</f>
        <v>C</v>
      </c>
      <c r="AU86" s="105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M</v>
      </c>
      <c r="AY86" s="3">
        <v>456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46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47">_xlfn.AGGREGATE(9,6,CH86:CS86)-_xlfn.AGGREGATE(9,6,BV86:CG86)+12</f>
        <v>256</v>
      </c>
      <c r="BD86" s="4" t="s">
        <v>23</v>
      </c>
      <c r="BE86" s="3" t="s">
        <v>1370</v>
      </c>
      <c r="BF86" s="118">
        <v>2.6</v>
      </c>
      <c r="BG86" s="49" t="s">
        <v>1</v>
      </c>
      <c r="BH86" s="49" t="s">
        <v>1</v>
      </c>
      <c r="BI86" s="1"/>
      <c r="BJ86" s="70" t="s">
        <v>1283</v>
      </c>
      <c r="BK86" s="57" t="s">
        <v>1283</v>
      </c>
      <c r="BL86" s="57" t="s">
        <v>1283</v>
      </c>
      <c r="BM86" s="57" t="s">
        <v>1283</v>
      </c>
      <c r="BN86" s="57" t="s">
        <v>1283</v>
      </c>
      <c r="BO86" s="57" t="s">
        <v>1283</v>
      </c>
      <c r="BP86" s="57" t="s">
        <v>1283</v>
      </c>
      <c r="BQ86" s="57" t="s">
        <v>1283</v>
      </c>
      <c r="BR86" s="57" t="s">
        <v>1283</v>
      </c>
      <c r="BS86" s="57" t="s">
        <v>1283</v>
      </c>
      <c r="BT86" s="57" t="s">
        <v>1283</v>
      </c>
      <c r="BU86" s="57" t="s">
        <v>1283</v>
      </c>
      <c r="BV86" s="70">
        <f t="shared" ref="BV86" si="648">E86</f>
        <v>18</v>
      </c>
      <c r="BW86" s="71">
        <f t="shared" ref="BW86" si="649">I86</f>
        <v>52</v>
      </c>
      <c r="BX86" s="72">
        <f t="shared" ref="BX86" si="650">M86</f>
        <v>56</v>
      </c>
      <c r="BY86" s="71">
        <f t="shared" ref="BY86" si="651">Q86</f>
        <v>88</v>
      </c>
      <c r="BZ86" s="72">
        <f t="shared" ref="BZ86" si="652">U86</f>
        <v>92</v>
      </c>
      <c r="CA86" s="71">
        <f t="shared" ref="CA86" si="653">Y86</f>
        <v>128</v>
      </c>
      <c r="CB86" s="72">
        <f t="shared" ref="CB86" si="654">AC86</f>
        <v>136</v>
      </c>
      <c r="CC86" s="71">
        <f t="shared" ref="CC86" si="655">AG86</f>
        <v>176</v>
      </c>
      <c r="CD86" s="72">
        <f t="shared" ref="CD86" si="656">AK86</f>
        <v>183</v>
      </c>
      <c r="CE86" s="71">
        <f t="shared" ref="CE86" si="657">AO86</f>
        <v>382</v>
      </c>
      <c r="CF86" s="72">
        <f t="shared" ref="CF86" si="658">AS86</f>
        <v>418</v>
      </c>
      <c r="CG86" s="71">
        <f t="shared" ref="CG86" si="659">AW86</f>
        <v>444</v>
      </c>
      <c r="CH86" s="70">
        <f t="shared" ref="CH86" si="660">G86</f>
        <v>51</v>
      </c>
      <c r="CI86" s="71">
        <f t="shared" ref="CI86" si="661">K86</f>
        <v>55</v>
      </c>
      <c r="CJ86" s="72">
        <f t="shared" ref="CJ86" si="662">O86</f>
        <v>87</v>
      </c>
      <c r="CK86" s="72">
        <f t="shared" ref="CK86" si="663">S86</f>
        <v>91</v>
      </c>
      <c r="CL86" s="72">
        <f t="shared" ref="CL86" si="664">W86</f>
        <v>127</v>
      </c>
      <c r="CM86" s="72">
        <f t="shared" ref="CM86" si="665">AA86</f>
        <v>135</v>
      </c>
      <c r="CN86" s="72">
        <f t="shared" ref="CN86" si="666">AE86</f>
        <v>167</v>
      </c>
      <c r="CO86" s="72">
        <f t="shared" ref="CO86" si="667">AI86</f>
        <v>178</v>
      </c>
      <c r="CP86" s="72">
        <f t="shared" ref="CP86" si="668">AM86</f>
        <v>214</v>
      </c>
      <c r="CQ86" s="72">
        <f t="shared" ref="CQ86" si="669">AQ86</f>
        <v>413</v>
      </c>
      <c r="CR86" s="72">
        <f t="shared" ref="CR86" si="670">AU86</f>
        <v>443</v>
      </c>
      <c r="CS86" s="72">
        <f t="shared" ref="CS86" si="671">AY86</f>
        <v>456</v>
      </c>
      <c r="CT86" s="23">
        <f t="shared" ref="CT86" si="672">M86-K86</f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ref="A87" si="673">CONCATENATE(B87,"_",C87)</f>
        <v>acm2_human_5YC8</v>
      </c>
      <c r="B87" s="3" t="s">
        <v>147</v>
      </c>
      <c r="C87" s="3" t="s">
        <v>1530</v>
      </c>
      <c r="D87" s="3" t="str">
        <f>IFERROR(MID(VLOOKUP($B87,Seqs!$A:$B,2,0),E87,1),"")</f>
        <v>Y</v>
      </c>
      <c r="E87" s="3">
        <v>18</v>
      </c>
      <c r="F87" s="3" t="str">
        <f>IFERROR(MID(VLOOKUP($B87,Seqs!$A:$B,2,0),G87,1),"")</f>
        <v>N</v>
      </c>
      <c r="G87" s="3">
        <v>51</v>
      </c>
      <c r="H87" s="3" t="str">
        <f>IFERROR(MID(VLOOKUP($B87,Seqs!$A:$B,2,0),I87,1),"")</f>
        <v>R</v>
      </c>
      <c r="I87" s="23">
        <v>52</v>
      </c>
      <c r="J87" s="3" t="str">
        <f>IFERROR(MID(VLOOKUP($B87,Seqs!$A:$B,2,0),K87,1),"")</f>
        <v>Q</v>
      </c>
      <c r="K87" s="23">
        <v>55</v>
      </c>
      <c r="L87" s="3" t="str">
        <f>IFERROR(MID(VLOOKUP($B87,Seqs!$A:$B,2,0),M87,1),"")</f>
        <v>T</v>
      </c>
      <c r="M87" s="3">
        <v>56</v>
      </c>
      <c r="N87" s="3" t="str">
        <f>IFERROR(MID(VLOOKUP($B87,Seqs!$A:$B,2,0),O87,1),"")</f>
        <v>G</v>
      </c>
      <c r="O87" s="3">
        <v>87</v>
      </c>
      <c r="P87" s="3" t="str">
        <f>IFERROR(MID(VLOOKUP($B87,Seqs!$A:$B,2,0),Q87,1),"")</f>
        <v>Y</v>
      </c>
      <c r="Q87" s="3">
        <v>88</v>
      </c>
      <c r="R87" s="3" t="str">
        <f>IFERROR(MID(VLOOKUP($B87,Seqs!$A:$B,2,0),S87,1),"")</f>
        <v>L</v>
      </c>
      <c r="S87" s="3">
        <v>91</v>
      </c>
      <c r="T87" s="3" t="str">
        <f>IFERROR(MID(VLOOKUP($B87,Seqs!$A:$B,2,0),U87,1),"")</f>
        <v>G</v>
      </c>
      <c r="U87" s="3">
        <v>92</v>
      </c>
      <c r="V87" s="3" t="str">
        <f>IFERROR(MID(VLOOKUP($B87,Seqs!$A:$B,2,0),W87,1),"")</f>
        <v>K</v>
      </c>
      <c r="W87" s="3">
        <v>127</v>
      </c>
      <c r="X87" s="3" t="str">
        <f>IFERROR(MID(VLOOKUP($B87,Seqs!$A:$B,2,0),Y87,1),"")</f>
        <v>P</v>
      </c>
      <c r="Y87" s="3">
        <v>128</v>
      </c>
      <c r="Z87" s="3" t="str">
        <f>IFERROR(MID(VLOOKUP($B87,Seqs!$A:$B,2,0),AA87,1),"")</f>
        <v>R</v>
      </c>
      <c r="AA87" s="3">
        <v>135</v>
      </c>
      <c r="AB87" s="3" t="str">
        <f>IFERROR(MID(VLOOKUP($B87,Seqs!$A:$B,2,0),AC87,1),"")</f>
        <v>T</v>
      </c>
      <c r="AC87" s="3">
        <v>136</v>
      </c>
      <c r="AD87" s="3" t="str">
        <f>IFERROR(MID(VLOOKUP($B87,Seqs!$A:$B,2,0),AE87,1),"")</f>
        <v>G</v>
      </c>
      <c r="AE87" s="3">
        <v>167</v>
      </c>
      <c r="AF87" s="3" t="str">
        <f>IFERROR(MID(VLOOKUP($B87,Seqs!$A:$B,2,0),AG87,1),"")</f>
        <v>C</v>
      </c>
      <c r="AG87" s="3">
        <v>176</v>
      </c>
      <c r="AH87" s="3" t="str">
        <f>IFERROR(MID(VLOOKUP($B87,Seqs!$A:$B,2,0),AI87,1),"")</f>
        <v>I</v>
      </c>
      <c r="AI87" s="3">
        <v>178</v>
      </c>
      <c r="AJ87" s="3" t="str">
        <f>IFERROR(MID(VLOOKUP($B87,Seqs!$A:$B,2,0),AK87,1),"")</f>
        <v>N</v>
      </c>
      <c r="AK87" s="3">
        <v>183</v>
      </c>
      <c r="AL87" s="3" t="str">
        <f>IFERROR(MID(VLOOKUP($B87,Seqs!$A:$B,2,0),AM87,1),"")</f>
        <v>K</v>
      </c>
      <c r="AM87" s="3">
        <v>214</v>
      </c>
      <c r="AN87" s="3" t="str">
        <f>IFERROR(MID(VLOOKUP($B87,Seqs!$A:$B,2,0),AO87,1),"")</f>
        <v>R</v>
      </c>
      <c r="AO87" s="3">
        <v>381</v>
      </c>
      <c r="AP87" s="3" t="str">
        <f>IFERROR(MID(VLOOKUP($B87,Seqs!$A:$B,2,0),AQ87,1),"")</f>
        <v>C</v>
      </c>
      <c r="AQ87" s="3">
        <v>413</v>
      </c>
      <c r="AR87" s="3" t="str">
        <f>IFERROR(MID(VLOOKUP($B87,Seqs!$A:$B,2,0),AS87,1),"")</f>
        <v>P</v>
      </c>
      <c r="AS87" s="3">
        <v>418</v>
      </c>
      <c r="AT87" s="3" t="str">
        <f>IFERROR(MID(VLOOKUP($B87,Seqs!$A:$B,2,0),AU87,1),"")</f>
        <v>C</v>
      </c>
      <c r="AU87" s="105">
        <v>443</v>
      </c>
      <c r="AV87" s="3" t="str">
        <f>IFERROR(MID(VLOOKUP($B87,Seqs!$A:$B,2,0),AW87,1),"")</f>
        <v>N</v>
      </c>
      <c r="AW87" s="3">
        <v>444</v>
      </c>
      <c r="AX87" s="3" t="str">
        <f>IFERROR(MID(VLOOKUP($B87,Seqs!$A:$B,2,0),AY87,1),"")</f>
        <v>M</v>
      </c>
      <c r="AY87" s="3">
        <v>456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ref="BB87" si="674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23">
        <f t="shared" ref="BC87" si="675">_xlfn.AGGREGATE(9,6,CH87:CS87)-_xlfn.AGGREGATE(9,6,BV87:CG87)+12</f>
        <v>257</v>
      </c>
      <c r="BD87" s="4" t="s">
        <v>23</v>
      </c>
      <c r="BE87" s="3" t="s">
        <v>1370</v>
      </c>
      <c r="BF87" s="118">
        <v>2.5</v>
      </c>
      <c r="BG87" s="49" t="s">
        <v>1</v>
      </c>
      <c r="BH87" s="49" t="s">
        <v>1</v>
      </c>
      <c r="BI87" s="1"/>
      <c r="BJ87" s="70" t="s">
        <v>1283</v>
      </c>
      <c r="BK87" s="57" t="s">
        <v>1283</v>
      </c>
      <c r="BL87" s="57" t="s">
        <v>1283</v>
      </c>
      <c r="BM87" s="57" t="s">
        <v>1283</v>
      </c>
      <c r="BN87" s="57" t="s">
        <v>1283</v>
      </c>
      <c r="BO87" s="57" t="s">
        <v>1283</v>
      </c>
      <c r="BP87" s="57" t="s">
        <v>1283</v>
      </c>
      <c r="BQ87" s="57" t="s">
        <v>1283</v>
      </c>
      <c r="BR87" s="57" t="s">
        <v>1283</v>
      </c>
      <c r="BS87" s="57" t="s">
        <v>1283</v>
      </c>
      <c r="BT87" s="57" t="s">
        <v>1283</v>
      </c>
      <c r="BU87" s="57" t="s">
        <v>1283</v>
      </c>
      <c r="BV87" s="70">
        <f t="shared" ref="BV87" si="676">E87</f>
        <v>18</v>
      </c>
      <c r="BW87" s="71">
        <f t="shared" ref="BW87" si="677">I87</f>
        <v>52</v>
      </c>
      <c r="BX87" s="72">
        <f t="shared" ref="BX87" si="678">M87</f>
        <v>56</v>
      </c>
      <c r="BY87" s="71">
        <f t="shared" ref="BY87" si="679">Q87</f>
        <v>88</v>
      </c>
      <c r="BZ87" s="72">
        <f t="shared" ref="BZ87" si="680">U87</f>
        <v>92</v>
      </c>
      <c r="CA87" s="71">
        <f t="shared" ref="CA87" si="681">Y87</f>
        <v>128</v>
      </c>
      <c r="CB87" s="72">
        <f t="shared" ref="CB87" si="682">AC87</f>
        <v>136</v>
      </c>
      <c r="CC87" s="71">
        <f t="shared" ref="CC87" si="683">AG87</f>
        <v>176</v>
      </c>
      <c r="CD87" s="72">
        <f t="shared" ref="CD87" si="684">AK87</f>
        <v>183</v>
      </c>
      <c r="CE87" s="71">
        <f t="shared" ref="CE87" si="685">AO87</f>
        <v>381</v>
      </c>
      <c r="CF87" s="72">
        <f t="shared" ref="CF87" si="686">AS87</f>
        <v>418</v>
      </c>
      <c r="CG87" s="71">
        <f t="shared" ref="CG87" si="687">AW87</f>
        <v>444</v>
      </c>
      <c r="CH87" s="70">
        <f t="shared" ref="CH87" si="688">G87</f>
        <v>51</v>
      </c>
      <c r="CI87" s="71">
        <f t="shared" ref="CI87" si="689">K87</f>
        <v>55</v>
      </c>
      <c r="CJ87" s="72">
        <f t="shared" ref="CJ87" si="690">O87</f>
        <v>87</v>
      </c>
      <c r="CK87" s="72">
        <f t="shared" ref="CK87" si="691">S87</f>
        <v>91</v>
      </c>
      <c r="CL87" s="72">
        <f t="shared" ref="CL87" si="692">W87</f>
        <v>127</v>
      </c>
      <c r="CM87" s="72">
        <f t="shared" ref="CM87" si="693">AA87</f>
        <v>135</v>
      </c>
      <c r="CN87" s="72">
        <f t="shared" ref="CN87" si="694">AE87</f>
        <v>167</v>
      </c>
      <c r="CO87" s="72">
        <f t="shared" ref="CO87" si="695">AI87</f>
        <v>178</v>
      </c>
      <c r="CP87" s="72">
        <f t="shared" ref="CP87" si="696">AM87</f>
        <v>214</v>
      </c>
      <c r="CQ87" s="72">
        <f t="shared" ref="CQ87" si="697">AQ87</f>
        <v>413</v>
      </c>
      <c r="CR87" s="72">
        <f t="shared" ref="CR87" si="698">AU87</f>
        <v>443</v>
      </c>
      <c r="CS87" s="72">
        <f t="shared" ref="CS87" si="699">AY87</f>
        <v>456</v>
      </c>
      <c r="CT87" s="23">
        <f t="shared" ref="CT87" si="700">M87-K87</f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ref="A88" si="701">CONCATENATE(B88,"_",C88)</f>
        <v>acm2_human_6OIK</v>
      </c>
      <c r="B88" s="3" t="s">
        <v>147</v>
      </c>
      <c r="C88" s="3" t="s">
        <v>1574</v>
      </c>
      <c r="D88" s="3" t="str">
        <f>IFERROR(MID(VLOOKUP($B88,Seqs!$A:$B,2,0),E88,1),"")</f>
        <v>T</v>
      </c>
      <c r="E88" s="3">
        <v>20</v>
      </c>
      <c r="F88" s="3" t="str">
        <f>IFERROR(MID(VLOOKUP($B88,Seqs!$A:$B,2,0),G88,1),"")</f>
        <v>V</v>
      </c>
      <c r="G88" s="3">
        <v>50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T</v>
      </c>
      <c r="M88" s="3">
        <v>56</v>
      </c>
      <c r="N88" s="3" t="str">
        <f>IFERROR(MID(VLOOKUP($B88,Seqs!$A:$B,2,0),O88,1),"")</f>
        <v>G</v>
      </c>
      <c r="O88" s="3">
        <v>87</v>
      </c>
      <c r="P88" s="3" t="str">
        <f>IFERROR(MID(VLOOKUP($B88,Seqs!$A:$B,2,0),Q88,1),"")</f>
        <v>Y</v>
      </c>
      <c r="Q88" s="3">
        <v>88</v>
      </c>
      <c r="R88" s="3" t="str">
        <f>IFERROR(MID(VLOOKUP($B88,Seqs!$A:$B,2,0),S88,1),"")</f>
        <v>L</v>
      </c>
      <c r="S88" s="3">
        <v>91</v>
      </c>
      <c r="T88" s="3" t="str">
        <f>IFERROR(MID(VLOOKUP($B88,Seqs!$A:$B,2,0),U88,1),"")</f>
        <v>G</v>
      </c>
      <c r="U88" s="3">
        <v>92</v>
      </c>
      <c r="V88" s="3" t="str">
        <f>IFERROR(MID(VLOOKUP($B88,Seqs!$A:$B,2,0),W88,1),"")</f>
        <v>K</v>
      </c>
      <c r="W88" s="3">
        <v>127</v>
      </c>
      <c r="X88" s="3" t="str">
        <f>IFERROR(MID(VLOOKUP($B88,Seqs!$A:$B,2,0),Y88,1),"")</f>
        <v>P</v>
      </c>
      <c r="Y88" s="3">
        <v>128</v>
      </c>
      <c r="Z88" s="3" t="str">
        <f>IFERROR(MID(VLOOKUP($B88,Seqs!$A:$B,2,0),AA88,1),"")</f>
        <v>R</v>
      </c>
      <c r="AA88" s="3">
        <v>135</v>
      </c>
      <c r="AB88" s="3" t="str">
        <f>IFERROR(MID(VLOOKUP($B88,Seqs!$A:$B,2,0),AC88,1),"")</f>
        <v>T</v>
      </c>
      <c r="AC88" s="3">
        <v>136</v>
      </c>
      <c r="AD88" s="3" t="str">
        <f>IFERROR(MID(VLOOKUP($B88,Seqs!$A:$B,2,0),AE88,1),"")</f>
        <v>G</v>
      </c>
      <c r="AE88" s="3">
        <v>167</v>
      </c>
      <c r="AF88" s="3" t="str">
        <f>IFERROR(MID(VLOOKUP($B88,Seqs!$A:$B,2,0),AG88,1),"")</f>
        <v>C</v>
      </c>
      <c r="AG88" s="3">
        <v>176</v>
      </c>
      <c r="AH88" s="3" t="str">
        <f>IFERROR(MID(VLOOKUP($B88,Seqs!$A:$B,2,0),AI88,1),"")</f>
        <v>I</v>
      </c>
      <c r="AI88" s="3">
        <v>178</v>
      </c>
      <c r="AJ88" s="3" t="str">
        <f>IFERROR(MID(VLOOKUP($B88,Seqs!$A:$B,2,0),AK88,1),"")</f>
        <v>A</v>
      </c>
      <c r="AK88" s="3">
        <v>184</v>
      </c>
      <c r="AL88" s="3" t="str">
        <f>IFERROR(MID(VLOOKUP($B88,Seqs!$A:$B,2,0),AM88,1),"")</f>
        <v>S</v>
      </c>
      <c r="AM88" s="3">
        <v>213</v>
      </c>
      <c r="AN88" s="3" t="str">
        <f>IFERROR(MID(VLOOKUP($B88,Seqs!$A:$B,2,0),AO88,1),"")</f>
        <v>E</v>
      </c>
      <c r="AO88" s="3">
        <v>382</v>
      </c>
      <c r="AP88" s="3" t="str">
        <f>IFERROR(MID(VLOOKUP($B88,Seqs!$A:$B,2,0),AQ88,1),"")</f>
        <v>C</v>
      </c>
      <c r="AQ88" s="3">
        <v>413</v>
      </c>
      <c r="AR88" s="3" t="str">
        <f>IFERROR(MID(VLOOKUP($B88,Seqs!$A:$B,2,0),AS88,1),"")</f>
        <v>N</v>
      </c>
      <c r="AS88" s="3">
        <v>419</v>
      </c>
      <c r="AT88" s="3" t="str">
        <f>IFERROR(MID(VLOOKUP($B88,Seqs!$A:$B,2,0),AU88,1),"")</f>
        <v>C</v>
      </c>
      <c r="AU88" s="3">
        <v>443</v>
      </c>
      <c r="AV88" s="3" t="str">
        <f>IFERROR(MID(VLOOKUP($B88,Seqs!$A:$B,2,0),AW88,1),"")</f>
        <v>N</v>
      </c>
      <c r="AW88" s="3">
        <v>444</v>
      </c>
      <c r="AX88" s="3" t="str">
        <f>IFERROR(MID(VLOOKUP($B88,Seqs!$A:$B,2,0),AY88,1),"")</f>
        <v>L</v>
      </c>
      <c r="AY88" s="3">
        <v>454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ref="BB88" si="702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23">
        <f t="shared" ref="BC88" si="703">_xlfn.AGGREGATE(9,6,CH88:CS88)-_xlfn.AGGREGATE(9,6,BV88:CG88)+12</f>
        <v>245</v>
      </c>
      <c r="BD88" s="4" t="s">
        <v>23</v>
      </c>
      <c r="BE88" s="3" t="s">
        <v>1287</v>
      </c>
      <c r="BF88" s="118">
        <v>3.6</v>
      </c>
      <c r="BG88" s="49" t="s">
        <v>1418</v>
      </c>
      <c r="BH88" s="49" t="s">
        <v>1418</v>
      </c>
      <c r="BI88" s="1"/>
      <c r="BJ88" s="70" t="s">
        <v>1283</v>
      </c>
      <c r="BK88" s="57" t="s">
        <v>1283</v>
      </c>
      <c r="BL88" s="57" t="s">
        <v>1283</v>
      </c>
      <c r="BM88" s="57" t="s">
        <v>1283</v>
      </c>
      <c r="BN88" s="57" t="s">
        <v>1283</v>
      </c>
      <c r="BO88" s="57" t="s">
        <v>1283</v>
      </c>
      <c r="BP88" s="57" t="s">
        <v>1283</v>
      </c>
      <c r="BQ88" s="57" t="s">
        <v>1283</v>
      </c>
      <c r="BR88" s="57" t="s">
        <v>1283</v>
      </c>
      <c r="BS88" s="57" t="s">
        <v>1283</v>
      </c>
      <c r="BT88" s="57" t="s">
        <v>1283</v>
      </c>
      <c r="BU88" s="57" t="s">
        <v>1283</v>
      </c>
      <c r="BV88" s="70">
        <f t="shared" ref="BV88" si="704">E88</f>
        <v>20</v>
      </c>
      <c r="BW88" s="71" t="str">
        <f t="shared" ref="BW88" si="705">I88</f>
        <v>-</v>
      </c>
      <c r="BX88" s="72">
        <f t="shared" ref="BX88" si="706">M88</f>
        <v>56</v>
      </c>
      <c r="BY88" s="71">
        <f t="shared" ref="BY88" si="707">Q88</f>
        <v>88</v>
      </c>
      <c r="BZ88" s="72">
        <f t="shared" ref="BZ88" si="708">U88</f>
        <v>92</v>
      </c>
      <c r="CA88" s="71">
        <f t="shared" ref="CA88" si="709">Y88</f>
        <v>128</v>
      </c>
      <c r="CB88" s="72">
        <f t="shared" ref="CB88" si="710">AC88</f>
        <v>136</v>
      </c>
      <c r="CC88" s="71">
        <f t="shared" ref="CC88" si="711">AG88</f>
        <v>176</v>
      </c>
      <c r="CD88" s="72">
        <f t="shared" ref="CD88" si="712">AK88</f>
        <v>184</v>
      </c>
      <c r="CE88" s="71">
        <f t="shared" ref="CE88" si="713">AO88</f>
        <v>382</v>
      </c>
      <c r="CF88" s="72">
        <f t="shared" ref="CF88" si="714">AS88</f>
        <v>419</v>
      </c>
      <c r="CG88" s="71">
        <f t="shared" ref="CG88" si="715">AW88</f>
        <v>444</v>
      </c>
      <c r="CH88" s="70">
        <f t="shared" ref="CH88" si="716">G88</f>
        <v>50</v>
      </c>
      <c r="CI88" s="71" t="str">
        <f t="shared" ref="CI88" si="717">K88</f>
        <v>-</v>
      </c>
      <c r="CJ88" s="72">
        <f t="shared" ref="CJ88" si="718">O88</f>
        <v>87</v>
      </c>
      <c r="CK88" s="72">
        <f t="shared" ref="CK88" si="719">S88</f>
        <v>91</v>
      </c>
      <c r="CL88" s="72">
        <f t="shared" ref="CL88" si="720">W88</f>
        <v>127</v>
      </c>
      <c r="CM88" s="72">
        <f t="shared" ref="CM88" si="721">AA88</f>
        <v>135</v>
      </c>
      <c r="CN88" s="72">
        <f t="shared" ref="CN88" si="722">AE88</f>
        <v>167</v>
      </c>
      <c r="CO88" s="72">
        <f t="shared" ref="CO88" si="723">AI88</f>
        <v>178</v>
      </c>
      <c r="CP88" s="72">
        <f t="shared" ref="CP88" si="724">AM88</f>
        <v>213</v>
      </c>
      <c r="CQ88" s="72">
        <f t="shared" ref="CQ88" si="725">AQ88</f>
        <v>413</v>
      </c>
      <c r="CR88" s="72">
        <f t="shared" ref="CR88" si="726">AU88</f>
        <v>443</v>
      </c>
      <c r="CS88" s="72">
        <f t="shared" ref="CS88" si="727">AY88</f>
        <v>454</v>
      </c>
      <c r="CT88" s="23" t="e">
        <f t="shared" ref="CT88" si="728">M88-K88</f>
        <v>#VALUE!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ref="A89" si="729">CONCATENATE(B89,"_",C89)</f>
        <v>acm2_human_6U1N</v>
      </c>
      <c r="B89" s="3" t="s">
        <v>147</v>
      </c>
      <c r="C89" s="3" t="s">
        <v>1651</v>
      </c>
      <c r="D89" s="3" t="str">
        <f>IFERROR(MID(VLOOKUP($B89,Seqs!$A:$B,2,0),E89,1),"")</f>
        <v>T</v>
      </c>
      <c r="E89" s="3">
        <v>20</v>
      </c>
      <c r="F89" s="3" t="str">
        <f>IFERROR(MID(VLOOKUP($B89,Seqs!$A:$B,2,0),G89,1),"")</f>
        <v>K</v>
      </c>
      <c r="G89" s="3">
        <v>49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V</v>
      </c>
      <c r="M89" s="3">
        <v>57</v>
      </c>
      <c r="N89" s="3" t="str">
        <f>IFERROR(MID(VLOOKUP($B89,Seqs!$A:$B,2,0),O89,1),"")</f>
        <v>I</v>
      </c>
      <c r="O89" s="3">
        <v>86</v>
      </c>
      <c r="P89" s="3" t="str">
        <f>IFERROR(MID(VLOOKUP($B89,Seqs!$A:$B,2,0),Q89,1),"")</f>
        <v>Y</v>
      </c>
      <c r="Q89" s="3">
        <v>88</v>
      </c>
      <c r="R89" s="3" t="str">
        <f>IFERROR(MID(VLOOKUP($B89,Seqs!$A:$B,2,0),S89,1),"")</f>
        <v>L</v>
      </c>
      <c r="S89" s="3">
        <v>91</v>
      </c>
      <c r="T89" s="3" t="str">
        <f>IFERROR(MID(VLOOKUP($B89,Seqs!$A:$B,2,0),U89,1),"")</f>
        <v>G</v>
      </c>
      <c r="U89" s="3">
        <v>92</v>
      </c>
      <c r="V89" s="3" t="str">
        <f>IFERROR(MID(VLOOKUP($B89,Seqs!$A:$B,2,0),W89,1),"")</f>
        <v>K</v>
      </c>
      <c r="W89" s="3">
        <v>127</v>
      </c>
      <c r="X89" s="3" t="str">
        <f>IFERROR(MID(VLOOKUP($B89,Seqs!$A:$B,2,0),Y89,1),"")</f>
        <v>P</v>
      </c>
      <c r="Y89" s="3">
        <v>128</v>
      </c>
      <c r="Z89" s="3" t="str">
        <f>IFERROR(MID(VLOOKUP($B89,Seqs!$A:$B,2,0),AA89,1),"")</f>
        <v>R</v>
      </c>
      <c r="AA89" s="3">
        <v>135</v>
      </c>
      <c r="AB89" s="3" t="str">
        <f>IFERROR(MID(VLOOKUP($B89,Seqs!$A:$B,2,0),AC89,1),"")</f>
        <v>T</v>
      </c>
      <c r="AC89" s="3">
        <v>136</v>
      </c>
      <c r="AD89" s="3" t="str">
        <f>IFERROR(MID(VLOOKUP($B89,Seqs!$A:$B,2,0),AE89,1),"")</f>
        <v>G</v>
      </c>
      <c r="AE89" s="3">
        <v>167</v>
      </c>
      <c r="AF89" s="3" t="str">
        <f>IFERROR(MID(VLOOKUP($B89,Seqs!$A:$B,2,0),AG89,1),"")</f>
        <v>C</v>
      </c>
      <c r="AG89" s="3">
        <v>176</v>
      </c>
      <c r="AH89" s="3" t="str">
        <f>IFERROR(MID(VLOOKUP($B89,Seqs!$A:$B,2,0),AI89,1),"")</f>
        <v>I</v>
      </c>
      <c r="AI89" s="3">
        <v>178</v>
      </c>
      <c r="AJ89" s="3" t="str">
        <f>IFERROR(MID(VLOOKUP($B89,Seqs!$A:$B,2,0),AK89,1),"")</f>
        <v>N</v>
      </c>
      <c r="AK89" s="3">
        <v>183</v>
      </c>
      <c r="AL89" s="3" t="str">
        <f>IFERROR(MID(VLOOKUP($B89,Seqs!$A:$B,2,0),AM89,1),"")</f>
        <v>S</v>
      </c>
      <c r="AM89" s="3">
        <v>213</v>
      </c>
      <c r="AN89" s="3" t="str">
        <f>IFERROR(MID(VLOOKUP($B89,Seqs!$A:$B,2,0),AO89,1),"")</f>
        <v>E</v>
      </c>
      <c r="AO89" s="3">
        <v>382</v>
      </c>
      <c r="AP89" s="3" t="str">
        <f>IFERROR(MID(VLOOKUP($B89,Seqs!$A:$B,2,0),AQ89,1),"")</f>
        <v>C</v>
      </c>
      <c r="AQ89" s="3">
        <v>413</v>
      </c>
      <c r="AR89" s="3" t="str">
        <f>IFERROR(MID(VLOOKUP($B89,Seqs!$A:$B,2,0),AS89,1),"")</f>
        <v>V</v>
      </c>
      <c r="AS89" s="3">
        <v>421</v>
      </c>
      <c r="AT89" s="3" t="str">
        <f>IFERROR(MID(VLOOKUP($B89,Seqs!$A:$B,2,0),AU89,1),"")</f>
        <v>C</v>
      </c>
      <c r="AU89" s="3">
        <v>443</v>
      </c>
      <c r="AV89" s="3" t="str">
        <f>IFERROR(MID(VLOOKUP($B89,Seqs!$A:$B,2,0),AW89,1),"")</f>
        <v>N</v>
      </c>
      <c r="AW89" s="3">
        <v>444</v>
      </c>
      <c r="AX89" s="3" t="str">
        <f>IFERROR(MID(VLOOKUP($B89,Seqs!$A:$B,2,0),AY89,1),"")</f>
        <v>K</v>
      </c>
      <c r="AY89" s="3">
        <v>452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ref="BB89" si="730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731">_xlfn.AGGREGATE(9,6,CH89:CS89)-_xlfn.AGGREGATE(9,6,BV89:CG89)+12</f>
        <v>239</v>
      </c>
      <c r="BD89" s="4" t="s">
        <v>1425</v>
      </c>
      <c r="BE89" s="3" t="s">
        <v>1424</v>
      </c>
      <c r="BF89" s="118">
        <v>4</v>
      </c>
      <c r="BG89" s="49" t="s">
        <v>1418</v>
      </c>
      <c r="BH89" s="49" t="s">
        <v>1418</v>
      </c>
      <c r="BI89" s="1"/>
      <c r="BJ89" s="70" t="s">
        <v>1283</v>
      </c>
      <c r="BK89" s="57" t="s">
        <v>1283</v>
      </c>
      <c r="BL89" s="57" t="s">
        <v>1283</v>
      </c>
      <c r="BM89" s="57" t="s">
        <v>1283</v>
      </c>
      <c r="BN89" s="57" t="s">
        <v>1283</v>
      </c>
      <c r="BO89" s="57" t="s">
        <v>1283</v>
      </c>
      <c r="BP89" s="57" t="s">
        <v>1283</v>
      </c>
      <c r="BQ89" s="57" t="s">
        <v>1283</v>
      </c>
      <c r="BR89" s="57" t="s">
        <v>1283</v>
      </c>
      <c r="BS89" s="57" t="s">
        <v>1283</v>
      </c>
      <c r="BT89" s="57" t="s">
        <v>1283</v>
      </c>
      <c r="BU89" s="57" t="s">
        <v>1283</v>
      </c>
      <c r="BV89" s="70">
        <f t="shared" ref="BV89" si="732">E89</f>
        <v>20</v>
      </c>
      <c r="BW89" s="71" t="str">
        <f t="shared" ref="BW89" si="733">I89</f>
        <v>-</v>
      </c>
      <c r="BX89" s="72">
        <f t="shared" ref="BX89" si="734">M89</f>
        <v>57</v>
      </c>
      <c r="BY89" s="71">
        <f t="shared" ref="BY89" si="735">Q89</f>
        <v>88</v>
      </c>
      <c r="BZ89" s="72">
        <f t="shared" ref="BZ89" si="736">U89</f>
        <v>92</v>
      </c>
      <c r="CA89" s="71">
        <f t="shared" ref="CA89" si="737">Y89</f>
        <v>128</v>
      </c>
      <c r="CB89" s="72">
        <f t="shared" ref="CB89" si="738">AC89</f>
        <v>136</v>
      </c>
      <c r="CC89" s="71">
        <f t="shared" ref="CC89" si="739">AG89</f>
        <v>176</v>
      </c>
      <c r="CD89" s="72">
        <f t="shared" ref="CD89" si="740">AK89</f>
        <v>183</v>
      </c>
      <c r="CE89" s="71">
        <f t="shared" ref="CE89" si="741">AO89</f>
        <v>382</v>
      </c>
      <c r="CF89" s="72">
        <f t="shared" ref="CF89" si="742">AS89</f>
        <v>421</v>
      </c>
      <c r="CG89" s="71">
        <f t="shared" ref="CG89" si="743">AW89</f>
        <v>444</v>
      </c>
      <c r="CH89" s="70">
        <f t="shared" ref="CH89" si="744">G89</f>
        <v>49</v>
      </c>
      <c r="CI89" s="71" t="str">
        <f t="shared" ref="CI89" si="745">K89</f>
        <v>-</v>
      </c>
      <c r="CJ89" s="72">
        <f t="shared" ref="CJ89" si="746">O89</f>
        <v>86</v>
      </c>
      <c r="CK89" s="72">
        <f t="shared" ref="CK89" si="747">S89</f>
        <v>91</v>
      </c>
      <c r="CL89" s="72">
        <f t="shared" ref="CL89" si="748">W89</f>
        <v>127</v>
      </c>
      <c r="CM89" s="72">
        <f t="shared" ref="CM89" si="749">AA89</f>
        <v>135</v>
      </c>
      <c r="CN89" s="72">
        <f t="shared" ref="CN89" si="750">AE89</f>
        <v>167</v>
      </c>
      <c r="CO89" s="72">
        <f t="shared" ref="CO89" si="751">AI89</f>
        <v>178</v>
      </c>
      <c r="CP89" s="72">
        <f t="shared" ref="CP89" si="752">AM89</f>
        <v>213</v>
      </c>
      <c r="CQ89" s="72">
        <f t="shared" ref="CQ89" si="753">AQ89</f>
        <v>413</v>
      </c>
      <c r="CR89" s="72">
        <f t="shared" ref="CR89" si="754">AU89</f>
        <v>443</v>
      </c>
      <c r="CS89" s="72">
        <f t="shared" ref="CS89" si="755">AY89</f>
        <v>452</v>
      </c>
      <c r="CT89" s="23" t="e">
        <f t="shared" ref="CT89" si="756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559"/>
        <v>acm3_rat__wt</v>
      </c>
      <c r="B90" s="3" t="s">
        <v>905</v>
      </c>
      <c r="C90" s="3" t="s">
        <v>100</v>
      </c>
      <c r="D90" s="3" t="str">
        <f>IFERROR(MID(VLOOKUP($B90,Seqs!$A:$B,2,0),E90,1),"")</f>
        <v>T</v>
      </c>
      <c r="E90" s="105">
        <v>63</v>
      </c>
      <c r="F90" s="3" t="str">
        <f>IFERROR(MID(VLOOKUP($B90,Seqs!$A:$B,2,0),G90,1),"")</f>
        <v>N</v>
      </c>
      <c r="G90" s="3">
        <v>95</v>
      </c>
      <c r="H90" s="3" t="str">
        <f>IFERROR(MID(VLOOKUP($B90,Seqs!$A:$B,2,0),I90,1),"")</f>
        <v>K</v>
      </c>
      <c r="I90" s="23">
        <v>96</v>
      </c>
      <c r="J90" s="3" t="str">
        <f>IFERROR(MID(VLOOKUP($B90,Seqs!$A:$B,2,0),K90,1),"")</f>
        <v>K</v>
      </c>
      <c r="K90" s="23">
        <v>99</v>
      </c>
      <c r="L90" s="3" t="str">
        <f>IFERROR(MID(VLOOKUP($B90,Seqs!$A:$B,2,0),M90,1),"")</f>
        <v>T</v>
      </c>
      <c r="M90" s="3">
        <v>100</v>
      </c>
      <c r="N90" s="3" t="str">
        <f>IFERROR(MID(VLOOKUP($B90,Seqs!$A:$B,2,0),O90,1),"")</f>
        <v>M</v>
      </c>
      <c r="O90" s="3">
        <v>130</v>
      </c>
      <c r="P90" s="3" t="str">
        <f>IFERROR(MID(VLOOKUP($B90,Seqs!$A:$B,2,0),Q90,1),"")</f>
        <v>R</v>
      </c>
      <c r="Q90" s="3">
        <v>132</v>
      </c>
      <c r="R90" s="3" t="str">
        <f>IFERROR(MID(VLOOKUP($B90,Seqs!$A:$B,2,0),S90,1),"")</f>
        <v>L</v>
      </c>
      <c r="S90" s="3">
        <v>135</v>
      </c>
      <c r="T90" s="3" t="str">
        <f>IFERROR(MID(VLOOKUP($B90,Seqs!$A:$B,2,0),U90,1),"")</f>
        <v>G</v>
      </c>
      <c r="U90" s="3">
        <v>136</v>
      </c>
      <c r="V90" s="3" t="str">
        <f>IFERROR(MID(VLOOKUP($B90,Seqs!$A:$B,2,0),W90,1),"")</f>
        <v>R</v>
      </c>
      <c r="W90" s="3">
        <v>171</v>
      </c>
      <c r="X90" s="3" t="str">
        <f>IFERROR(MID(VLOOKUP($B90,Seqs!$A:$B,2,0),Y90,1),"")</f>
        <v>P</v>
      </c>
      <c r="Y90" s="3">
        <v>172</v>
      </c>
      <c r="Z90" s="3" t="str">
        <f>IFERROR(MID(VLOOKUP($B90,Seqs!$A:$B,2,0),AA90,1),"")</f>
        <v>R</v>
      </c>
      <c r="AA90" s="3">
        <v>179</v>
      </c>
      <c r="AB90" s="3" t="str">
        <f>IFERROR(MID(VLOOKUP($B90,Seqs!$A:$B,2,0),AC90,1),"")</f>
        <v>T</v>
      </c>
      <c r="AC90" s="3">
        <v>180</v>
      </c>
      <c r="AD90" s="3" t="str">
        <f>IFERROR(MID(VLOOKUP($B90,Seqs!$A:$B,2,0),AE90,1),"")</f>
        <v>G</v>
      </c>
      <c r="AE90" s="3">
        <v>211</v>
      </c>
      <c r="AF90" s="3" t="str">
        <f>IFERROR(MID(VLOOKUP($B90,Seqs!$A:$B,2,0),AG90,1),"")</f>
        <v>C</v>
      </c>
      <c r="AG90" s="3">
        <v>220</v>
      </c>
      <c r="AH90" s="3" t="str">
        <f>IFERROR(MID(VLOOKUP($B90,Seqs!$A:$B,2,0),AI90,1),"")</f>
        <v>I</v>
      </c>
      <c r="AI90" s="3">
        <v>222</v>
      </c>
      <c r="AJ90" s="3" t="str">
        <f>IFERROR(MID(VLOOKUP($B90,Seqs!$A:$B,2,0),AK90,1),"")</f>
        <v>E</v>
      </c>
      <c r="AK90" s="3">
        <v>227</v>
      </c>
      <c r="AL90" s="3" t="str">
        <f>IFERROR(MID(VLOOKUP($B90,Seqs!$A:$B,2,0),AM90,1),"")</f>
        <v>L</v>
      </c>
      <c r="AM90" s="3">
        <v>267</v>
      </c>
      <c r="AN90" s="3" t="str">
        <f>IFERROR(MID(VLOOKUP($B90,Seqs!$A:$B,2,0),AO90,1),"")</f>
        <v>R</v>
      </c>
      <c r="AO90" s="3">
        <v>479</v>
      </c>
      <c r="AP90" s="3" t="str">
        <f>IFERROR(MID(VLOOKUP($B90,Seqs!$A:$B,2,0),AQ90,1),"")</f>
        <v>C</v>
      </c>
      <c r="AQ90" s="3">
        <v>516</v>
      </c>
      <c r="AR90" s="3" t="str">
        <f>IFERROR(MID(VLOOKUP($B90,Seqs!$A:$B,2,0),AS90,1),"")</f>
        <v>P</v>
      </c>
      <c r="AS90" s="3">
        <v>521</v>
      </c>
      <c r="AT90" s="3" t="str">
        <f>IFERROR(MID(VLOOKUP($B90,Seqs!$A:$B,2,0),AU90,1),"")</f>
        <v>C</v>
      </c>
      <c r="AU90" s="3">
        <v>546</v>
      </c>
      <c r="AV90" s="3" t="str">
        <f>IFERROR(MID(VLOOKUP($B90,Seqs!$A:$B,2,0),AW90,1),"")</f>
        <v>N</v>
      </c>
      <c r="AW90" s="3">
        <v>547</v>
      </c>
      <c r="AX90" s="3" t="str">
        <f>IFERROR(MID(VLOOKUP($B90,Seqs!$A:$B,2,0),AY90,1),"")</f>
        <v>C</v>
      </c>
      <c r="AY90" s="3">
        <v>560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si="560"/>
        <v>1</v>
      </c>
      <c r="BC90" s="23">
        <f t="shared" si="225"/>
        <v>270</v>
      </c>
      <c r="BD90" s="56" t="s">
        <v>23</v>
      </c>
      <c r="BE90" s="3" t="s">
        <v>23</v>
      </c>
      <c r="BF90" s="118" t="s">
        <v>23</v>
      </c>
      <c r="BG90" s="49" t="s">
        <v>1368</v>
      </c>
      <c r="BH90" s="49" t="s">
        <v>1373</v>
      </c>
      <c r="BI90" s="1"/>
      <c r="BJ90" s="70" t="s">
        <v>1283</v>
      </c>
      <c r="BK90" s="57" t="s">
        <v>1283</v>
      </c>
      <c r="BL90" s="57" t="s">
        <v>1283</v>
      </c>
      <c r="BM90" s="57" t="s">
        <v>1283</v>
      </c>
      <c r="BN90" s="57" t="s">
        <v>1283</v>
      </c>
      <c r="BO90" s="57" t="s">
        <v>1283</v>
      </c>
      <c r="BP90" s="57" t="s">
        <v>1283</v>
      </c>
      <c r="BQ90" s="57" t="s">
        <v>1283</v>
      </c>
      <c r="BR90" s="57" t="s">
        <v>1283</v>
      </c>
      <c r="BS90" s="57" t="s">
        <v>1283</v>
      </c>
      <c r="BT90" s="57" t="s">
        <v>1283</v>
      </c>
      <c r="BU90" s="57" t="s">
        <v>1283</v>
      </c>
      <c r="BV90" s="70">
        <f t="shared" si="226"/>
        <v>63</v>
      </c>
      <c r="BW90" s="71">
        <f t="shared" si="227"/>
        <v>96</v>
      </c>
      <c r="BX90" s="72">
        <f t="shared" si="228"/>
        <v>100</v>
      </c>
      <c r="BY90" s="71">
        <f t="shared" si="229"/>
        <v>132</v>
      </c>
      <c r="BZ90" s="72">
        <f t="shared" si="230"/>
        <v>136</v>
      </c>
      <c r="CA90" s="71">
        <f t="shared" si="231"/>
        <v>172</v>
      </c>
      <c r="CB90" s="72">
        <f t="shared" si="232"/>
        <v>180</v>
      </c>
      <c r="CC90" s="71">
        <f t="shared" si="233"/>
        <v>220</v>
      </c>
      <c r="CD90" s="72">
        <f t="shared" si="234"/>
        <v>227</v>
      </c>
      <c r="CE90" s="71">
        <f t="shared" si="235"/>
        <v>479</v>
      </c>
      <c r="CF90" s="72">
        <f t="shared" si="236"/>
        <v>521</v>
      </c>
      <c r="CG90" s="71">
        <f t="shared" si="237"/>
        <v>547</v>
      </c>
      <c r="CH90" s="70">
        <f t="shared" si="238"/>
        <v>95</v>
      </c>
      <c r="CI90" s="71">
        <f t="shared" si="239"/>
        <v>99</v>
      </c>
      <c r="CJ90" s="72">
        <f t="shared" si="240"/>
        <v>130</v>
      </c>
      <c r="CK90" s="72">
        <f t="shared" si="241"/>
        <v>135</v>
      </c>
      <c r="CL90" s="72">
        <f t="shared" si="242"/>
        <v>171</v>
      </c>
      <c r="CM90" s="72">
        <f t="shared" si="243"/>
        <v>179</v>
      </c>
      <c r="CN90" s="72">
        <f t="shared" si="244"/>
        <v>211</v>
      </c>
      <c r="CO90" s="72">
        <f t="shared" si="245"/>
        <v>222</v>
      </c>
      <c r="CP90" s="72">
        <f t="shared" si="246"/>
        <v>267</v>
      </c>
      <c r="CQ90" s="72">
        <f t="shared" si="247"/>
        <v>516</v>
      </c>
      <c r="CR90" s="72">
        <f t="shared" si="248"/>
        <v>546</v>
      </c>
      <c r="CS90" s="72">
        <f t="shared" si="249"/>
        <v>560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559"/>
        <v>acm3_rat_4U15</v>
      </c>
      <c r="B91" s="3" t="s">
        <v>905</v>
      </c>
      <c r="C91" s="3" t="s">
        <v>71</v>
      </c>
      <c r="D91" s="3" t="str">
        <f>IFERROR(MID(VLOOKUP($B91,Seqs!$A:$B,2,0),E91,1),"")</f>
        <v>I</v>
      </c>
      <c r="E91" s="3">
        <v>64</v>
      </c>
      <c r="F91" s="3" t="str">
        <f>IFERROR(MID(VLOOKUP($B91,Seqs!$A:$B,2,0),G91,1),"")</f>
        <v>N</v>
      </c>
      <c r="G91" s="3">
        <v>95</v>
      </c>
      <c r="H91" s="3" t="str">
        <f>IFERROR(MID(VLOOKUP($B91,Seqs!$A:$B,2,0),I91,1),"")</f>
        <v>K</v>
      </c>
      <c r="I91" s="23">
        <v>96</v>
      </c>
      <c r="J91" s="3" t="str">
        <f>IFERROR(MID(VLOOKUP($B91,Seqs!$A:$B,2,0),K91,1),"")</f>
        <v>K</v>
      </c>
      <c r="K91" s="23">
        <v>99</v>
      </c>
      <c r="L91" s="3" t="str">
        <f>IFERROR(MID(VLOOKUP($B91,Seqs!$A:$B,2,0),M91,1),"")</f>
        <v>T</v>
      </c>
      <c r="M91" s="3">
        <v>100</v>
      </c>
      <c r="N91" s="3" t="str">
        <f>IFERROR(MID(VLOOKUP($B91,Seqs!$A:$B,2,0),O91,1),"")</f>
        <v>M</v>
      </c>
      <c r="O91" s="3">
        <v>130</v>
      </c>
      <c r="P91" s="3" t="str">
        <f>IFERROR(MID(VLOOKUP($B91,Seqs!$A:$B,2,0),Q91,1),"")</f>
        <v>R</v>
      </c>
      <c r="Q91" s="3">
        <v>132</v>
      </c>
      <c r="R91" s="3" t="str">
        <f>IFERROR(MID(VLOOKUP($B91,Seqs!$A:$B,2,0),S91,1),"")</f>
        <v>L</v>
      </c>
      <c r="S91" s="3">
        <v>135</v>
      </c>
      <c r="T91" s="3" t="str">
        <f>IFERROR(MID(VLOOKUP($B91,Seqs!$A:$B,2,0),U91,1),"")</f>
        <v>G</v>
      </c>
      <c r="U91" s="3">
        <v>136</v>
      </c>
      <c r="V91" s="3" t="str">
        <f>IFERROR(MID(VLOOKUP($B91,Seqs!$A:$B,2,0),W91,1),"")</f>
        <v>R</v>
      </c>
      <c r="W91" s="3">
        <v>171</v>
      </c>
      <c r="X91" s="3" t="str">
        <f>IFERROR(MID(VLOOKUP($B91,Seqs!$A:$B,2,0),Y91,1),"")</f>
        <v>P</v>
      </c>
      <c r="Y91" s="3">
        <v>172</v>
      </c>
      <c r="Z91" s="3" t="str">
        <f>IFERROR(MID(VLOOKUP($B91,Seqs!$A:$B,2,0),AA91,1),"")</f>
        <v>R</v>
      </c>
      <c r="AA91" s="3">
        <v>179</v>
      </c>
      <c r="AB91" s="3" t="str">
        <f>IFERROR(MID(VLOOKUP($B91,Seqs!$A:$B,2,0),AC91,1),"")</f>
        <v>T</v>
      </c>
      <c r="AC91" s="9">
        <v>180</v>
      </c>
      <c r="AD91" s="3" t="str">
        <f>IFERROR(MID(VLOOKUP($B91,Seqs!$A:$B,2,0),AE91,1),"")</f>
        <v>G</v>
      </c>
      <c r="AE91" s="3">
        <v>211</v>
      </c>
      <c r="AF91" s="3" t="str">
        <f>IFERROR(MID(VLOOKUP($B91,Seqs!$A:$B,2,0),AG91,1),"")</f>
        <v>C</v>
      </c>
      <c r="AG91" s="3">
        <v>220</v>
      </c>
      <c r="AH91" s="3" t="str">
        <f>IFERROR(MID(VLOOKUP($B91,Seqs!$A:$B,2,0),AI91,1),"")</f>
        <v>I</v>
      </c>
      <c r="AI91" s="3">
        <v>222</v>
      </c>
      <c r="AJ91" s="3" t="str">
        <f>IFERROR(MID(VLOOKUP($B91,Seqs!$A:$B,2,0),AK91,1),"")</f>
        <v>E</v>
      </c>
      <c r="AK91" s="3">
        <v>227</v>
      </c>
      <c r="AL91" s="3" t="str">
        <f>IFERROR(MID(VLOOKUP($B91,Seqs!$A:$B,2,0),AM91,1),"")</f>
        <v>K</v>
      </c>
      <c r="AM91" s="3">
        <v>259</v>
      </c>
      <c r="AN91" s="3" t="str">
        <f>IFERROR(MID(VLOOKUP($B91,Seqs!$A:$B,2,0),AO91,1),"")</f>
        <v>I</v>
      </c>
      <c r="AO91" s="3">
        <v>483</v>
      </c>
      <c r="AP91" s="3" t="str">
        <f>IFERROR(MID(VLOOKUP($B91,Seqs!$A:$B,2,0),AQ91,1),"")</f>
        <v>C</v>
      </c>
      <c r="AQ91" s="3">
        <v>516</v>
      </c>
      <c r="AR91" s="3" t="str">
        <f>IFERROR(MID(VLOOKUP($B91,Seqs!$A:$B,2,0),AS91,1),"")</f>
        <v>P</v>
      </c>
      <c r="AS91" s="3">
        <v>521</v>
      </c>
      <c r="AT91" s="3" t="str">
        <f>IFERROR(MID(VLOOKUP($B91,Seqs!$A:$B,2,0),AU91,1),"")</f>
        <v>C</v>
      </c>
      <c r="AU91" s="3">
        <v>546</v>
      </c>
      <c r="AV91" s="3" t="str">
        <f>IFERROR(MID(VLOOKUP($B91,Seqs!$A:$B,2,0),AW91,1),"")</f>
        <v>N</v>
      </c>
      <c r="AW91" s="3">
        <v>547</v>
      </c>
      <c r="AX91" s="3" t="str">
        <f>IFERROR(MID(VLOOKUP($B91,Seqs!$A:$B,2,0),AY91,1),"")</f>
        <v>L</v>
      </c>
      <c r="AY91" s="3">
        <v>558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60"/>
        <v>1</v>
      </c>
      <c r="BC91" s="23">
        <f t="shared" si="225"/>
        <v>255</v>
      </c>
      <c r="BD91" s="16" t="s">
        <v>23</v>
      </c>
      <c r="BE91" s="3" t="s">
        <v>1370</v>
      </c>
      <c r="BF91" s="118">
        <v>2.8</v>
      </c>
      <c r="BG91" s="49" t="s">
        <v>1373</v>
      </c>
      <c r="BH91" s="49" t="s">
        <v>1373</v>
      </c>
      <c r="BI91" s="1"/>
      <c r="BJ91" s="70" t="s">
        <v>1283</v>
      </c>
      <c r="BK91" s="57" t="s">
        <v>1283</v>
      </c>
      <c r="BL91" s="57" t="s">
        <v>1283</v>
      </c>
      <c r="BM91" s="57" t="s">
        <v>1283</v>
      </c>
      <c r="BN91" s="57" t="s">
        <v>1283</v>
      </c>
      <c r="BO91" s="57" t="s">
        <v>1283</v>
      </c>
      <c r="BP91" s="57" t="s">
        <v>1283</v>
      </c>
      <c r="BQ91" s="57" t="s">
        <v>1283</v>
      </c>
      <c r="BR91" s="57" t="s">
        <v>1283</v>
      </c>
      <c r="BS91" s="57" t="s">
        <v>1283</v>
      </c>
      <c r="BT91" s="57" t="s">
        <v>1283</v>
      </c>
      <c r="BU91" s="57" t="s">
        <v>1283</v>
      </c>
      <c r="BV91" s="70">
        <f t="shared" si="226"/>
        <v>64</v>
      </c>
      <c r="BW91" s="71">
        <f t="shared" si="227"/>
        <v>96</v>
      </c>
      <c r="BX91" s="72">
        <f t="shared" si="228"/>
        <v>100</v>
      </c>
      <c r="BY91" s="71">
        <f t="shared" si="229"/>
        <v>132</v>
      </c>
      <c r="BZ91" s="72">
        <f t="shared" si="230"/>
        <v>136</v>
      </c>
      <c r="CA91" s="71">
        <f t="shared" si="231"/>
        <v>172</v>
      </c>
      <c r="CB91" s="72">
        <f t="shared" si="232"/>
        <v>180</v>
      </c>
      <c r="CC91" s="71">
        <f t="shared" si="233"/>
        <v>220</v>
      </c>
      <c r="CD91" s="72">
        <f t="shared" si="234"/>
        <v>227</v>
      </c>
      <c r="CE91" s="71">
        <f t="shared" si="235"/>
        <v>483</v>
      </c>
      <c r="CF91" s="72">
        <f t="shared" si="236"/>
        <v>521</v>
      </c>
      <c r="CG91" s="71">
        <f t="shared" si="237"/>
        <v>547</v>
      </c>
      <c r="CH91" s="70">
        <f t="shared" si="238"/>
        <v>95</v>
      </c>
      <c r="CI91" s="71">
        <f t="shared" si="239"/>
        <v>99</v>
      </c>
      <c r="CJ91" s="72">
        <f t="shared" si="240"/>
        <v>130</v>
      </c>
      <c r="CK91" s="72">
        <f t="shared" si="241"/>
        <v>135</v>
      </c>
      <c r="CL91" s="72">
        <f t="shared" si="242"/>
        <v>171</v>
      </c>
      <c r="CM91" s="72">
        <f t="shared" si="243"/>
        <v>179</v>
      </c>
      <c r="CN91" s="72">
        <f t="shared" si="244"/>
        <v>211</v>
      </c>
      <c r="CO91" s="72">
        <f t="shared" si="245"/>
        <v>222</v>
      </c>
      <c r="CP91" s="72">
        <f t="shared" si="246"/>
        <v>259</v>
      </c>
      <c r="CQ91" s="72">
        <f t="shared" si="247"/>
        <v>516</v>
      </c>
      <c r="CR91" s="72">
        <f t="shared" si="248"/>
        <v>546</v>
      </c>
      <c r="CS91" s="72">
        <f t="shared" si="249"/>
        <v>558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59"/>
        <v>acm3_rat_4U16</v>
      </c>
      <c r="B92" s="3" t="s">
        <v>905</v>
      </c>
      <c r="C92" s="3" t="s">
        <v>1049</v>
      </c>
      <c r="D92" s="3" t="str">
        <f>IFERROR(MID(VLOOKUP($B92,Seqs!$A:$B,2,0),E92,1),"")</f>
        <v>I</v>
      </c>
      <c r="E92" s="3">
        <v>64</v>
      </c>
      <c r="F92" s="3" t="str">
        <f>IFERROR(MID(VLOOKUP($B92,Seqs!$A:$B,2,0),G92,1),"")</f>
        <v>N</v>
      </c>
      <c r="G92" s="3">
        <v>95</v>
      </c>
      <c r="H92" s="3" t="str">
        <f>IFERROR(MID(VLOOKUP($B92,Seqs!$A:$B,2,0),I92,1),"")</f>
        <v>K</v>
      </c>
      <c r="I92" s="23">
        <v>96</v>
      </c>
      <c r="J92" s="3" t="str">
        <f>IFERROR(MID(VLOOKUP($B92,Seqs!$A:$B,2,0),K92,1),"")</f>
        <v>K</v>
      </c>
      <c r="K92" s="23">
        <v>99</v>
      </c>
      <c r="L92" s="3" t="str">
        <f>IFERROR(MID(VLOOKUP($B92,Seqs!$A:$B,2,0),M92,1),"")</f>
        <v>T</v>
      </c>
      <c r="M92" s="3">
        <v>100</v>
      </c>
      <c r="N92" s="3" t="str">
        <f>IFERROR(MID(VLOOKUP($B92,Seqs!$A:$B,2,0),O92,1),"")</f>
        <v>M</v>
      </c>
      <c r="O92" s="3">
        <v>130</v>
      </c>
      <c r="P92" s="3" t="str">
        <f>IFERROR(MID(VLOOKUP($B92,Seqs!$A:$B,2,0),Q92,1),"")</f>
        <v>R</v>
      </c>
      <c r="Q92" s="3">
        <v>132</v>
      </c>
      <c r="R92" s="3" t="str">
        <f>IFERROR(MID(VLOOKUP($B92,Seqs!$A:$B,2,0),S92,1),"")</f>
        <v>L</v>
      </c>
      <c r="S92" s="3">
        <v>135</v>
      </c>
      <c r="T92" s="3" t="str">
        <f>IFERROR(MID(VLOOKUP($B92,Seqs!$A:$B,2,0),U92,1),"")</f>
        <v>G</v>
      </c>
      <c r="U92" s="3">
        <v>136</v>
      </c>
      <c r="V92" s="3" t="str">
        <f>IFERROR(MID(VLOOKUP($B92,Seqs!$A:$B,2,0),W92,1),"")</f>
        <v>R</v>
      </c>
      <c r="W92" s="3">
        <v>171</v>
      </c>
      <c r="X92" s="3" t="str">
        <f>IFERROR(MID(VLOOKUP($B92,Seqs!$A:$B,2,0),Y92,1),"")</f>
        <v>P</v>
      </c>
      <c r="Y92" s="3">
        <v>172</v>
      </c>
      <c r="Z92" s="3" t="str">
        <f>IFERROR(MID(VLOOKUP($B92,Seqs!$A:$B,2,0),AA92,1),"")</f>
        <v>R</v>
      </c>
      <c r="AA92" s="3">
        <v>179</v>
      </c>
      <c r="AB92" s="3" t="str">
        <f>IFERROR(MID(VLOOKUP($B92,Seqs!$A:$B,2,0),AC92,1),"")</f>
        <v>T</v>
      </c>
      <c r="AC92" s="9">
        <v>180</v>
      </c>
      <c r="AD92" s="3" t="str">
        <f>IFERROR(MID(VLOOKUP($B92,Seqs!$A:$B,2,0),AE92,1),"")</f>
        <v>G</v>
      </c>
      <c r="AE92" s="3">
        <v>211</v>
      </c>
      <c r="AF92" s="3" t="str">
        <f>IFERROR(MID(VLOOKUP($B92,Seqs!$A:$B,2,0),AG92,1),"")</f>
        <v>C</v>
      </c>
      <c r="AG92" s="3">
        <v>220</v>
      </c>
      <c r="AH92" s="3" t="str">
        <f>IFERROR(MID(VLOOKUP($B92,Seqs!$A:$B,2,0),AI92,1),"")</f>
        <v>I</v>
      </c>
      <c r="AI92" s="3">
        <v>222</v>
      </c>
      <c r="AJ92" s="3" t="str">
        <f>IFERROR(MID(VLOOKUP($B92,Seqs!$A:$B,2,0),AK92,1),"")</f>
        <v>E</v>
      </c>
      <c r="AK92" s="3">
        <v>227</v>
      </c>
      <c r="AL92" s="3" t="str">
        <f>IFERROR(MID(VLOOKUP($B92,Seqs!$A:$B,2,0),AM92,1),"")</f>
        <v>K</v>
      </c>
      <c r="AM92" s="3">
        <v>259</v>
      </c>
      <c r="AN92" s="3" t="str">
        <f>IFERROR(MID(VLOOKUP($B92,Seqs!$A:$B,2,0),AO92,1),"")</f>
        <v>I</v>
      </c>
      <c r="AO92" s="3">
        <v>483</v>
      </c>
      <c r="AP92" s="3" t="str">
        <f>IFERROR(MID(VLOOKUP($B92,Seqs!$A:$B,2,0),AQ92,1),"")</f>
        <v>C</v>
      </c>
      <c r="AQ92" s="3">
        <v>516</v>
      </c>
      <c r="AR92" s="3" t="str">
        <f>IFERROR(MID(VLOOKUP($B92,Seqs!$A:$B,2,0),AS92,1),"")</f>
        <v>P</v>
      </c>
      <c r="AS92" s="3">
        <v>521</v>
      </c>
      <c r="AT92" s="3" t="str">
        <f>IFERROR(MID(VLOOKUP($B92,Seqs!$A:$B,2,0),AU92,1),"")</f>
        <v>C</v>
      </c>
      <c r="AU92" s="3">
        <v>546</v>
      </c>
      <c r="AV92" s="3" t="str">
        <f>IFERROR(MID(VLOOKUP($B92,Seqs!$A:$B,2,0),AW92,1),"")</f>
        <v/>
      </c>
      <c r="AW92" s="3" t="s">
        <v>23</v>
      </c>
      <c r="AX92" s="3" t="str">
        <f>IFERROR(MID(VLOOKUP($B92,Seqs!$A:$B,2,0),AY92,1),"")</f>
        <v/>
      </c>
      <c r="AY92" s="3" t="s">
        <v>23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60"/>
        <v>1</v>
      </c>
      <c r="BC92" s="23">
        <f t="shared" si="225"/>
        <v>244</v>
      </c>
      <c r="BD92" s="4" t="s">
        <v>23</v>
      </c>
      <c r="BE92" s="3" t="s">
        <v>1370</v>
      </c>
      <c r="BF92" s="118">
        <v>3.7</v>
      </c>
      <c r="BG92" s="49" t="s">
        <v>1373</v>
      </c>
      <c r="BH92" s="49" t="s">
        <v>1373</v>
      </c>
      <c r="BI92" s="1"/>
      <c r="BJ92" s="70" t="s">
        <v>1283</v>
      </c>
      <c r="BK92" s="57" t="s">
        <v>1283</v>
      </c>
      <c r="BL92" s="57" t="s">
        <v>1283</v>
      </c>
      <c r="BM92" s="57" t="s">
        <v>1283</v>
      </c>
      <c r="BN92" s="57" t="s">
        <v>1283</v>
      </c>
      <c r="BO92" s="57" t="s">
        <v>1283</v>
      </c>
      <c r="BP92" s="57" t="s">
        <v>1283</v>
      </c>
      <c r="BQ92" s="57" t="s">
        <v>1283</v>
      </c>
      <c r="BR92" s="57" t="s">
        <v>1283</v>
      </c>
      <c r="BS92" s="57" t="s">
        <v>1283</v>
      </c>
      <c r="BT92" s="57" t="s">
        <v>1283</v>
      </c>
      <c r="BU92" s="57" t="s">
        <v>1283</v>
      </c>
      <c r="BV92" s="70">
        <f t="shared" si="226"/>
        <v>64</v>
      </c>
      <c r="BW92" s="71">
        <f t="shared" si="227"/>
        <v>96</v>
      </c>
      <c r="BX92" s="72">
        <f t="shared" si="228"/>
        <v>100</v>
      </c>
      <c r="BY92" s="71">
        <f t="shared" si="229"/>
        <v>132</v>
      </c>
      <c r="BZ92" s="72">
        <f t="shared" si="230"/>
        <v>136</v>
      </c>
      <c r="CA92" s="71">
        <f t="shared" si="231"/>
        <v>172</v>
      </c>
      <c r="CB92" s="72">
        <f t="shared" si="232"/>
        <v>180</v>
      </c>
      <c r="CC92" s="71">
        <f t="shared" si="233"/>
        <v>220</v>
      </c>
      <c r="CD92" s="72">
        <f t="shared" si="234"/>
        <v>227</v>
      </c>
      <c r="CE92" s="71">
        <f t="shared" si="235"/>
        <v>483</v>
      </c>
      <c r="CF92" s="72">
        <f t="shared" si="236"/>
        <v>521</v>
      </c>
      <c r="CG92" s="71" t="str">
        <f t="shared" si="237"/>
        <v>-</v>
      </c>
      <c r="CH92" s="70">
        <f t="shared" si="238"/>
        <v>95</v>
      </c>
      <c r="CI92" s="71">
        <f t="shared" si="239"/>
        <v>99</v>
      </c>
      <c r="CJ92" s="72">
        <f t="shared" si="240"/>
        <v>130</v>
      </c>
      <c r="CK92" s="72">
        <f t="shared" si="241"/>
        <v>135</v>
      </c>
      <c r="CL92" s="72">
        <f t="shared" si="242"/>
        <v>171</v>
      </c>
      <c r="CM92" s="72">
        <f t="shared" si="243"/>
        <v>179</v>
      </c>
      <c r="CN92" s="72">
        <f t="shared" si="244"/>
        <v>211</v>
      </c>
      <c r="CO92" s="72">
        <f t="shared" si="245"/>
        <v>222</v>
      </c>
      <c r="CP92" s="72">
        <f t="shared" si="246"/>
        <v>259</v>
      </c>
      <c r="CQ92" s="72">
        <f t="shared" si="247"/>
        <v>516</v>
      </c>
      <c r="CR92" s="72">
        <f t="shared" si="248"/>
        <v>546</v>
      </c>
      <c r="CS92" s="72" t="str">
        <f t="shared" si="249"/>
        <v>-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ref="A93" si="757">CONCATENATE(B93,"_",C93)</f>
        <v>acm3_rat_5ZHP</v>
      </c>
      <c r="B93" s="3" t="s">
        <v>905</v>
      </c>
      <c r="C93" s="3" t="s">
        <v>1572</v>
      </c>
      <c r="D93" s="3" t="str">
        <f>IFERROR(MID(VLOOKUP($B93,Seqs!$A:$B,2,0),E93,1),"")</f>
        <v>T</v>
      </c>
      <c r="E93" s="3">
        <v>63</v>
      </c>
      <c r="F93" s="3" t="str">
        <f>IFERROR(MID(VLOOKUP($B93,Seqs!$A:$B,2,0),G93,1),"")</f>
        <v>N</v>
      </c>
      <c r="G93" s="3">
        <v>95</v>
      </c>
      <c r="H93" s="3" t="str">
        <f>IFERROR(MID(VLOOKUP($B93,Seqs!$A:$B,2,0),I93,1),"")</f>
        <v>K</v>
      </c>
      <c r="I93" s="23">
        <v>96</v>
      </c>
      <c r="J93" s="3" t="str">
        <f>IFERROR(MID(VLOOKUP($B93,Seqs!$A:$B,2,0),K93,1),"")</f>
        <v>K</v>
      </c>
      <c r="K93" s="23">
        <v>99</v>
      </c>
      <c r="L93" s="3" t="str">
        <f>IFERROR(MID(VLOOKUP($B93,Seqs!$A:$B,2,0),M93,1),"")</f>
        <v>T</v>
      </c>
      <c r="M93" s="3">
        <v>100</v>
      </c>
      <c r="N93" s="3" t="str">
        <f>IFERROR(MID(VLOOKUP($B93,Seqs!$A:$B,2,0),O93,1),"")</f>
        <v>M</v>
      </c>
      <c r="O93" s="3">
        <v>130</v>
      </c>
      <c r="P93" s="3" t="str">
        <f>IFERROR(MID(VLOOKUP($B93,Seqs!$A:$B,2,0),Q93,1),"")</f>
        <v>R</v>
      </c>
      <c r="Q93" s="3">
        <v>132</v>
      </c>
      <c r="R93" s="3" t="str">
        <f>IFERROR(MID(VLOOKUP($B93,Seqs!$A:$B,2,0),S93,1),"")</f>
        <v>L</v>
      </c>
      <c r="S93" s="3">
        <v>135</v>
      </c>
      <c r="T93" s="3" t="str">
        <f>IFERROR(MID(VLOOKUP($B93,Seqs!$A:$B,2,0),U93,1),"")</f>
        <v>G</v>
      </c>
      <c r="U93" s="3">
        <v>136</v>
      </c>
      <c r="V93" s="3" t="str">
        <f>IFERROR(MID(VLOOKUP($B93,Seqs!$A:$B,2,0),W93,1),"")</f>
        <v>R</v>
      </c>
      <c r="W93" s="3">
        <v>171</v>
      </c>
      <c r="X93" s="3" t="str">
        <f>IFERROR(MID(VLOOKUP($B93,Seqs!$A:$B,2,0),Y93,1),"")</f>
        <v>P</v>
      </c>
      <c r="Y93" s="3">
        <v>172</v>
      </c>
      <c r="Z93" s="3" t="str">
        <f>IFERROR(MID(VLOOKUP($B93,Seqs!$A:$B,2,0),AA93,1),"")</f>
        <v>R</v>
      </c>
      <c r="AA93" s="3">
        <v>179</v>
      </c>
      <c r="AB93" s="3" t="str">
        <f>IFERROR(MID(VLOOKUP($B93,Seqs!$A:$B,2,0),AC93,1),"")</f>
        <v>T</v>
      </c>
      <c r="AC93" s="3">
        <v>180</v>
      </c>
      <c r="AD93" s="3" t="str">
        <f>IFERROR(MID(VLOOKUP($B93,Seqs!$A:$B,2,0),AE93,1),"")</f>
        <v>G</v>
      </c>
      <c r="AE93" s="3">
        <v>211</v>
      </c>
      <c r="AF93" s="3" t="str">
        <f>IFERROR(MID(VLOOKUP($B93,Seqs!$A:$B,2,0),AG93,1),"")</f>
        <v>C</v>
      </c>
      <c r="AG93" s="3">
        <v>220</v>
      </c>
      <c r="AH93" s="3" t="str">
        <f>IFERROR(MID(VLOOKUP($B93,Seqs!$A:$B,2,0),AI93,1),"")</f>
        <v>I</v>
      </c>
      <c r="AI93" s="3">
        <v>222</v>
      </c>
      <c r="AJ93" s="3" t="str">
        <f>IFERROR(MID(VLOOKUP($B93,Seqs!$A:$B,2,0),AK93,1),"")</f>
        <v>E</v>
      </c>
      <c r="AK93" s="3">
        <v>227</v>
      </c>
      <c r="AL93" s="3" t="str">
        <f>IFERROR(MID(VLOOKUP($B93,Seqs!$A:$B,2,0),AM93,1),"")</f>
        <v>K</v>
      </c>
      <c r="AM93" s="3">
        <v>259</v>
      </c>
      <c r="AN93" s="3" t="str">
        <f>IFERROR(MID(VLOOKUP($B93,Seqs!$A:$B,2,0),AO93,1),"")</f>
        <v>L</v>
      </c>
      <c r="AO93" s="3">
        <v>482</v>
      </c>
      <c r="AP93" s="3" t="str">
        <f>IFERROR(MID(VLOOKUP($B93,Seqs!$A:$B,2,0),AQ93,1),"")</f>
        <v>C</v>
      </c>
      <c r="AQ93" s="3">
        <v>516</v>
      </c>
      <c r="AR93" s="3" t="str">
        <f>IFERROR(MID(VLOOKUP($B93,Seqs!$A:$B,2,0),AS93,1),"")</f>
        <v>P</v>
      </c>
      <c r="AS93" s="3">
        <v>521</v>
      </c>
      <c r="AT93" s="3" t="str">
        <f>IFERROR(MID(VLOOKUP($B93,Seqs!$A:$B,2,0),AU93,1),"")</f>
        <v>C</v>
      </c>
      <c r="AU93" s="3">
        <v>546</v>
      </c>
      <c r="AV93" s="3" t="str">
        <f>IFERROR(MID(VLOOKUP($B93,Seqs!$A:$B,2,0),AW93,1),"")</f>
        <v>N</v>
      </c>
      <c r="AW93" s="3">
        <v>547</v>
      </c>
      <c r="AX93" s="3" t="str">
        <f>IFERROR(MID(VLOOKUP($B93,Seqs!$A:$B,2,0),AY93,1),"")</f>
        <v>C</v>
      </c>
      <c r="AY93" s="3">
        <v>560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ref="BB93" si="758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23">
        <f t="shared" ref="BC93" si="759">_xlfn.AGGREGATE(9,6,CH93:CS93)-_xlfn.AGGREGATE(9,6,BV93:CG93)+12</f>
        <v>259</v>
      </c>
      <c r="BD93" s="4" t="s">
        <v>1372</v>
      </c>
      <c r="BE93" s="3" t="s">
        <v>1370</v>
      </c>
      <c r="BF93" s="118">
        <v>3.1</v>
      </c>
      <c r="BG93" s="49" t="s">
        <v>1277</v>
      </c>
      <c r="BH93" s="49" t="s">
        <v>1277</v>
      </c>
      <c r="BI93" s="1"/>
      <c r="BJ93" s="70" t="s">
        <v>1283</v>
      </c>
      <c r="BK93" s="57" t="s">
        <v>1283</v>
      </c>
      <c r="BL93" s="57" t="s">
        <v>1283</v>
      </c>
      <c r="BM93" s="57" t="s">
        <v>1283</v>
      </c>
      <c r="BN93" s="57" t="s">
        <v>1283</v>
      </c>
      <c r="BO93" s="57" t="s">
        <v>1283</v>
      </c>
      <c r="BP93" s="57" t="s">
        <v>1283</v>
      </c>
      <c r="BQ93" s="57" t="s">
        <v>1283</v>
      </c>
      <c r="BR93" s="57" t="s">
        <v>1283</v>
      </c>
      <c r="BS93" s="57" t="s">
        <v>1283</v>
      </c>
      <c r="BT93" s="57" t="s">
        <v>1283</v>
      </c>
      <c r="BU93" s="57" t="s">
        <v>1283</v>
      </c>
      <c r="BV93" s="70">
        <f t="shared" ref="BV93" si="760">E93</f>
        <v>63</v>
      </c>
      <c r="BW93" s="71">
        <f t="shared" ref="BW93" si="761">I93</f>
        <v>96</v>
      </c>
      <c r="BX93" s="72">
        <f t="shared" ref="BX93" si="762">M93</f>
        <v>100</v>
      </c>
      <c r="BY93" s="71">
        <f t="shared" ref="BY93" si="763">Q93</f>
        <v>132</v>
      </c>
      <c r="BZ93" s="72">
        <f t="shared" ref="BZ93" si="764">U93</f>
        <v>136</v>
      </c>
      <c r="CA93" s="71">
        <f t="shared" ref="CA93" si="765">Y93</f>
        <v>172</v>
      </c>
      <c r="CB93" s="72">
        <f t="shared" ref="CB93" si="766">AC93</f>
        <v>180</v>
      </c>
      <c r="CC93" s="71">
        <f t="shared" ref="CC93" si="767">AG93</f>
        <v>220</v>
      </c>
      <c r="CD93" s="72">
        <f t="shared" ref="CD93" si="768">AK93</f>
        <v>227</v>
      </c>
      <c r="CE93" s="71">
        <f t="shared" ref="CE93" si="769">AO93</f>
        <v>482</v>
      </c>
      <c r="CF93" s="72">
        <f t="shared" ref="CF93" si="770">AS93</f>
        <v>521</v>
      </c>
      <c r="CG93" s="71">
        <f t="shared" ref="CG93" si="771">AW93</f>
        <v>547</v>
      </c>
      <c r="CH93" s="70">
        <f t="shared" ref="CH93" si="772">G93</f>
        <v>95</v>
      </c>
      <c r="CI93" s="71">
        <f t="shared" ref="CI93" si="773">K93</f>
        <v>99</v>
      </c>
      <c r="CJ93" s="72">
        <f t="shared" ref="CJ93" si="774">O93</f>
        <v>130</v>
      </c>
      <c r="CK93" s="72">
        <f t="shared" ref="CK93" si="775">S93</f>
        <v>135</v>
      </c>
      <c r="CL93" s="72">
        <f t="shared" ref="CL93" si="776">W93</f>
        <v>171</v>
      </c>
      <c r="CM93" s="72">
        <f t="shared" ref="CM93" si="777">AA93</f>
        <v>179</v>
      </c>
      <c r="CN93" s="72">
        <f t="shared" ref="CN93" si="778">AE93</f>
        <v>211</v>
      </c>
      <c r="CO93" s="72">
        <f t="shared" ref="CO93" si="779">AI93</f>
        <v>222</v>
      </c>
      <c r="CP93" s="72">
        <f t="shared" ref="CP93" si="780">AM93</f>
        <v>259</v>
      </c>
      <c r="CQ93" s="72">
        <f t="shared" ref="CQ93" si="781">AQ93</f>
        <v>516</v>
      </c>
      <c r="CR93" s="72">
        <f t="shared" ref="CR93" si="782">AU93</f>
        <v>546</v>
      </c>
      <c r="CS93" s="72">
        <f t="shared" ref="CS93" si="783">AY93</f>
        <v>560</v>
      </c>
      <c r="CT93" s="23">
        <f t="shared" ref="CT93" si="784">M93-K93</f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559"/>
        <v>acm4_human__wt</v>
      </c>
      <c r="B94" s="3" t="s">
        <v>149</v>
      </c>
      <c r="C94" s="3" t="s">
        <v>100</v>
      </c>
      <c r="D94" s="3" t="str">
        <f>IFERROR(MID(VLOOKUP($B94,Seqs!$A:$B,2,0),E94,1),"")</f>
        <v>R</v>
      </c>
      <c r="E94" s="3">
        <v>26</v>
      </c>
      <c r="F94" s="3" t="str">
        <f>IFERROR(MID(VLOOKUP($B94,Seqs!$A:$B,2,0),G94,1),"")</f>
        <v>N</v>
      </c>
      <c r="G94" s="3">
        <v>60</v>
      </c>
      <c r="H94" s="3" t="str">
        <f>IFERROR(MID(VLOOKUP($B94,Seqs!$A:$B,2,0),I94,1),"")</f>
        <v>R</v>
      </c>
      <c r="I94" s="23">
        <v>61</v>
      </c>
      <c r="J94" s="3" t="str">
        <f>IFERROR(MID(VLOOKUP($B94,Seqs!$A:$B,2,0),K94,1),"")</f>
        <v>Q</v>
      </c>
      <c r="K94" s="23">
        <v>64</v>
      </c>
      <c r="L94" s="3" t="str">
        <f>IFERROR(MID(VLOOKUP($B94,Seqs!$A:$B,2,0),M94,1),"")</f>
        <v>T</v>
      </c>
      <c r="M94" s="3">
        <v>65</v>
      </c>
      <c r="N94" s="3" t="str">
        <f>IFERROR(MID(VLOOKUP($B94,Seqs!$A:$B,2,0),O94,1),"")</f>
        <v>G</v>
      </c>
      <c r="O94" s="3">
        <v>96</v>
      </c>
      <c r="P94" s="3" t="str">
        <f>IFERROR(MID(VLOOKUP($B94,Seqs!$A:$B,2,0),Q94,1),"")</f>
        <v>Y</v>
      </c>
      <c r="Q94" s="3">
        <v>97</v>
      </c>
      <c r="R94" s="3" t="str">
        <f>IFERROR(MID(VLOOKUP($B94,Seqs!$A:$B,2,0),S94,1),"")</f>
        <v>L</v>
      </c>
      <c r="S94" s="3">
        <v>100</v>
      </c>
      <c r="T94" s="3" t="str">
        <f>IFERROR(MID(VLOOKUP($B94,Seqs!$A:$B,2,0),U94,1),"")</f>
        <v>G</v>
      </c>
      <c r="U94" s="3">
        <v>101</v>
      </c>
      <c r="V94" s="3" t="str">
        <f>IFERROR(MID(VLOOKUP($B94,Seqs!$A:$B,2,0),W94,1),"")</f>
        <v>K</v>
      </c>
      <c r="W94" s="3">
        <v>136</v>
      </c>
      <c r="X94" s="3" t="str">
        <f>IFERROR(MID(VLOOKUP($B94,Seqs!$A:$B,2,0),Y94,1),"")</f>
        <v>P</v>
      </c>
      <c r="Y94" s="3">
        <v>137</v>
      </c>
      <c r="Z94" s="3" t="str">
        <f>IFERROR(MID(VLOOKUP($B94,Seqs!$A:$B,2,0),AA94,1),"")</f>
        <v>R</v>
      </c>
      <c r="AA94" s="3">
        <v>144</v>
      </c>
      <c r="AB94" s="3" t="str">
        <f>IFERROR(MID(VLOOKUP($B94,Seqs!$A:$B,2,0),AC94,1),"")</f>
        <v>T</v>
      </c>
      <c r="AC94" s="3">
        <v>145</v>
      </c>
      <c r="AD94" s="3" t="str">
        <f>IFERROR(MID(VLOOKUP($B94,Seqs!$A:$B,2,0),AE94,1),"")</f>
        <v>G</v>
      </c>
      <c r="AE94" s="3">
        <v>176</v>
      </c>
      <c r="AF94" s="3" t="str">
        <f>IFERROR(MID(VLOOKUP($B94,Seqs!$A:$B,2,0),AG94,1),"")</f>
        <v>C</v>
      </c>
      <c r="AG94" s="3">
        <v>185</v>
      </c>
      <c r="AH94" s="3" t="str">
        <f>IFERROR(MID(VLOOKUP($B94,Seqs!$A:$B,2,0),AI94,1),"")</f>
        <v>I</v>
      </c>
      <c r="AI94" s="3">
        <v>187</v>
      </c>
      <c r="AJ94" s="3" t="str">
        <f>IFERROR(MID(VLOOKUP($B94,Seqs!$A:$B,2,0),AK94,1),"")</f>
        <v>N</v>
      </c>
      <c r="AK94" s="3">
        <v>192</v>
      </c>
      <c r="AL94" s="3" t="str">
        <f>IFERROR(MID(VLOOKUP($B94,Seqs!$A:$B,2,0),AM94,1),"")</f>
        <v>E</v>
      </c>
      <c r="AM94" s="3">
        <v>232</v>
      </c>
      <c r="AN94" s="3" t="str">
        <f>IFERROR(MID(VLOOKUP($B94,Seqs!$A:$B,2,0),AO94,1),"")</f>
        <v>R</v>
      </c>
      <c r="AO94" s="3">
        <v>389</v>
      </c>
      <c r="AP94" s="3" t="str">
        <f>IFERROR(MID(VLOOKUP($B94,Seqs!$A:$B,2,0),AQ94,1),"")</f>
        <v>C</v>
      </c>
      <c r="AQ94" s="3">
        <v>426</v>
      </c>
      <c r="AR94" s="3" t="str">
        <f>IFERROR(MID(VLOOKUP($B94,Seqs!$A:$B,2,0),AS94,1),"")</f>
        <v>P</v>
      </c>
      <c r="AS94" s="3">
        <v>431</v>
      </c>
      <c r="AT94" s="3" t="str">
        <f>IFERROR(MID(VLOOKUP($B94,Seqs!$A:$B,2,0),AU94,1),"")</f>
        <v>C</v>
      </c>
      <c r="AU94" s="3">
        <v>456</v>
      </c>
      <c r="AV94" s="3" t="str">
        <f>IFERROR(MID(VLOOKUP($B94,Seqs!$A:$B,2,0),AW94,1),"")</f>
        <v>N</v>
      </c>
      <c r="AW94" s="3">
        <v>457</v>
      </c>
      <c r="AX94" s="3" t="str">
        <f>IFERROR(MID(VLOOKUP($B94,Seqs!$A:$B,2,0),AY94,1),"")</f>
        <v>Q</v>
      </c>
      <c r="AY94" s="3">
        <v>471</v>
      </c>
      <c r="AZ94" s="77" t="str">
        <f>VLOOKUP(B94,Classification!A:D,2,0)</f>
        <v>A</v>
      </c>
      <c r="BA94" s="94" t="str">
        <f>VLOOKUP(B94,Classification!A:D,4,0)</f>
        <v>Acetylcholine(muscarinic)</v>
      </c>
      <c r="BB94" s="27" t="b">
        <f t="shared" si="560"/>
        <v>1</v>
      </c>
      <c r="BC94" s="23">
        <f t="shared" si="225"/>
        <v>274</v>
      </c>
      <c r="BD94" s="34" t="s">
        <v>23</v>
      </c>
      <c r="BE94" s="3" t="s">
        <v>23</v>
      </c>
      <c r="BF94" s="118" t="s">
        <v>23</v>
      </c>
      <c r="BG94" s="49" t="s">
        <v>1368</v>
      </c>
      <c r="BH94" s="49" t="s">
        <v>1373</v>
      </c>
      <c r="BI94" s="1"/>
      <c r="BJ94" s="70" t="s">
        <v>1283</v>
      </c>
      <c r="BK94" s="57" t="s">
        <v>1283</v>
      </c>
      <c r="BL94" s="57" t="s">
        <v>1283</v>
      </c>
      <c r="BM94" s="57" t="s">
        <v>1283</v>
      </c>
      <c r="BN94" s="57" t="s">
        <v>1283</v>
      </c>
      <c r="BO94" s="57" t="s">
        <v>1283</v>
      </c>
      <c r="BP94" s="57" t="s">
        <v>1283</v>
      </c>
      <c r="BQ94" s="57" t="s">
        <v>1283</v>
      </c>
      <c r="BR94" s="57" t="s">
        <v>1283</v>
      </c>
      <c r="BS94" s="57" t="s">
        <v>1283</v>
      </c>
      <c r="BT94" s="57" t="s">
        <v>1283</v>
      </c>
      <c r="BU94" s="57" t="s">
        <v>1283</v>
      </c>
      <c r="BV94" s="70">
        <f t="shared" si="226"/>
        <v>26</v>
      </c>
      <c r="BW94" s="71">
        <f t="shared" si="227"/>
        <v>61</v>
      </c>
      <c r="BX94" s="72">
        <f t="shared" si="228"/>
        <v>65</v>
      </c>
      <c r="BY94" s="71">
        <f t="shared" si="229"/>
        <v>97</v>
      </c>
      <c r="BZ94" s="72">
        <f t="shared" si="230"/>
        <v>101</v>
      </c>
      <c r="CA94" s="71">
        <f t="shared" si="231"/>
        <v>137</v>
      </c>
      <c r="CB94" s="72">
        <f t="shared" si="232"/>
        <v>145</v>
      </c>
      <c r="CC94" s="71">
        <f t="shared" si="233"/>
        <v>185</v>
      </c>
      <c r="CD94" s="72">
        <f t="shared" si="234"/>
        <v>192</v>
      </c>
      <c r="CE94" s="71">
        <f t="shared" si="235"/>
        <v>389</v>
      </c>
      <c r="CF94" s="72">
        <f t="shared" si="236"/>
        <v>431</v>
      </c>
      <c r="CG94" s="71">
        <f t="shared" si="237"/>
        <v>457</v>
      </c>
      <c r="CH94" s="70">
        <f t="shared" si="238"/>
        <v>60</v>
      </c>
      <c r="CI94" s="71">
        <f t="shared" si="239"/>
        <v>64</v>
      </c>
      <c r="CJ94" s="72">
        <f t="shared" si="240"/>
        <v>96</v>
      </c>
      <c r="CK94" s="72">
        <f t="shared" si="241"/>
        <v>100</v>
      </c>
      <c r="CL94" s="72">
        <f t="shared" si="242"/>
        <v>136</v>
      </c>
      <c r="CM94" s="72">
        <f t="shared" si="243"/>
        <v>144</v>
      </c>
      <c r="CN94" s="72">
        <f t="shared" si="244"/>
        <v>176</v>
      </c>
      <c r="CO94" s="72">
        <f t="shared" si="245"/>
        <v>187</v>
      </c>
      <c r="CP94" s="72">
        <f t="shared" si="246"/>
        <v>232</v>
      </c>
      <c r="CQ94" s="72">
        <f t="shared" si="247"/>
        <v>426</v>
      </c>
      <c r="CR94" s="72">
        <f t="shared" si="248"/>
        <v>456</v>
      </c>
      <c r="CS94" s="72">
        <f t="shared" si="249"/>
        <v>471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559"/>
        <v>acm4_human_5DSG</v>
      </c>
      <c r="B95" s="3" t="s">
        <v>149</v>
      </c>
      <c r="C95" s="3" t="s">
        <v>61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60</v>
      </c>
      <c r="H95" s="3" t="str">
        <f>IFERROR(MID(VLOOKUP($B95,Seqs!$A:$B,2,0),I95,1),"")</f>
        <v>R</v>
      </c>
      <c r="I95" s="23">
        <v>61</v>
      </c>
      <c r="J95" s="3" t="str">
        <f>IFERROR(MID(VLOOKUP($B95,Seqs!$A:$B,2,0),K95,1),"")</f>
        <v>Q</v>
      </c>
      <c r="K95" s="23">
        <v>64</v>
      </c>
      <c r="L95" s="3" t="str">
        <f>IFERROR(MID(VLOOKUP($B95,Seqs!$A:$B,2,0),M95,1),"")</f>
        <v>T</v>
      </c>
      <c r="M95" s="3">
        <v>65</v>
      </c>
      <c r="N95" s="3" t="str">
        <f>IFERROR(MID(VLOOKUP($B95,Seqs!$A:$B,2,0),O95,1),"")</f>
        <v>G</v>
      </c>
      <c r="O95" s="3">
        <v>96</v>
      </c>
      <c r="P95" s="3" t="str">
        <f>IFERROR(MID(VLOOKUP($B95,Seqs!$A:$B,2,0),Q95,1),"")</f>
        <v>Y</v>
      </c>
      <c r="Q95" s="3">
        <v>97</v>
      </c>
      <c r="R95" s="3" t="str">
        <f>IFERROR(MID(VLOOKUP($B95,Seqs!$A:$B,2,0),S95,1),"")</f>
        <v>L</v>
      </c>
      <c r="S95" s="3">
        <v>100</v>
      </c>
      <c r="T95" s="3" t="str">
        <f>IFERROR(MID(VLOOKUP($B95,Seqs!$A:$B,2,0),U95,1),"")</f>
        <v>G</v>
      </c>
      <c r="U95" s="3">
        <v>101</v>
      </c>
      <c r="V95" s="3" t="str">
        <f>IFERROR(MID(VLOOKUP($B95,Seqs!$A:$B,2,0),W95,1),"")</f>
        <v>K</v>
      </c>
      <c r="W95" s="3">
        <v>136</v>
      </c>
      <c r="X95" s="3" t="str">
        <f>IFERROR(MID(VLOOKUP($B95,Seqs!$A:$B,2,0),Y95,1),"")</f>
        <v>P</v>
      </c>
      <c r="Y95" s="3">
        <v>137</v>
      </c>
      <c r="Z95" s="3" t="str">
        <f>IFERROR(MID(VLOOKUP($B95,Seqs!$A:$B,2,0),AA95,1),"")</f>
        <v>R</v>
      </c>
      <c r="AA95" s="3">
        <v>144</v>
      </c>
      <c r="AB95" s="3" t="str">
        <f>IFERROR(MID(VLOOKUP($B95,Seqs!$A:$B,2,0),AC95,1),"")</f>
        <v>T</v>
      </c>
      <c r="AC95" s="3">
        <v>145</v>
      </c>
      <c r="AD95" s="3" t="str">
        <f>IFERROR(MID(VLOOKUP($B95,Seqs!$A:$B,2,0),AE95,1),"")</f>
        <v>G</v>
      </c>
      <c r="AE95" s="3">
        <v>176</v>
      </c>
      <c r="AF95" s="3" t="str">
        <f>IFERROR(MID(VLOOKUP($B95,Seqs!$A:$B,2,0),AG95,1),"")</f>
        <v>C</v>
      </c>
      <c r="AG95" s="3">
        <v>185</v>
      </c>
      <c r="AH95" s="3" t="str">
        <f>IFERROR(MID(VLOOKUP($B95,Seqs!$A:$B,2,0),AI95,1),"")</f>
        <v>I</v>
      </c>
      <c r="AI95" s="3">
        <v>187</v>
      </c>
      <c r="AJ95" s="3" t="str">
        <f>IFERROR(MID(VLOOKUP($B95,Seqs!$A:$B,2,0),AK95,1),"")</f>
        <v>N</v>
      </c>
      <c r="AK95" s="3">
        <v>192</v>
      </c>
      <c r="AL95" s="3" t="str">
        <f>IFERROR(MID(VLOOKUP($B95,Seqs!$A:$B,2,0),AM95,1),"")</f>
        <v>L</v>
      </c>
      <c r="AM95" s="3">
        <v>220</v>
      </c>
      <c r="AN95" s="3" t="str">
        <f>IFERROR(MID(VLOOKUP($B95,Seqs!$A:$B,2,0),AO95,1),"")</f>
        <v>R</v>
      </c>
      <c r="AO95" s="3">
        <v>396</v>
      </c>
      <c r="AP95" s="3" t="str">
        <f>IFERROR(MID(VLOOKUP($B95,Seqs!$A:$B,2,0),AQ95,1),"")</f>
        <v>C</v>
      </c>
      <c r="AQ95" s="3">
        <v>426</v>
      </c>
      <c r="AR95" s="3" t="str">
        <f>IFERROR(MID(VLOOKUP($B95,Seqs!$A:$B,2,0),AS95,1),"")</f>
        <v>P</v>
      </c>
      <c r="AS95" s="3">
        <v>431</v>
      </c>
      <c r="AT95" s="3" t="str">
        <f>IFERROR(MID(VLOOKUP($B95,Seqs!$A:$B,2,0),AU95,1),"")</f>
        <v>C</v>
      </c>
      <c r="AU95" s="3">
        <v>456</v>
      </c>
      <c r="AV95" s="3" t="str">
        <f>IFERROR(MID(VLOOKUP($B95,Seqs!$A:$B,2,0),AW95,1),"")</f>
        <v>N</v>
      </c>
      <c r="AW95" s="3">
        <v>457</v>
      </c>
      <c r="AX95" s="3" t="str">
        <f>IFERROR(MID(VLOOKUP($B95,Seqs!$A:$B,2,0),AY95,1),"")</f>
        <v>L</v>
      </c>
      <c r="AY95" s="3">
        <v>469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si="560"/>
        <v>1</v>
      </c>
      <c r="BC95" s="23">
        <f t="shared" si="225"/>
        <v>253</v>
      </c>
      <c r="BD95" s="2" t="s">
        <v>23</v>
      </c>
      <c r="BE95" s="3" t="s">
        <v>1370</v>
      </c>
      <c r="BF95" s="118">
        <v>2.6</v>
      </c>
      <c r="BG95" s="49" t="s">
        <v>1373</v>
      </c>
      <c r="BH95" s="49" t="s">
        <v>1373</v>
      </c>
      <c r="BI95" s="1"/>
      <c r="BJ95" s="70" t="s">
        <v>1283</v>
      </c>
      <c r="BK95" s="57" t="s">
        <v>1283</v>
      </c>
      <c r="BL95" s="57" t="s">
        <v>1283</v>
      </c>
      <c r="BM95" s="57" t="s">
        <v>1283</v>
      </c>
      <c r="BN95" s="57" t="s">
        <v>1283</v>
      </c>
      <c r="BO95" s="57" t="s">
        <v>1283</v>
      </c>
      <c r="BP95" s="57" t="s">
        <v>1283</v>
      </c>
      <c r="BQ95" s="57" t="s">
        <v>1283</v>
      </c>
      <c r="BR95" s="57" t="s">
        <v>1283</v>
      </c>
      <c r="BS95" s="57" t="s">
        <v>1283</v>
      </c>
      <c r="BT95" s="57" t="s">
        <v>1283</v>
      </c>
      <c r="BU95" s="57" t="s">
        <v>1283</v>
      </c>
      <c r="BV95" s="70">
        <f t="shared" si="226"/>
        <v>26</v>
      </c>
      <c r="BW95" s="71">
        <f t="shared" si="227"/>
        <v>61</v>
      </c>
      <c r="BX95" s="72">
        <f t="shared" si="228"/>
        <v>65</v>
      </c>
      <c r="BY95" s="71">
        <f t="shared" si="229"/>
        <v>97</v>
      </c>
      <c r="BZ95" s="72">
        <f t="shared" si="230"/>
        <v>101</v>
      </c>
      <c r="CA95" s="71">
        <f t="shared" si="231"/>
        <v>137</v>
      </c>
      <c r="CB95" s="72">
        <f t="shared" si="232"/>
        <v>145</v>
      </c>
      <c r="CC95" s="71">
        <f t="shared" si="233"/>
        <v>185</v>
      </c>
      <c r="CD95" s="72">
        <f t="shared" si="234"/>
        <v>192</v>
      </c>
      <c r="CE95" s="71">
        <f t="shared" si="235"/>
        <v>396</v>
      </c>
      <c r="CF95" s="72">
        <f t="shared" si="236"/>
        <v>431</v>
      </c>
      <c r="CG95" s="71">
        <f t="shared" si="237"/>
        <v>457</v>
      </c>
      <c r="CH95" s="70">
        <f t="shared" si="238"/>
        <v>60</v>
      </c>
      <c r="CI95" s="71">
        <f t="shared" si="239"/>
        <v>64</v>
      </c>
      <c r="CJ95" s="72">
        <f t="shared" si="240"/>
        <v>96</v>
      </c>
      <c r="CK95" s="72">
        <f t="shared" si="241"/>
        <v>100</v>
      </c>
      <c r="CL95" s="72">
        <f t="shared" si="242"/>
        <v>136</v>
      </c>
      <c r="CM95" s="72">
        <f t="shared" si="243"/>
        <v>144</v>
      </c>
      <c r="CN95" s="72">
        <f t="shared" si="244"/>
        <v>176</v>
      </c>
      <c r="CO95" s="72">
        <f t="shared" si="245"/>
        <v>187</v>
      </c>
      <c r="CP95" s="72">
        <f t="shared" si="246"/>
        <v>220</v>
      </c>
      <c r="CQ95" s="72">
        <f t="shared" si="247"/>
        <v>426</v>
      </c>
      <c r="CR95" s="72">
        <f t="shared" si="248"/>
        <v>456</v>
      </c>
      <c r="CS95" s="72">
        <f t="shared" si="249"/>
        <v>469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ref="A96" si="785">CONCATENATE(B96,"_",C96)</f>
        <v>acm4_human_6KP6</v>
      </c>
      <c r="B96" s="3" t="s">
        <v>149</v>
      </c>
      <c r="C96" s="3" t="s">
        <v>1653</v>
      </c>
      <c r="D96" s="3" t="str">
        <f>IFERROR(MID(VLOOKUP($B96,Seqs!$A:$B,2,0),E96,1),"")</f>
        <v>T</v>
      </c>
      <c r="E96" s="3">
        <v>29</v>
      </c>
      <c r="F96" s="3" t="str">
        <f>IFERROR(MID(VLOOKUP($B96,Seqs!$A:$B,2,0),G96,1),"")</f>
        <v>N</v>
      </c>
      <c r="G96" s="3">
        <v>60</v>
      </c>
      <c r="H96" s="3" t="str">
        <f>IFERROR(MID(VLOOKUP($B96,Seqs!$A:$B,2,0),I96,1),"")</f>
        <v>R</v>
      </c>
      <c r="I96" s="23">
        <v>61</v>
      </c>
      <c r="J96" s="3" t="str">
        <f>IFERROR(MID(VLOOKUP($B96,Seqs!$A:$B,2,0),K96,1),"")</f>
        <v>Q</v>
      </c>
      <c r="K96" s="23">
        <v>64</v>
      </c>
      <c r="L96" s="3" t="str">
        <f>IFERROR(MID(VLOOKUP($B96,Seqs!$A:$B,2,0),M96,1),"")</f>
        <v>T</v>
      </c>
      <c r="M96" s="3">
        <v>65</v>
      </c>
      <c r="N96" s="3" t="str">
        <f>IFERROR(MID(VLOOKUP($B96,Seqs!$A:$B,2,0),O96,1),"")</f>
        <v>G</v>
      </c>
      <c r="O96" s="3">
        <v>96</v>
      </c>
      <c r="P96" s="3" t="str">
        <f>IFERROR(MID(VLOOKUP($B96,Seqs!$A:$B,2,0),Q96,1),"")</f>
        <v>Y</v>
      </c>
      <c r="Q96" s="3">
        <v>97</v>
      </c>
      <c r="R96" s="3" t="str">
        <f>IFERROR(MID(VLOOKUP($B96,Seqs!$A:$B,2,0),S96,1),"")</f>
        <v>L</v>
      </c>
      <c r="S96" s="3">
        <v>100</v>
      </c>
      <c r="T96" s="3" t="str">
        <f>IFERROR(MID(VLOOKUP($B96,Seqs!$A:$B,2,0),U96,1),"")</f>
        <v>G</v>
      </c>
      <c r="U96" s="3">
        <v>101</v>
      </c>
      <c r="V96" s="3" t="str">
        <f>IFERROR(MID(VLOOKUP($B96,Seqs!$A:$B,2,0),W96,1),"")</f>
        <v>K</v>
      </c>
      <c r="W96" s="3">
        <v>136</v>
      </c>
      <c r="X96" s="3" t="str">
        <f>IFERROR(MID(VLOOKUP($B96,Seqs!$A:$B,2,0),Y96,1),"")</f>
        <v>P</v>
      </c>
      <c r="Y96" s="3">
        <v>137</v>
      </c>
      <c r="Z96" s="3" t="str">
        <f>IFERROR(MID(VLOOKUP($B96,Seqs!$A:$B,2,0),AA96,1),"")</f>
        <v>R</v>
      </c>
      <c r="AA96" s="3">
        <v>144</v>
      </c>
      <c r="AB96" s="3" t="str">
        <f>IFERROR(MID(VLOOKUP($B96,Seqs!$A:$B,2,0),AC96,1),"")</f>
        <v>T</v>
      </c>
      <c r="AC96" s="3">
        <v>145</v>
      </c>
      <c r="AD96" s="3" t="str">
        <f>IFERROR(MID(VLOOKUP($B96,Seqs!$A:$B,2,0),AE96,1),"")</f>
        <v>G</v>
      </c>
      <c r="AE96" s="3">
        <v>176</v>
      </c>
      <c r="AF96" s="3" t="str">
        <f>IFERROR(MID(VLOOKUP($B96,Seqs!$A:$B,2,0),AG96,1),"")</f>
        <v>C</v>
      </c>
      <c r="AG96" s="3">
        <v>185</v>
      </c>
      <c r="AH96" s="3" t="str">
        <f>IFERROR(MID(VLOOKUP($B96,Seqs!$A:$B,2,0),AI96,1),"")</f>
        <v>I</v>
      </c>
      <c r="AI96" s="3">
        <v>187</v>
      </c>
      <c r="AJ96" s="3" t="str">
        <f>IFERROR(MID(VLOOKUP($B96,Seqs!$A:$B,2,0),AK96,1),"")</f>
        <v>N</v>
      </c>
      <c r="AK96" s="3">
        <v>192</v>
      </c>
      <c r="AL96" s="3" t="str">
        <f>IFERROR(MID(VLOOKUP($B96,Seqs!$A:$B,2,0),AM96,1),"")</f>
        <v>R</v>
      </c>
      <c r="AM96" s="3">
        <v>223</v>
      </c>
      <c r="AN96" s="3" t="str">
        <f>IFERROR(MID(VLOOKUP($B96,Seqs!$A:$B,2,0),AO96,1),"")</f>
        <v>Q</v>
      </c>
      <c r="AO96" s="3">
        <v>390</v>
      </c>
      <c r="AP96" s="3" t="str">
        <f>IFERROR(MID(VLOOKUP($B96,Seqs!$A:$B,2,0),AQ96,1),"")</f>
        <v>C</v>
      </c>
      <c r="AQ96" s="3">
        <v>426</v>
      </c>
      <c r="AR96" s="3" t="str">
        <f>IFERROR(MID(VLOOKUP($B96,Seqs!$A:$B,2,0),AS96,1),"")</f>
        <v>P</v>
      </c>
      <c r="AS96" s="3">
        <v>431</v>
      </c>
      <c r="AT96" s="3" t="str">
        <f>IFERROR(MID(VLOOKUP($B96,Seqs!$A:$B,2,0),AU96,1),"")</f>
        <v>C</v>
      </c>
      <c r="AU96" s="3">
        <v>456</v>
      </c>
      <c r="AV96" s="3" t="str">
        <f>IFERROR(MID(VLOOKUP($B96,Seqs!$A:$B,2,0),AW96,1),"")</f>
        <v>N</v>
      </c>
      <c r="AW96" s="3">
        <v>457</v>
      </c>
      <c r="AX96" s="3" t="str">
        <f>IFERROR(MID(VLOOKUP($B96,Seqs!$A:$B,2,0),AY96,1),"")</f>
        <v>Q</v>
      </c>
      <c r="AY96" s="3">
        <v>471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ref="BB96" si="786">AND(E96&lt;G96,OR(G96&lt;I96,I96="-"),OR(I96&lt;K96,I96="-"),OR(K96&lt;M96,K96="-"),M96&lt;O96,OR(O96&lt;Q96,Q96="-"),OR(Q96&lt;S96,Q96="-"),OR(S96&lt;U96,S96="-"),U96&lt;W96,OR(W96&lt;Y96,Y96="-"),OR(Y96&lt;AA96,Y96="-"),OR(AA96&lt;AC96,AA96="-"),AC96&lt;AE96,OR(AE96&lt;AG96,AG96="-"),OR(AG96&lt;AI96,AG96="-"),OR(AI96&lt;AK96,AI96="-"),AK96&lt;AM96,AM96&lt;AO96,AO96&lt;AQ96,AQ96&lt;AS96,AS96&lt;AU96,OR(AU96&lt;AW96,AW96="-"),OR(AW96&lt;AY96,AW96="-"))</f>
        <v>1</v>
      </c>
      <c r="BC96" s="23">
        <f t="shared" ref="BC96" si="787">_xlfn.AGGREGATE(9,6,CH96:CS96)-_xlfn.AGGREGATE(9,6,BV96:CG96)+12</f>
        <v>261</v>
      </c>
      <c r="BD96" s="2" t="s">
        <v>1372</v>
      </c>
      <c r="BE96" s="3" t="s">
        <v>1370</v>
      </c>
      <c r="BF96" s="118">
        <v>3</v>
      </c>
      <c r="BG96" s="49" t="s">
        <v>1</v>
      </c>
      <c r="BH96" s="49" t="s">
        <v>1</v>
      </c>
      <c r="BI96" s="1"/>
      <c r="BJ96" s="70" t="s">
        <v>1283</v>
      </c>
      <c r="BK96" s="57" t="s">
        <v>1283</v>
      </c>
      <c r="BL96" s="57" t="s">
        <v>1283</v>
      </c>
      <c r="BM96" s="57" t="s">
        <v>1283</v>
      </c>
      <c r="BN96" s="57" t="s">
        <v>1283</v>
      </c>
      <c r="BO96" s="57" t="s">
        <v>1283</v>
      </c>
      <c r="BP96" s="57" t="s">
        <v>1283</v>
      </c>
      <c r="BQ96" s="57" t="s">
        <v>1283</v>
      </c>
      <c r="BR96" s="57" t="s">
        <v>1283</v>
      </c>
      <c r="BS96" s="57" t="s">
        <v>1283</v>
      </c>
      <c r="BT96" s="57" t="s">
        <v>1283</v>
      </c>
      <c r="BU96" s="57" t="s">
        <v>1283</v>
      </c>
      <c r="BV96" s="70">
        <f t="shared" ref="BV96" si="788">E96</f>
        <v>29</v>
      </c>
      <c r="BW96" s="71">
        <f t="shared" ref="BW96" si="789">I96</f>
        <v>61</v>
      </c>
      <c r="BX96" s="72">
        <f t="shared" ref="BX96" si="790">M96</f>
        <v>65</v>
      </c>
      <c r="BY96" s="71">
        <f t="shared" ref="BY96" si="791">Q96</f>
        <v>97</v>
      </c>
      <c r="BZ96" s="72">
        <f t="shared" ref="BZ96" si="792">U96</f>
        <v>101</v>
      </c>
      <c r="CA96" s="71">
        <f t="shared" ref="CA96" si="793">Y96</f>
        <v>137</v>
      </c>
      <c r="CB96" s="72">
        <f t="shared" ref="CB96" si="794">AC96</f>
        <v>145</v>
      </c>
      <c r="CC96" s="71">
        <f t="shared" ref="CC96" si="795">AG96</f>
        <v>185</v>
      </c>
      <c r="CD96" s="72">
        <f t="shared" ref="CD96" si="796">AK96</f>
        <v>192</v>
      </c>
      <c r="CE96" s="71">
        <f t="shared" ref="CE96" si="797">AO96</f>
        <v>390</v>
      </c>
      <c r="CF96" s="72">
        <f t="shared" ref="CF96" si="798">AS96</f>
        <v>431</v>
      </c>
      <c r="CG96" s="71">
        <f t="shared" ref="CG96" si="799">AW96</f>
        <v>457</v>
      </c>
      <c r="CH96" s="70">
        <f t="shared" ref="CH96" si="800">G96</f>
        <v>60</v>
      </c>
      <c r="CI96" s="71">
        <f t="shared" ref="CI96" si="801">K96</f>
        <v>64</v>
      </c>
      <c r="CJ96" s="72">
        <f t="shared" ref="CJ96" si="802">O96</f>
        <v>96</v>
      </c>
      <c r="CK96" s="72">
        <f t="shared" ref="CK96" si="803">S96</f>
        <v>100</v>
      </c>
      <c r="CL96" s="72">
        <f t="shared" ref="CL96" si="804">W96</f>
        <v>136</v>
      </c>
      <c r="CM96" s="72">
        <f t="shared" ref="CM96" si="805">AA96</f>
        <v>144</v>
      </c>
      <c r="CN96" s="72">
        <f t="shared" ref="CN96" si="806">AE96</f>
        <v>176</v>
      </c>
      <c r="CO96" s="72">
        <f t="shared" ref="CO96" si="807">AI96</f>
        <v>187</v>
      </c>
      <c r="CP96" s="72">
        <f t="shared" ref="CP96" si="808">AM96</f>
        <v>223</v>
      </c>
      <c r="CQ96" s="72">
        <f t="shared" ref="CQ96" si="809">AQ96</f>
        <v>426</v>
      </c>
      <c r="CR96" s="72">
        <f t="shared" ref="CR96" si="810">AU96</f>
        <v>456</v>
      </c>
      <c r="CS96" s="72">
        <f t="shared" ref="CS96" si="811">AY96</f>
        <v>471</v>
      </c>
      <c r="CT96" s="23">
        <f t="shared" ref="CT96" si="812">M96-K96</f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ref="A97:A98" si="813">CONCATENATE(B97,"_",C97)</f>
        <v>acm5_human__wt</v>
      </c>
      <c r="B97" s="3" t="s">
        <v>150</v>
      </c>
      <c r="C97" s="3" t="s">
        <v>100</v>
      </c>
      <c r="D97" s="3" t="str">
        <f>IFERROR(MID(VLOOKUP($B97,Seqs!$A:$B,2,0),E97,1),"")</f>
        <v>R</v>
      </c>
      <c r="E97" s="3">
        <v>26</v>
      </c>
      <c r="F97" s="3" t="str">
        <f>IFERROR(MID(VLOOKUP($B97,Seqs!$A:$B,2,0),G97,1),"")</f>
        <v>N</v>
      </c>
      <c r="G97" s="3">
        <v>58</v>
      </c>
      <c r="H97" s="3" t="str">
        <f>IFERROR(MID(VLOOKUP($B97,Seqs!$A:$B,2,0),I97,1),"")</f>
        <v>S</v>
      </c>
      <c r="I97" s="23">
        <v>59</v>
      </c>
      <c r="J97" s="3" t="str">
        <f>IFERROR(MID(VLOOKUP($B97,Seqs!$A:$B,2,0),K97,1),"")</f>
        <v>K</v>
      </c>
      <c r="K97" s="23">
        <v>62</v>
      </c>
      <c r="L97" s="3" t="str">
        <f>IFERROR(MID(VLOOKUP($B97,Seqs!$A:$B,2,0),M97,1),"")</f>
        <v>T</v>
      </c>
      <c r="M97" s="3">
        <v>63</v>
      </c>
      <c r="N97" s="3" t="str">
        <f>IFERROR(MID(VLOOKUP($B97,Seqs!$A:$B,2,0),O97,1),"")</f>
        <v>G</v>
      </c>
      <c r="O97" s="3">
        <v>94</v>
      </c>
      <c r="P97" s="3" t="str">
        <f>IFERROR(MID(VLOOKUP($B97,Seqs!$A:$B,2,0),Q97,1),"")</f>
        <v>R</v>
      </c>
      <c r="Q97" s="3">
        <v>95</v>
      </c>
      <c r="R97" s="3" t="str">
        <f>IFERROR(MID(VLOOKUP($B97,Seqs!$A:$B,2,0),S97,1),"")</f>
        <v>L</v>
      </c>
      <c r="S97" s="3">
        <v>98</v>
      </c>
      <c r="T97" s="3" t="str">
        <f>IFERROR(MID(VLOOKUP($B97,Seqs!$A:$B,2,0),U97,1),"")</f>
        <v>G</v>
      </c>
      <c r="U97" s="3">
        <v>99</v>
      </c>
      <c r="V97" s="3" t="str">
        <f>IFERROR(MID(VLOOKUP($B97,Seqs!$A:$B,2,0),W97,1),"")</f>
        <v>R</v>
      </c>
      <c r="W97" s="3">
        <v>134</v>
      </c>
      <c r="X97" s="3" t="str">
        <f>IFERROR(MID(VLOOKUP($B97,Seqs!$A:$B,2,0),Y97,1),"")</f>
        <v>P</v>
      </c>
      <c r="Y97" s="3">
        <v>135</v>
      </c>
      <c r="Z97" s="3" t="str">
        <f>IFERROR(MID(VLOOKUP($B97,Seqs!$A:$B,2,0),AA97,1),"")</f>
        <v>R</v>
      </c>
      <c r="AA97" s="3">
        <v>142</v>
      </c>
      <c r="AB97" s="3" t="str">
        <f>IFERROR(MID(VLOOKUP($B97,Seqs!$A:$B,2,0),AC97,1),"")</f>
        <v>T</v>
      </c>
      <c r="AC97" s="3">
        <v>143</v>
      </c>
      <c r="AD97" s="3" t="str">
        <f>IFERROR(MID(VLOOKUP($B97,Seqs!$A:$B,2,0),AE97,1),"")</f>
        <v>G</v>
      </c>
      <c r="AE97" s="3">
        <v>174</v>
      </c>
      <c r="AF97" s="3" t="str">
        <f>IFERROR(MID(VLOOKUP($B97,Seqs!$A:$B,2,0),AG97,1),"")</f>
        <v>C</v>
      </c>
      <c r="AG97" s="3">
        <v>183</v>
      </c>
      <c r="AH97" s="3" t="str">
        <f>IFERROR(MID(VLOOKUP($B97,Seqs!$A:$B,2,0),AI97,1),"")</f>
        <v>I</v>
      </c>
      <c r="AI97" s="3">
        <v>185</v>
      </c>
      <c r="AJ97" s="3" t="str">
        <f>IFERROR(MID(VLOOKUP($B97,Seqs!$A:$B,2,0),AK97,1),"")</f>
        <v>E</v>
      </c>
      <c r="AK97" s="3">
        <v>190</v>
      </c>
      <c r="AL97" s="3" t="str">
        <f>IFERROR(MID(VLOOKUP($B97,Seqs!$A:$B,2,0),AM97,1),"")</f>
        <v>L</v>
      </c>
      <c r="AM97" s="3">
        <v>230</v>
      </c>
      <c r="AN97" s="3" t="str">
        <f>IFERROR(MID(VLOOKUP($B97,Seqs!$A:$B,2,0),AO97,1),"")</f>
        <v>R</v>
      </c>
      <c r="AO97" s="3">
        <v>431</v>
      </c>
      <c r="AP97" s="3" t="str">
        <f>IFERROR(MID(VLOOKUP($B97,Seqs!$A:$B,2,0),AQ97,1),"")</f>
        <v>C</v>
      </c>
      <c r="AQ97" s="3">
        <v>468</v>
      </c>
      <c r="AR97" s="3" t="str">
        <f>IFERROR(MID(VLOOKUP($B97,Seqs!$A:$B,2,0),AS97,1),"")</f>
        <v>P</v>
      </c>
      <c r="AS97" s="3">
        <v>473</v>
      </c>
      <c r="AT97" s="3" t="str">
        <f>IFERROR(MID(VLOOKUP($B97,Seqs!$A:$B,2,0),AU97,1),"")</f>
        <v>C</v>
      </c>
      <c r="AU97" s="3">
        <v>498</v>
      </c>
      <c r="AV97" s="3" t="str">
        <f>IFERROR(MID(VLOOKUP($B97,Seqs!$A:$B,2,0),AW97,1),"")</f>
        <v>N</v>
      </c>
      <c r="AW97" s="3">
        <v>499</v>
      </c>
      <c r="AX97" s="3" t="str">
        <f>IFERROR(MID(VLOOKUP($B97,Seqs!$A:$B,2,0),AY97,1),"")</f>
        <v>L</v>
      </c>
      <c r="AY97" s="3">
        <v>511</v>
      </c>
      <c r="AZ97" s="77" t="str">
        <f>VLOOKUP(B97,Classification!A:D,2,0)</f>
        <v>A</v>
      </c>
      <c r="BA97" s="94" t="str">
        <f>VLOOKUP(B97,Classification!A:D,4,0)</f>
        <v>Acetylcholine(muscarinic)</v>
      </c>
      <c r="BB97" s="27" t="b">
        <f t="shared" ref="BB97:BB98" si="814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23">
        <f t="shared" ref="BC97:BC98" si="815">_xlfn.AGGREGATE(9,6,CH97:CS97)-_xlfn.AGGREGATE(9,6,BV97:CG97)+12</f>
        <v>270</v>
      </c>
      <c r="BD97" s="2" t="s">
        <v>23</v>
      </c>
      <c r="BE97" s="3" t="s">
        <v>23</v>
      </c>
      <c r="BF97" s="118" t="s">
        <v>23</v>
      </c>
      <c r="BG97" s="49" t="s">
        <v>1373</v>
      </c>
      <c r="BH97" s="49" t="s">
        <v>1373</v>
      </c>
      <c r="BI97" s="1"/>
      <c r="BJ97" s="70" t="s">
        <v>1283</v>
      </c>
      <c r="BK97" s="57" t="s">
        <v>1283</v>
      </c>
      <c r="BL97" s="57" t="s">
        <v>1283</v>
      </c>
      <c r="BM97" s="57" t="s">
        <v>1283</v>
      </c>
      <c r="BN97" s="57" t="s">
        <v>1283</v>
      </c>
      <c r="BO97" s="57" t="s">
        <v>1283</v>
      </c>
      <c r="BP97" s="57" t="s">
        <v>1283</v>
      </c>
      <c r="BQ97" s="57" t="s">
        <v>1283</v>
      </c>
      <c r="BR97" s="57" t="s">
        <v>1283</v>
      </c>
      <c r="BS97" s="57" t="s">
        <v>1283</v>
      </c>
      <c r="BT97" s="57" t="s">
        <v>1283</v>
      </c>
      <c r="BU97" s="57" t="s">
        <v>1283</v>
      </c>
      <c r="BV97" s="70">
        <f t="shared" ref="BV97:BV98" si="816">E97</f>
        <v>26</v>
      </c>
      <c r="BW97" s="71">
        <f t="shared" ref="BW97:BW98" si="817">I97</f>
        <v>59</v>
      </c>
      <c r="BX97" s="72">
        <f t="shared" ref="BX97:BX98" si="818">M97</f>
        <v>63</v>
      </c>
      <c r="BY97" s="71">
        <f t="shared" ref="BY97:BY98" si="819">Q97</f>
        <v>95</v>
      </c>
      <c r="BZ97" s="72">
        <f t="shared" ref="BZ97:BZ98" si="820">U97</f>
        <v>99</v>
      </c>
      <c r="CA97" s="71">
        <f t="shared" ref="CA97:CA98" si="821">Y97</f>
        <v>135</v>
      </c>
      <c r="CB97" s="72">
        <f t="shared" ref="CB97:CB98" si="822">AC97</f>
        <v>143</v>
      </c>
      <c r="CC97" s="71">
        <f t="shared" ref="CC97:CC98" si="823">AG97</f>
        <v>183</v>
      </c>
      <c r="CD97" s="72">
        <f t="shared" ref="CD97:CD98" si="824">AK97</f>
        <v>190</v>
      </c>
      <c r="CE97" s="71">
        <f t="shared" ref="CE97:CE98" si="825">AO97</f>
        <v>431</v>
      </c>
      <c r="CF97" s="72">
        <f t="shared" ref="CF97:CF98" si="826">AS97</f>
        <v>473</v>
      </c>
      <c r="CG97" s="71">
        <f t="shared" ref="CG97:CG98" si="827">AW97</f>
        <v>499</v>
      </c>
      <c r="CH97" s="70">
        <f t="shared" ref="CH97:CH98" si="828">G97</f>
        <v>58</v>
      </c>
      <c r="CI97" s="71">
        <f t="shared" ref="CI97:CI98" si="829">K97</f>
        <v>62</v>
      </c>
      <c r="CJ97" s="72">
        <f t="shared" ref="CJ97:CJ98" si="830">O97</f>
        <v>94</v>
      </c>
      <c r="CK97" s="72">
        <f t="shared" ref="CK97:CK98" si="831">S97</f>
        <v>98</v>
      </c>
      <c r="CL97" s="72">
        <f t="shared" ref="CL97:CL98" si="832">W97</f>
        <v>134</v>
      </c>
      <c r="CM97" s="72">
        <f t="shared" ref="CM97:CM98" si="833">AA97</f>
        <v>142</v>
      </c>
      <c r="CN97" s="72">
        <f t="shared" ref="CN97:CN98" si="834">AE97</f>
        <v>174</v>
      </c>
      <c r="CO97" s="72">
        <f t="shared" ref="CO97:CO98" si="835">AI97</f>
        <v>185</v>
      </c>
      <c r="CP97" s="72">
        <f t="shared" ref="CP97:CP98" si="836">AM97</f>
        <v>230</v>
      </c>
      <c r="CQ97" s="72">
        <f t="shared" ref="CQ97:CQ98" si="837">AQ97</f>
        <v>468</v>
      </c>
      <c r="CR97" s="72">
        <f t="shared" ref="CR97:CR98" si="838">AU97</f>
        <v>498</v>
      </c>
      <c r="CS97" s="72">
        <f t="shared" ref="CS97:CS98" si="839">AY97</f>
        <v>511</v>
      </c>
      <c r="CT97" s="23">
        <f t="shared" ref="CT97:CT98" si="840">M97-K97</f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813"/>
        <v>acm5_human_6OL9</v>
      </c>
      <c r="B98" s="3" t="s">
        <v>150</v>
      </c>
      <c r="C98" s="3" t="s">
        <v>1619</v>
      </c>
      <c r="D98" s="3" t="str">
        <f>IFERROR(MID(VLOOKUP($B98,Seqs!$A:$B,2,0),E98,1),"")</f>
        <v>R</v>
      </c>
      <c r="E98" s="3">
        <v>26</v>
      </c>
      <c r="F98" s="3" t="str">
        <f>IFERROR(MID(VLOOKUP($B98,Seqs!$A:$B,2,0),G98,1),"")</f>
        <v>N</v>
      </c>
      <c r="G98" s="3">
        <v>58</v>
      </c>
      <c r="H98" s="3" t="str">
        <f>IFERROR(MID(VLOOKUP($B98,Seqs!$A:$B,2,0),I98,1),"")</f>
        <v>S</v>
      </c>
      <c r="I98" s="23">
        <v>59</v>
      </c>
      <c r="J98" s="3" t="str">
        <f>IFERROR(MID(VLOOKUP($B98,Seqs!$A:$B,2,0),K98,1),"")</f>
        <v>K</v>
      </c>
      <c r="K98" s="23">
        <v>62</v>
      </c>
      <c r="L98" s="3" t="str">
        <f>IFERROR(MID(VLOOKUP($B98,Seqs!$A:$B,2,0),M98,1),"")</f>
        <v>T</v>
      </c>
      <c r="M98" s="3">
        <v>63</v>
      </c>
      <c r="N98" s="3" t="str">
        <f>IFERROR(MID(VLOOKUP($B98,Seqs!$A:$B,2,0),O98,1),"")</f>
        <v>G</v>
      </c>
      <c r="O98" s="3">
        <v>94</v>
      </c>
      <c r="P98" s="3" t="str">
        <f>IFERROR(MID(VLOOKUP($B98,Seqs!$A:$B,2,0),Q98,1),"")</f>
        <v>R</v>
      </c>
      <c r="Q98" s="3">
        <v>95</v>
      </c>
      <c r="R98" s="3" t="str">
        <f>IFERROR(MID(VLOOKUP($B98,Seqs!$A:$B,2,0),S98,1),"")</f>
        <v>L</v>
      </c>
      <c r="S98" s="3">
        <v>98</v>
      </c>
      <c r="T98" s="3" t="str">
        <f>IFERROR(MID(VLOOKUP($B98,Seqs!$A:$B,2,0),U98,1),"")</f>
        <v>G</v>
      </c>
      <c r="U98" s="3">
        <v>99</v>
      </c>
      <c r="V98" s="3" t="str">
        <f>IFERROR(MID(VLOOKUP($B98,Seqs!$A:$B,2,0),W98,1),"")</f>
        <v>R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R</v>
      </c>
      <c r="AA98" s="3">
        <v>142</v>
      </c>
      <c r="AB98" s="3" t="str">
        <f>IFERROR(MID(VLOOKUP($B98,Seqs!$A:$B,2,0),AC98,1),"")</f>
        <v>T</v>
      </c>
      <c r="AC98" s="3">
        <v>143</v>
      </c>
      <c r="AD98" s="3" t="str">
        <f>IFERROR(MID(VLOOKUP($B98,Seqs!$A:$B,2,0),AE98,1),"")</f>
        <v>G</v>
      </c>
      <c r="AE98" s="3">
        <v>174</v>
      </c>
      <c r="AF98" s="3" t="str">
        <f>IFERROR(MID(VLOOKUP($B98,Seqs!$A:$B,2,0),AG98,1),"")</f>
        <v>C</v>
      </c>
      <c r="AG98" s="3">
        <v>183</v>
      </c>
      <c r="AH98" s="3" t="str">
        <f>IFERROR(MID(VLOOKUP($B98,Seqs!$A:$B,2,0),AI98,1),"")</f>
        <v>I</v>
      </c>
      <c r="AI98" s="3">
        <v>185</v>
      </c>
      <c r="AJ98" s="3" t="str">
        <f>IFERROR(MID(VLOOKUP($B98,Seqs!$A:$B,2,0),AK98,1),"")</f>
        <v>E</v>
      </c>
      <c r="AK98" s="3">
        <v>190</v>
      </c>
      <c r="AL98" s="3" t="str">
        <f>IFERROR(MID(VLOOKUP($B98,Seqs!$A:$B,2,0),AM98,1),"")</f>
        <v>T</v>
      </c>
      <c r="AM98" s="3">
        <v>220</v>
      </c>
      <c r="AN98" s="3" t="str">
        <f>IFERROR(MID(VLOOKUP($B98,Seqs!$A:$B,2,0),AO98,1),"")</f>
        <v>R</v>
      </c>
      <c r="AO98" s="3">
        <v>431</v>
      </c>
      <c r="AP98" s="3" t="str">
        <f>IFERROR(MID(VLOOKUP($B98,Seqs!$A:$B,2,0),AQ98,1),"")</f>
        <v>C</v>
      </c>
      <c r="AQ98" s="3">
        <v>468</v>
      </c>
      <c r="AR98" s="3" t="str">
        <f>IFERROR(MID(VLOOKUP($B98,Seqs!$A:$B,2,0),AS98,1),"")</f>
        <v>P</v>
      </c>
      <c r="AS98" s="3">
        <v>473</v>
      </c>
      <c r="AT98" s="3" t="str">
        <f>IFERROR(MID(VLOOKUP($B98,Seqs!$A:$B,2,0),AU98,1),"")</f>
        <v>C</v>
      </c>
      <c r="AU98" s="3">
        <v>498</v>
      </c>
      <c r="AV98" s="3" t="str">
        <f>IFERROR(MID(VLOOKUP($B98,Seqs!$A:$B,2,0),AW98,1),"")</f>
        <v>N</v>
      </c>
      <c r="AW98" s="3">
        <v>499</v>
      </c>
      <c r="AX98" s="3" t="str">
        <f>IFERROR(MID(VLOOKUP($B98,Seqs!$A:$B,2,0),AY98,1),"")</f>
        <v>L</v>
      </c>
      <c r="AY98" s="3">
        <v>511</v>
      </c>
      <c r="AZ98" s="77" t="str">
        <f>VLOOKUP(B98,Classification!A:D,2,0)</f>
        <v>A</v>
      </c>
      <c r="BA98" s="94" t="str">
        <f>VLOOKUP(B98,Classification!A:D,4,0)</f>
        <v>Acetylcholine(muscarinic)</v>
      </c>
      <c r="BB98" s="27" t="b">
        <f t="shared" si="814"/>
        <v>1</v>
      </c>
      <c r="BC98" s="23">
        <f t="shared" si="815"/>
        <v>260</v>
      </c>
      <c r="BD98" s="2" t="s">
        <v>1372</v>
      </c>
      <c r="BE98" s="3" t="s">
        <v>1370</v>
      </c>
      <c r="BF98" s="118">
        <v>2.54</v>
      </c>
      <c r="BG98" s="49" t="s">
        <v>1</v>
      </c>
      <c r="BH98" s="49" t="s">
        <v>1</v>
      </c>
      <c r="BI98" s="1"/>
      <c r="BJ98" s="70" t="s">
        <v>1283</v>
      </c>
      <c r="BK98" s="57" t="s">
        <v>1283</v>
      </c>
      <c r="BL98" s="57" t="s">
        <v>1283</v>
      </c>
      <c r="BM98" s="57" t="s">
        <v>1283</v>
      </c>
      <c r="BN98" s="57" t="s">
        <v>1283</v>
      </c>
      <c r="BO98" s="57" t="s">
        <v>1283</v>
      </c>
      <c r="BP98" s="57" t="s">
        <v>1283</v>
      </c>
      <c r="BQ98" s="57" t="s">
        <v>1283</v>
      </c>
      <c r="BR98" s="57" t="s">
        <v>1283</v>
      </c>
      <c r="BS98" s="57" t="s">
        <v>1283</v>
      </c>
      <c r="BT98" s="57" t="s">
        <v>1283</v>
      </c>
      <c r="BU98" s="57" t="s">
        <v>1283</v>
      </c>
      <c r="BV98" s="70">
        <f t="shared" si="816"/>
        <v>26</v>
      </c>
      <c r="BW98" s="71">
        <f t="shared" si="817"/>
        <v>59</v>
      </c>
      <c r="BX98" s="72">
        <f t="shared" si="818"/>
        <v>63</v>
      </c>
      <c r="BY98" s="71">
        <f t="shared" si="819"/>
        <v>95</v>
      </c>
      <c r="BZ98" s="72">
        <f t="shared" si="820"/>
        <v>99</v>
      </c>
      <c r="CA98" s="71">
        <f t="shared" si="821"/>
        <v>135</v>
      </c>
      <c r="CB98" s="72">
        <f t="shared" si="822"/>
        <v>143</v>
      </c>
      <c r="CC98" s="71">
        <f t="shared" si="823"/>
        <v>183</v>
      </c>
      <c r="CD98" s="72">
        <f t="shared" si="824"/>
        <v>190</v>
      </c>
      <c r="CE98" s="71">
        <f t="shared" si="825"/>
        <v>431</v>
      </c>
      <c r="CF98" s="72">
        <f t="shared" si="826"/>
        <v>473</v>
      </c>
      <c r="CG98" s="71">
        <f t="shared" si="827"/>
        <v>499</v>
      </c>
      <c r="CH98" s="70">
        <f t="shared" si="828"/>
        <v>58</v>
      </c>
      <c r="CI98" s="71">
        <f t="shared" si="829"/>
        <v>62</v>
      </c>
      <c r="CJ98" s="72">
        <f t="shared" si="830"/>
        <v>94</v>
      </c>
      <c r="CK98" s="72">
        <f t="shared" si="831"/>
        <v>98</v>
      </c>
      <c r="CL98" s="72">
        <f t="shared" si="832"/>
        <v>134</v>
      </c>
      <c r="CM98" s="72">
        <f t="shared" si="833"/>
        <v>142</v>
      </c>
      <c r="CN98" s="72">
        <f t="shared" si="834"/>
        <v>174</v>
      </c>
      <c r="CO98" s="72">
        <f t="shared" si="835"/>
        <v>185</v>
      </c>
      <c r="CP98" s="72">
        <f t="shared" si="836"/>
        <v>220</v>
      </c>
      <c r="CQ98" s="72">
        <f t="shared" si="837"/>
        <v>468</v>
      </c>
      <c r="CR98" s="72">
        <f t="shared" si="838"/>
        <v>498</v>
      </c>
      <c r="CS98" s="72">
        <f t="shared" si="839"/>
        <v>511</v>
      </c>
      <c r="CT98" s="23">
        <f t="shared" si="84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s="12" customFormat="1" x14ac:dyDescent="0.2">
      <c r="A99" s="9" t="str">
        <f t="shared" ref="A99:A100" si="841">CONCATENATE(B99,"_",C99)</f>
        <v>ada2a_human__wt</v>
      </c>
      <c r="B99" s="9" t="s">
        <v>155</v>
      </c>
      <c r="C99" s="9" t="s">
        <v>100</v>
      </c>
      <c r="D99" s="9" t="str">
        <f>IFERROR(MID(VLOOKUP($B99,Seqs!$A:$B,2,0),E99,1),"")</f>
        <v>T</v>
      </c>
      <c r="E99" s="9">
        <v>33</v>
      </c>
      <c r="F99" s="9" t="str">
        <f>IFERROR(MID(VLOOKUP($B99,Seqs!$A:$B,2,0),G99,1),"")</f>
        <v>S</v>
      </c>
      <c r="G99" s="9">
        <v>61</v>
      </c>
      <c r="H99" s="9" t="str">
        <f>IFERROR(MID(VLOOKUP($B99,Seqs!$A:$B,2,0),I99,1),"")</f>
        <v>R</v>
      </c>
      <c r="I99" s="109">
        <v>62</v>
      </c>
      <c r="J99" s="9" t="str">
        <f>IFERROR(MID(VLOOKUP($B99,Seqs!$A:$B,2,0),K99,1),"")</f>
        <v>K</v>
      </c>
      <c r="K99" s="109">
        <v>65</v>
      </c>
      <c r="L99" s="9" t="str">
        <f>IFERROR(MID(VLOOKUP($B99,Seqs!$A:$B,2,0),M99,1),"")</f>
        <v>A</v>
      </c>
      <c r="M99" s="9">
        <v>66</v>
      </c>
      <c r="N99" s="9" t="str">
        <f>IFERROR(MID(VLOOKUP($B99,Seqs!$A:$B,2,0),O99,1),"")</f>
        <v>G</v>
      </c>
      <c r="O99" s="9">
        <v>97</v>
      </c>
      <c r="P99" s="9" t="str">
        <f>IFERROR(MID(VLOOKUP($B99,Seqs!$A:$B,2,0),Q99,1),"")</f>
        <v>Y</v>
      </c>
      <c r="Q99" s="9">
        <v>98</v>
      </c>
      <c r="R99" s="9" t="str">
        <f>IFERROR(MID(VLOOKUP($B99,Seqs!$A:$B,2,0),S99,1),"")</f>
        <v>F</v>
      </c>
      <c r="S99" s="9">
        <v>101</v>
      </c>
      <c r="T99" s="9" t="str">
        <f>IFERROR(MID(VLOOKUP($B99,Seqs!$A:$B,2,0),U99,1),"")</f>
        <v>G</v>
      </c>
      <c r="U99" s="9">
        <v>102</v>
      </c>
      <c r="V99" s="9" t="str">
        <f>IFERROR(MID(VLOOKUP($B99,Seqs!$A:$B,2,0),W99,1),"")</f>
        <v>Q</v>
      </c>
      <c r="W99" s="9">
        <v>137</v>
      </c>
      <c r="X99" s="9" t="str">
        <f>IFERROR(MID(VLOOKUP($B99,Seqs!$A:$B,2,0),Y99,1),"")</f>
        <v>A</v>
      </c>
      <c r="Y99" s="9">
        <v>138</v>
      </c>
      <c r="Z99" s="9" t="str">
        <f>IFERROR(MID(VLOOKUP($B99,Seqs!$A:$B,2,0),AA99,1),"")</f>
        <v>R</v>
      </c>
      <c r="AA99" s="9">
        <v>145</v>
      </c>
      <c r="AB99" s="9" t="str">
        <f>IFERROR(MID(VLOOKUP($B99,Seqs!$A:$B,2,0),AC99,1),"")</f>
        <v>T</v>
      </c>
      <c r="AC99" s="9">
        <v>146</v>
      </c>
      <c r="AD99" s="9" t="str">
        <f>IFERROR(MID(VLOOKUP($B99,Seqs!$A:$B,2,0),AE99,1),"")</f>
        <v>I</v>
      </c>
      <c r="AE99" s="9">
        <v>170</v>
      </c>
      <c r="AF99" s="9" t="str">
        <f>IFERROR(MID(VLOOKUP($B99,Seqs!$A:$B,2,0),AG99,1),"")</f>
        <v>C</v>
      </c>
      <c r="AG99" s="9">
        <v>188</v>
      </c>
      <c r="AH99" s="9" t="str">
        <f>IFERROR(MID(VLOOKUP($B99,Seqs!$A:$B,2,0),AI99,1),"")</f>
        <v>I</v>
      </c>
      <c r="AI99" s="9">
        <v>190</v>
      </c>
      <c r="AJ99" s="9" t="str">
        <f>IFERROR(MID(VLOOKUP($B99,Seqs!$A:$B,2,0),AK99,1),"")</f>
        <v>Q</v>
      </c>
      <c r="AK99" s="9">
        <v>193</v>
      </c>
      <c r="AL99" s="9" t="str">
        <f>IFERROR(MID(VLOOKUP($B99,Seqs!$A:$B,2,0),AM99,1),"")</f>
        <v>R</v>
      </c>
      <c r="AM99" s="9">
        <v>233</v>
      </c>
      <c r="AN99" s="9" t="str">
        <f>IFERROR(MID(VLOOKUP($B99,Seqs!$A:$B,2,0),AO99,1),"")</f>
        <v>R</v>
      </c>
      <c r="AO99" s="9">
        <v>363</v>
      </c>
      <c r="AP99" s="9" t="str">
        <f>IFERROR(MID(VLOOKUP($B99,Seqs!$A:$B,2,0),AQ99,1),"")</f>
        <v>G</v>
      </c>
      <c r="AQ99" s="9">
        <v>400</v>
      </c>
      <c r="AR99" s="9" t="str">
        <f>IFERROR(MID(VLOOKUP($B99,Seqs!$A:$B,2,0),AS99,1),"")</f>
        <v>P</v>
      </c>
      <c r="AS99" s="9">
        <v>404</v>
      </c>
      <c r="AT99" s="9" t="str">
        <f>IFERROR(MID(VLOOKUP($B99,Seqs!$A:$B,2,0),AU99,1),"")</f>
        <v>F</v>
      </c>
      <c r="AU99" s="9">
        <v>429</v>
      </c>
      <c r="AV99" s="9" t="str">
        <f>IFERROR(MID(VLOOKUP($B99,Seqs!$A:$B,2,0),AW99,1),"")</f>
        <v>N</v>
      </c>
      <c r="AW99" s="9">
        <v>430</v>
      </c>
      <c r="AX99" s="9" t="str">
        <f>IFERROR(MID(VLOOKUP($B99,Seqs!$A:$B,2,0),AY99,1),"")</f>
        <v>R</v>
      </c>
      <c r="AY99" s="9">
        <v>443</v>
      </c>
      <c r="AZ99" s="110" t="str">
        <f>VLOOKUP(B99,Classification!A:D,2,0)</f>
        <v>A</v>
      </c>
      <c r="BA99" s="98" t="str">
        <f>VLOOKUP(B99,Classification!A:D,4,0)</f>
        <v>Adrenoceptors</v>
      </c>
      <c r="BB99" s="36" t="b">
        <f t="shared" ref="BB99:BB100" si="842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09">
        <f t="shared" ref="BC99:BC100" si="843">_xlfn.AGGREGATE(9,6,CH99:CS99)-_xlfn.AGGREGATE(9,6,BV99:CG99)+12</f>
        <v>260</v>
      </c>
      <c r="BD99" s="40" t="s">
        <v>23</v>
      </c>
      <c r="BE99" s="9" t="s">
        <v>23</v>
      </c>
      <c r="BF99" s="119" t="s">
        <v>23</v>
      </c>
      <c r="BG99" s="51" t="s">
        <v>1</v>
      </c>
      <c r="BH99" s="51" t="s">
        <v>1</v>
      </c>
      <c r="BJ99" s="111" t="s">
        <v>1283</v>
      </c>
      <c r="BK99" s="112" t="s">
        <v>1283</v>
      </c>
      <c r="BL99" s="112" t="s">
        <v>1283</v>
      </c>
      <c r="BM99" s="112" t="s">
        <v>1283</v>
      </c>
      <c r="BN99" s="112" t="s">
        <v>1283</v>
      </c>
      <c r="BO99" s="112" t="s">
        <v>1283</v>
      </c>
      <c r="BP99" s="112" t="s">
        <v>1283</v>
      </c>
      <c r="BQ99" s="112" t="s">
        <v>1283</v>
      </c>
      <c r="BR99" s="112" t="s">
        <v>1283</v>
      </c>
      <c r="BS99" s="112" t="s">
        <v>1283</v>
      </c>
      <c r="BT99" s="112" t="s">
        <v>1283</v>
      </c>
      <c r="BU99" s="112" t="s">
        <v>1283</v>
      </c>
      <c r="BV99" s="111">
        <f t="shared" ref="BV99:BV100" si="844">E99</f>
        <v>33</v>
      </c>
      <c r="BW99" s="113">
        <f t="shared" ref="BW99:BW100" si="845">I99</f>
        <v>62</v>
      </c>
      <c r="BX99" s="114">
        <f t="shared" ref="BX99:BX100" si="846">M99</f>
        <v>66</v>
      </c>
      <c r="BY99" s="113">
        <f t="shared" ref="BY99:BY100" si="847">Q99</f>
        <v>98</v>
      </c>
      <c r="BZ99" s="114">
        <f t="shared" ref="BZ99:BZ100" si="848">U99</f>
        <v>102</v>
      </c>
      <c r="CA99" s="113">
        <f t="shared" ref="CA99:CA100" si="849">Y99</f>
        <v>138</v>
      </c>
      <c r="CB99" s="114">
        <f t="shared" ref="CB99:CB100" si="850">AC99</f>
        <v>146</v>
      </c>
      <c r="CC99" s="113">
        <f t="shared" ref="CC99:CC100" si="851">AG99</f>
        <v>188</v>
      </c>
      <c r="CD99" s="114">
        <f t="shared" ref="CD99:CD100" si="852">AK99</f>
        <v>193</v>
      </c>
      <c r="CE99" s="113">
        <f t="shared" ref="CE99:CE100" si="853">AO99</f>
        <v>363</v>
      </c>
      <c r="CF99" s="114">
        <f t="shared" ref="CF99:CF100" si="854">AS99</f>
        <v>404</v>
      </c>
      <c r="CG99" s="113">
        <f t="shared" ref="CG99:CG100" si="855">AW99</f>
        <v>430</v>
      </c>
      <c r="CH99" s="111">
        <f t="shared" ref="CH99:CH100" si="856">G99</f>
        <v>61</v>
      </c>
      <c r="CI99" s="113">
        <f t="shared" ref="CI99:CI100" si="857">K99</f>
        <v>65</v>
      </c>
      <c r="CJ99" s="114">
        <f t="shared" ref="CJ99:CJ100" si="858">O99</f>
        <v>97</v>
      </c>
      <c r="CK99" s="114">
        <f t="shared" ref="CK99:CK100" si="859">S99</f>
        <v>101</v>
      </c>
      <c r="CL99" s="114">
        <f t="shared" ref="CL99:CL100" si="860">W99</f>
        <v>137</v>
      </c>
      <c r="CM99" s="114">
        <f t="shared" ref="CM99:CM100" si="861">AA99</f>
        <v>145</v>
      </c>
      <c r="CN99" s="114">
        <f t="shared" ref="CN99:CN100" si="862">AE99</f>
        <v>170</v>
      </c>
      <c r="CO99" s="114">
        <f t="shared" ref="CO99:CO100" si="863">AI99</f>
        <v>190</v>
      </c>
      <c r="CP99" s="114">
        <f t="shared" ref="CP99:CP100" si="864">AM99</f>
        <v>233</v>
      </c>
      <c r="CQ99" s="114">
        <f t="shared" ref="CQ99:CQ100" si="865">AQ99</f>
        <v>400</v>
      </c>
      <c r="CR99" s="114">
        <f t="shared" ref="CR99:CR100" si="866">AU99</f>
        <v>429</v>
      </c>
      <c r="CS99" s="114">
        <f t="shared" ref="CS99:CS100" si="867">AY99</f>
        <v>443</v>
      </c>
      <c r="CT99" s="109">
        <f t="shared" ref="CT99:CT100" si="868">M99-K99</f>
        <v>1</v>
      </c>
    </row>
    <row r="100" spans="1:1029" s="12" customFormat="1" x14ac:dyDescent="0.2">
      <c r="A100" s="9" t="str">
        <f t="shared" si="841"/>
        <v>ada2a_human_6KUX</v>
      </c>
      <c r="B100" s="9" t="s">
        <v>155</v>
      </c>
      <c r="C100" s="9" t="s">
        <v>1675</v>
      </c>
      <c r="D100" s="9" t="str">
        <f>IFERROR(MID(VLOOKUP($B100,Seqs!$A:$B,2,0),E100,1),"")</f>
        <v>T</v>
      </c>
      <c r="E100" s="9">
        <v>33</v>
      </c>
      <c r="F100" s="9" t="str">
        <f>IFERROR(MID(VLOOKUP($B100,Seqs!$A:$B,2,0),G100,1),"")</f>
        <v>T</v>
      </c>
      <c r="G100" s="9">
        <v>60</v>
      </c>
      <c r="H100" s="9" t="str">
        <f>IFERROR(MID(VLOOKUP($B100,Seqs!$A:$B,2,0),I100,1),"")</f>
        <v/>
      </c>
      <c r="I100" s="109" t="s">
        <v>23</v>
      </c>
      <c r="J100" s="9" t="str">
        <f>IFERROR(MID(VLOOKUP($B100,Seqs!$A:$B,2,0),K100,1),"")</f>
        <v/>
      </c>
      <c r="K100" s="109" t="s">
        <v>23</v>
      </c>
      <c r="L100" s="9" t="str">
        <f>IFERROR(MID(VLOOKUP($B100,Seqs!$A:$B,2,0),M100,1),"")</f>
        <v>A</v>
      </c>
      <c r="M100" s="9">
        <v>66</v>
      </c>
      <c r="N100" s="9" t="str">
        <f>IFERROR(MID(VLOOKUP($B100,Seqs!$A:$B,2,0),O100,1),"")</f>
        <v>M</v>
      </c>
      <c r="O100" s="9">
        <v>96</v>
      </c>
      <c r="P100" s="9" t="str">
        <f>IFERROR(MID(VLOOKUP($B100,Seqs!$A:$B,2,0),Q100,1),"")</f>
        <v>Y</v>
      </c>
      <c r="Q100" s="9">
        <v>98</v>
      </c>
      <c r="R100" s="9" t="str">
        <f>IFERROR(MID(VLOOKUP($B100,Seqs!$A:$B,2,0),S100,1),"")</f>
        <v>F</v>
      </c>
      <c r="S100" s="9">
        <v>101</v>
      </c>
      <c r="T100" s="9" t="str">
        <f>IFERROR(MID(VLOOKUP($B100,Seqs!$A:$B,2,0),U100,1),"")</f>
        <v>G</v>
      </c>
      <c r="U100" s="9">
        <v>102</v>
      </c>
      <c r="V100" s="9" t="str">
        <f>IFERROR(MID(VLOOKUP($B100,Seqs!$A:$B,2,0),W100,1),"")</f>
        <v>Q</v>
      </c>
      <c r="W100" s="9">
        <v>137</v>
      </c>
      <c r="X100" s="9" t="str">
        <f>IFERROR(MID(VLOOKUP($B100,Seqs!$A:$B,2,0),Y100,1),"")</f>
        <v>A</v>
      </c>
      <c r="Y100" s="9">
        <v>138</v>
      </c>
      <c r="Z100" s="9" t="str">
        <f>IFERROR(MID(VLOOKUP($B100,Seqs!$A:$B,2,0),AA100,1),"")</f>
        <v>R</v>
      </c>
      <c r="AA100" s="9">
        <v>145</v>
      </c>
      <c r="AB100" s="9" t="str">
        <f>IFERROR(MID(VLOOKUP($B100,Seqs!$A:$B,2,0),AC100,1),"")</f>
        <v>T</v>
      </c>
      <c r="AC100" s="9">
        <v>146</v>
      </c>
      <c r="AD100" s="9" t="str">
        <f>IFERROR(MID(VLOOKUP($B100,Seqs!$A:$B,2,0),AE100,1),"")</f>
        <v>F</v>
      </c>
      <c r="AE100" s="9">
        <v>166</v>
      </c>
      <c r="AF100" s="9" t="str">
        <f>IFERROR(MID(VLOOKUP($B100,Seqs!$A:$B,2,0),AG100,1),"")</f>
        <v>C</v>
      </c>
      <c r="AG100" s="9">
        <v>188</v>
      </c>
      <c r="AH100" s="9" t="str">
        <f>IFERROR(MID(VLOOKUP($B100,Seqs!$A:$B,2,0),AI100,1),"")</f>
        <v>I</v>
      </c>
      <c r="AI100" s="9">
        <v>190</v>
      </c>
      <c r="AJ100" s="9" t="str">
        <f>IFERROR(MID(VLOOKUP($B100,Seqs!$A:$B,2,0),AK100,1),"")</f>
        <v>Y</v>
      </c>
      <c r="AK100" s="9">
        <v>196</v>
      </c>
      <c r="AL100" s="9" t="str">
        <f>IFERROR(MID(VLOOKUP($B100,Seqs!$A:$B,2,0),AM100,1),"")</f>
        <v>T</v>
      </c>
      <c r="AM100" s="9">
        <v>227</v>
      </c>
      <c r="AN100" s="9" t="str">
        <f>IFERROR(MID(VLOOKUP($B100,Seqs!$A:$B,2,0),AO100,1),"")</f>
        <v>N</v>
      </c>
      <c r="AO100" s="9">
        <v>367</v>
      </c>
      <c r="AP100" s="9" t="str">
        <f>IFERROR(MID(VLOOKUP($B100,Seqs!$A:$B,2,0),AQ100,1),"")</f>
        <v>G</v>
      </c>
      <c r="AQ100" s="9">
        <v>400</v>
      </c>
      <c r="AR100" s="9" t="str">
        <f>IFERROR(MID(VLOOKUP($B100,Seqs!$A:$B,2,0),AS100,1),"")</f>
        <v>P</v>
      </c>
      <c r="AS100" s="9">
        <v>404</v>
      </c>
      <c r="AT100" s="9" t="str">
        <f>IFERROR(MID(VLOOKUP($B100,Seqs!$A:$B,2,0),AU100,1),"")</f>
        <v>F</v>
      </c>
      <c r="AU100" s="9">
        <v>429</v>
      </c>
      <c r="AV100" s="9" t="str">
        <f>IFERROR(MID(VLOOKUP($B100,Seqs!$A:$B,2,0),AW100,1),"")</f>
        <v>H</v>
      </c>
      <c r="AW100" s="9">
        <v>431</v>
      </c>
      <c r="AX100" s="9" t="str">
        <f>IFERROR(MID(VLOOKUP($B100,Seqs!$A:$B,2,0),AY100,1),"")</f>
        <v>R</v>
      </c>
      <c r="AY100" s="9">
        <v>443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si="842"/>
        <v>1</v>
      </c>
      <c r="BC100" s="109">
        <f t="shared" si="843"/>
        <v>237</v>
      </c>
      <c r="BD100" s="40" t="s">
        <v>1372</v>
      </c>
      <c r="BE100" s="9" t="s">
        <v>1370</v>
      </c>
      <c r="BF100" s="119">
        <v>2.7</v>
      </c>
      <c r="BG100" s="51" t="s">
        <v>1</v>
      </c>
      <c r="BH100" s="51" t="s">
        <v>1</v>
      </c>
      <c r="BJ100" s="111" t="s">
        <v>1283</v>
      </c>
      <c r="BK100" s="112" t="s">
        <v>1283</v>
      </c>
      <c r="BL100" s="112" t="s">
        <v>1283</v>
      </c>
      <c r="BM100" s="112" t="s">
        <v>1283</v>
      </c>
      <c r="BN100" s="112" t="s">
        <v>1283</v>
      </c>
      <c r="BO100" s="112" t="s">
        <v>1283</v>
      </c>
      <c r="BP100" s="112" t="s">
        <v>1283</v>
      </c>
      <c r="BQ100" s="112" t="s">
        <v>1283</v>
      </c>
      <c r="BR100" s="112" t="s">
        <v>1283</v>
      </c>
      <c r="BS100" s="112" t="s">
        <v>1283</v>
      </c>
      <c r="BT100" s="112" t="s">
        <v>1283</v>
      </c>
      <c r="BU100" s="112" t="s">
        <v>1283</v>
      </c>
      <c r="BV100" s="111">
        <f t="shared" si="844"/>
        <v>33</v>
      </c>
      <c r="BW100" s="113" t="str">
        <f t="shared" si="845"/>
        <v>-</v>
      </c>
      <c r="BX100" s="114">
        <f t="shared" si="846"/>
        <v>66</v>
      </c>
      <c r="BY100" s="113">
        <f t="shared" si="847"/>
        <v>98</v>
      </c>
      <c r="BZ100" s="114">
        <f t="shared" si="848"/>
        <v>102</v>
      </c>
      <c r="CA100" s="113">
        <f t="shared" si="849"/>
        <v>138</v>
      </c>
      <c r="CB100" s="114">
        <f t="shared" si="850"/>
        <v>146</v>
      </c>
      <c r="CC100" s="113">
        <f t="shared" si="851"/>
        <v>188</v>
      </c>
      <c r="CD100" s="114">
        <f t="shared" si="852"/>
        <v>196</v>
      </c>
      <c r="CE100" s="113">
        <f t="shared" si="853"/>
        <v>367</v>
      </c>
      <c r="CF100" s="114">
        <f t="shared" si="854"/>
        <v>404</v>
      </c>
      <c r="CG100" s="113">
        <f t="shared" si="855"/>
        <v>431</v>
      </c>
      <c r="CH100" s="111">
        <f t="shared" si="856"/>
        <v>60</v>
      </c>
      <c r="CI100" s="113" t="str">
        <f t="shared" si="857"/>
        <v>-</v>
      </c>
      <c r="CJ100" s="114">
        <f t="shared" si="858"/>
        <v>96</v>
      </c>
      <c r="CK100" s="114">
        <f t="shared" si="859"/>
        <v>101</v>
      </c>
      <c r="CL100" s="114">
        <f t="shared" si="860"/>
        <v>137</v>
      </c>
      <c r="CM100" s="114">
        <f t="shared" si="861"/>
        <v>145</v>
      </c>
      <c r="CN100" s="114">
        <f t="shared" si="862"/>
        <v>166</v>
      </c>
      <c r="CO100" s="114">
        <f t="shared" si="863"/>
        <v>190</v>
      </c>
      <c r="CP100" s="114">
        <f t="shared" si="864"/>
        <v>227</v>
      </c>
      <c r="CQ100" s="114">
        <f t="shared" si="865"/>
        <v>400</v>
      </c>
      <c r="CR100" s="114">
        <f t="shared" si="866"/>
        <v>429</v>
      </c>
      <c r="CS100" s="114">
        <f t="shared" si="867"/>
        <v>443</v>
      </c>
      <c r="CT100" s="109" t="e">
        <f t="shared" si="868"/>
        <v>#VALUE!</v>
      </c>
    </row>
    <row r="101" spans="1:1029" s="12" customFormat="1" x14ac:dyDescent="0.2">
      <c r="A101" s="9" t="str">
        <f t="shared" ref="A101" si="869">CONCATENATE(B101,"_",C101)</f>
        <v>ada2a_human_6KUY</v>
      </c>
      <c r="B101" s="9" t="s">
        <v>155</v>
      </c>
      <c r="C101" s="9" t="s">
        <v>1676</v>
      </c>
      <c r="D101" s="9" t="str">
        <f>IFERROR(MID(VLOOKUP($B101,Seqs!$A:$B,2,0),E101,1),"")</f>
        <v>L</v>
      </c>
      <c r="E101" s="9">
        <v>36</v>
      </c>
      <c r="F101" s="9" t="str">
        <f>IFERROR(MID(VLOOKUP($B101,Seqs!$A:$B,2,0),G101,1),"")</f>
        <v>F</v>
      </c>
      <c r="G101" s="9">
        <v>59</v>
      </c>
      <c r="H101" s="9" t="str">
        <f>IFERROR(MID(VLOOKUP($B101,Seqs!$A:$B,2,0),I101,1),"")</f>
        <v/>
      </c>
      <c r="I101" s="109" t="s">
        <v>23</v>
      </c>
      <c r="J101" s="9" t="str">
        <f>IFERROR(MID(VLOOKUP($B101,Seqs!$A:$B,2,0),K101,1),"")</f>
        <v/>
      </c>
      <c r="K101" s="109" t="s">
        <v>23</v>
      </c>
      <c r="L101" s="9" t="str">
        <f>IFERROR(MID(VLOOKUP($B101,Seqs!$A:$B,2,0),M101,1),"")</f>
        <v>K</v>
      </c>
      <c r="M101" s="9">
        <v>65</v>
      </c>
      <c r="N101" s="9" t="str">
        <f>IFERROR(MID(VLOOKUP($B101,Seqs!$A:$B,2,0),O101,1),"")</f>
        <v>V</v>
      </c>
      <c r="O101" s="9">
        <v>95</v>
      </c>
      <c r="P101" s="9" t="str">
        <f>IFERROR(MID(VLOOKUP($B101,Seqs!$A:$B,2,0),Q101,1),"")</f>
        <v>Y</v>
      </c>
      <c r="Q101" s="9">
        <v>98</v>
      </c>
      <c r="R101" s="9" t="str">
        <f>IFERROR(MID(VLOOKUP($B101,Seqs!$A:$B,2,0),S101,1),"")</f>
        <v>F</v>
      </c>
      <c r="S101" s="9">
        <v>101</v>
      </c>
      <c r="T101" s="9" t="str">
        <f>IFERROR(MID(VLOOKUP($B101,Seqs!$A:$B,2,0),U101,1),"")</f>
        <v>G</v>
      </c>
      <c r="U101" s="9">
        <v>102</v>
      </c>
      <c r="V101" s="9" t="str">
        <f>IFERROR(MID(VLOOKUP($B101,Seqs!$A:$B,2,0),W101,1),"")</f>
        <v>Q</v>
      </c>
      <c r="W101" s="9">
        <v>137</v>
      </c>
      <c r="X101" s="9" t="str">
        <f>IFERROR(MID(VLOOKUP($B101,Seqs!$A:$B,2,0),Y101,1),"")</f>
        <v>A</v>
      </c>
      <c r="Y101" s="9">
        <v>138</v>
      </c>
      <c r="Z101" s="9" t="str">
        <f>IFERROR(MID(VLOOKUP($B101,Seqs!$A:$B,2,0),AA101,1),"")</f>
        <v>R</v>
      </c>
      <c r="AA101" s="9">
        <v>145</v>
      </c>
      <c r="AB101" s="9" t="str">
        <f>IFERROR(MID(VLOOKUP($B101,Seqs!$A:$B,2,0),AC101,1),"")</f>
        <v>T</v>
      </c>
      <c r="AC101" s="9">
        <v>146</v>
      </c>
      <c r="AD101" s="9" t="str">
        <f>IFERROR(MID(VLOOKUP($B101,Seqs!$A:$B,2,0),AE101,1),"")</f>
        <v>F</v>
      </c>
      <c r="AE101" s="9">
        <v>166</v>
      </c>
      <c r="AF101" s="9" t="str">
        <f>IFERROR(MID(VLOOKUP($B101,Seqs!$A:$B,2,0),AG101,1),"")</f>
        <v>C</v>
      </c>
      <c r="AG101" s="9">
        <v>188</v>
      </c>
      <c r="AH101" s="9" t="str">
        <f>IFERROR(MID(VLOOKUP($B101,Seqs!$A:$B,2,0),AI101,1),"")</f>
        <v>I</v>
      </c>
      <c r="AI101" s="9">
        <v>190</v>
      </c>
      <c r="AJ101" s="9" t="str">
        <f>IFERROR(MID(VLOOKUP($B101,Seqs!$A:$B,2,0),AK101,1),"")</f>
        <v>Q</v>
      </c>
      <c r="AK101" s="9">
        <v>193</v>
      </c>
      <c r="AL101" s="9" t="str">
        <f>IFERROR(MID(VLOOKUP($B101,Seqs!$A:$B,2,0),AM101,1),"")</f>
        <v>T</v>
      </c>
      <c r="AM101" s="9">
        <v>227</v>
      </c>
      <c r="AN101" s="9" t="str">
        <f>IFERROR(MID(VLOOKUP($B101,Seqs!$A:$B,2,0),AO101,1),"")</f>
        <v>N</v>
      </c>
      <c r="AO101" s="9">
        <v>367</v>
      </c>
      <c r="AP101" s="9" t="str">
        <f>IFERROR(MID(VLOOKUP($B101,Seqs!$A:$B,2,0),AQ101,1),"")</f>
        <v>G</v>
      </c>
      <c r="AQ101" s="9">
        <v>400</v>
      </c>
      <c r="AR101" s="9" t="str">
        <f>IFERROR(MID(VLOOKUP($B101,Seqs!$A:$B,2,0),AS101,1),"")</f>
        <v>L</v>
      </c>
      <c r="AS101" s="9">
        <v>407</v>
      </c>
      <c r="AT101" s="9" t="str">
        <f>IFERROR(MID(VLOOKUP($B101,Seqs!$A:$B,2,0),AU101,1),"")</f>
        <v>F</v>
      </c>
      <c r="AU101" s="9">
        <v>429</v>
      </c>
      <c r="AV101" s="9" t="str">
        <f>IFERROR(MID(VLOOKUP($B101,Seqs!$A:$B,2,0),AW101,1),"")</f>
        <v>N</v>
      </c>
      <c r="AW101" s="9">
        <v>430</v>
      </c>
      <c r="AX101" s="9" t="str">
        <f>IFERROR(MID(VLOOKUP($B101,Seqs!$A:$B,2,0),AY101,1),"")</f>
        <v>R</v>
      </c>
      <c r="AY101" s="9">
        <v>443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ref="BB101" si="870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109">
        <f t="shared" ref="BC101" si="871">_xlfn.AGGREGATE(9,6,CH101:CS101)-_xlfn.AGGREGATE(9,6,BV101:CG101)+12</f>
        <v>234</v>
      </c>
      <c r="BD101" s="40" t="s">
        <v>23</v>
      </c>
      <c r="BE101" s="9" t="s">
        <v>1370</v>
      </c>
      <c r="BF101" s="119">
        <v>3.2</v>
      </c>
      <c r="BG101" s="51" t="s">
        <v>1</v>
      </c>
      <c r="BH101" s="51" t="s">
        <v>1</v>
      </c>
      <c r="BJ101" s="111" t="s">
        <v>1283</v>
      </c>
      <c r="BK101" s="112" t="s">
        <v>1283</v>
      </c>
      <c r="BL101" s="112" t="s">
        <v>1283</v>
      </c>
      <c r="BM101" s="112" t="s">
        <v>1283</v>
      </c>
      <c r="BN101" s="112" t="s">
        <v>1283</v>
      </c>
      <c r="BO101" s="112" t="s">
        <v>1283</v>
      </c>
      <c r="BP101" s="112" t="s">
        <v>1283</v>
      </c>
      <c r="BQ101" s="112" t="s">
        <v>1283</v>
      </c>
      <c r="BR101" s="112" t="s">
        <v>1283</v>
      </c>
      <c r="BS101" s="112" t="s">
        <v>1283</v>
      </c>
      <c r="BT101" s="112" t="s">
        <v>1283</v>
      </c>
      <c r="BU101" s="112" t="s">
        <v>1283</v>
      </c>
      <c r="BV101" s="111">
        <f t="shared" ref="BV101" si="872">E101</f>
        <v>36</v>
      </c>
      <c r="BW101" s="113" t="str">
        <f t="shared" ref="BW101" si="873">I101</f>
        <v>-</v>
      </c>
      <c r="BX101" s="114">
        <f t="shared" ref="BX101" si="874">M101</f>
        <v>65</v>
      </c>
      <c r="BY101" s="113">
        <f t="shared" ref="BY101" si="875">Q101</f>
        <v>98</v>
      </c>
      <c r="BZ101" s="114">
        <f t="shared" ref="BZ101" si="876">U101</f>
        <v>102</v>
      </c>
      <c r="CA101" s="113">
        <f t="shared" ref="CA101" si="877">Y101</f>
        <v>138</v>
      </c>
      <c r="CB101" s="114">
        <f t="shared" ref="CB101" si="878">AC101</f>
        <v>146</v>
      </c>
      <c r="CC101" s="113">
        <f t="shared" ref="CC101" si="879">AG101</f>
        <v>188</v>
      </c>
      <c r="CD101" s="114">
        <f t="shared" ref="CD101" si="880">AK101</f>
        <v>193</v>
      </c>
      <c r="CE101" s="113">
        <f t="shared" ref="CE101" si="881">AO101</f>
        <v>367</v>
      </c>
      <c r="CF101" s="114">
        <f t="shared" ref="CF101" si="882">AS101</f>
        <v>407</v>
      </c>
      <c r="CG101" s="113">
        <f t="shared" ref="CG101" si="883">AW101</f>
        <v>430</v>
      </c>
      <c r="CH101" s="111">
        <f t="shared" ref="CH101" si="884">G101</f>
        <v>59</v>
      </c>
      <c r="CI101" s="113" t="str">
        <f t="shared" ref="CI101" si="885">K101</f>
        <v>-</v>
      </c>
      <c r="CJ101" s="114">
        <f t="shared" ref="CJ101" si="886">O101</f>
        <v>95</v>
      </c>
      <c r="CK101" s="114">
        <f t="shared" ref="CK101" si="887">S101</f>
        <v>101</v>
      </c>
      <c r="CL101" s="114">
        <f t="shared" ref="CL101" si="888">W101</f>
        <v>137</v>
      </c>
      <c r="CM101" s="114">
        <f t="shared" ref="CM101" si="889">AA101</f>
        <v>145</v>
      </c>
      <c r="CN101" s="114">
        <f t="shared" ref="CN101" si="890">AE101</f>
        <v>166</v>
      </c>
      <c r="CO101" s="114">
        <f t="shared" ref="CO101" si="891">AI101</f>
        <v>190</v>
      </c>
      <c r="CP101" s="114">
        <f t="shared" ref="CP101" si="892">AM101</f>
        <v>227</v>
      </c>
      <c r="CQ101" s="114">
        <f t="shared" ref="CQ101" si="893">AQ101</f>
        <v>400</v>
      </c>
      <c r="CR101" s="114">
        <f t="shared" ref="CR101" si="894">AU101</f>
        <v>429</v>
      </c>
      <c r="CS101" s="114">
        <f t="shared" ref="CS101" si="895">AY101</f>
        <v>443</v>
      </c>
      <c r="CT101" s="109" t="e">
        <f t="shared" ref="CT101" si="896">M101-K101</f>
        <v>#VALUE!</v>
      </c>
    </row>
    <row r="102" spans="1:1029" s="12" customFormat="1" x14ac:dyDescent="0.2">
      <c r="A102" s="9" t="str">
        <f t="shared" ref="A102:A103" si="897">CONCATENATE(B102,"_",C102)</f>
        <v>ada2b_human__wt</v>
      </c>
      <c r="B102" s="9" t="s">
        <v>156</v>
      </c>
      <c r="C102" s="9" t="s">
        <v>100</v>
      </c>
      <c r="D102" s="9" t="str">
        <f>IFERROR(MID(VLOOKUP($B102,Seqs!$A:$B,2,0),E102,1),"")</f>
        <v>A</v>
      </c>
      <c r="E102" s="9">
        <v>11</v>
      </c>
      <c r="F102" s="9" t="str">
        <f>IFERROR(MID(VLOOKUP($B102,Seqs!$A:$B,2,0),G102,1),"")</f>
        <v>S</v>
      </c>
      <c r="G102" s="9">
        <v>40</v>
      </c>
      <c r="H102" s="9" t="str">
        <f>IFERROR(MID(VLOOKUP($B102,Seqs!$A:$B,2,0),I102,1),"")</f>
        <v>R</v>
      </c>
      <c r="I102" s="109">
        <v>41</v>
      </c>
      <c r="J102" s="9" t="str">
        <f>IFERROR(MID(VLOOKUP($B102,Seqs!$A:$B,2,0),K102,1),"")</f>
        <v>R</v>
      </c>
      <c r="K102" s="109">
        <v>44</v>
      </c>
      <c r="L102" s="9" t="str">
        <f>IFERROR(MID(VLOOKUP($B102,Seqs!$A:$B,2,0),M102,1),"")</f>
        <v>A</v>
      </c>
      <c r="M102" s="9">
        <v>45</v>
      </c>
      <c r="N102" s="9" t="str">
        <f>IFERROR(MID(VLOOKUP($B102,Seqs!$A:$B,2,0),O102,1),"")</f>
        <v>G</v>
      </c>
      <c r="O102" s="9">
        <v>76</v>
      </c>
      <c r="P102" s="9" t="str">
        <f>IFERROR(MID(VLOOKUP($B102,Seqs!$A:$B,2,0),Q102,1),"")</f>
        <v>Y</v>
      </c>
      <c r="Q102" s="9">
        <v>77</v>
      </c>
      <c r="R102" s="9" t="str">
        <f>IFERROR(MID(VLOOKUP($B102,Seqs!$A:$B,2,0),S102,1),"")</f>
        <v>F</v>
      </c>
      <c r="S102" s="9">
        <v>80</v>
      </c>
      <c r="T102" s="9" t="str">
        <f>IFERROR(MID(VLOOKUP($B102,Seqs!$A:$B,2,0),U102,1),"")</f>
        <v>R</v>
      </c>
      <c r="U102" s="9">
        <v>81</v>
      </c>
      <c r="V102" s="9" t="str">
        <f>IFERROR(MID(VLOOKUP($B102,Seqs!$A:$B,2,0),W102,1),"")</f>
        <v>R</v>
      </c>
      <c r="W102" s="9">
        <v>116</v>
      </c>
      <c r="X102" s="9" t="str">
        <f>IFERROR(MID(VLOOKUP($B102,Seqs!$A:$B,2,0),Y102,1),"")</f>
        <v>A</v>
      </c>
      <c r="Y102" s="9">
        <v>117</v>
      </c>
      <c r="Z102" s="9" t="str">
        <f>IFERROR(MID(VLOOKUP($B102,Seqs!$A:$B,2,0),AA102,1),"")</f>
        <v>R</v>
      </c>
      <c r="AA102" s="9">
        <v>124</v>
      </c>
      <c r="AB102" s="9" t="str">
        <f>IFERROR(MID(VLOOKUP($B102,Seqs!$A:$B,2,0),AC102,1),"")</f>
        <v>T</v>
      </c>
      <c r="AC102" s="9">
        <v>125</v>
      </c>
      <c r="AD102" s="9" t="str">
        <f>IFERROR(MID(VLOOKUP($B102,Seqs!$A:$B,2,0),AE102,1),"")</f>
        <v>I</v>
      </c>
      <c r="AE102" s="9">
        <v>149</v>
      </c>
      <c r="AF102" s="9" t="str">
        <f>IFERROR(MID(VLOOKUP($B102,Seqs!$A:$B,2,0),AG102,1),"")</f>
        <v>C</v>
      </c>
      <c r="AG102" s="9">
        <v>164</v>
      </c>
      <c r="AH102" s="9" t="str">
        <f>IFERROR(MID(VLOOKUP($B102,Seqs!$A:$B,2,0),AI102,1),"")</f>
        <v>L</v>
      </c>
      <c r="AI102" s="9">
        <v>166</v>
      </c>
      <c r="AJ102" s="9" t="str">
        <f>IFERROR(MID(VLOOKUP($B102,Seqs!$A:$B,2,0),AK102,1),"")</f>
        <v>E</v>
      </c>
      <c r="AK102" s="9">
        <v>169</v>
      </c>
      <c r="AL102" s="9" t="str">
        <f>IFERROR(MID(VLOOKUP($B102,Seqs!$A:$B,2,0),AM102,1),"")</f>
        <v>A</v>
      </c>
      <c r="AM102" s="9">
        <v>209</v>
      </c>
      <c r="AN102" s="9" t="str">
        <f>IFERROR(MID(VLOOKUP($B102,Seqs!$A:$B,2,0),AO102,1),"")</f>
        <v>R</v>
      </c>
      <c r="AO102" s="9">
        <v>357</v>
      </c>
      <c r="AP102" s="9" t="str">
        <f>IFERROR(MID(VLOOKUP($B102,Seqs!$A:$B,2,0),AQ102,1),"")</f>
        <v>C</v>
      </c>
      <c r="AQ102" s="9">
        <v>394</v>
      </c>
      <c r="AR102" s="9" t="str">
        <f>IFERROR(MID(VLOOKUP($B102,Seqs!$A:$B,2,0),AS102,1),"")</f>
        <v>P</v>
      </c>
      <c r="AS102" s="9">
        <v>401</v>
      </c>
      <c r="AT102" s="9" t="str">
        <f>IFERROR(MID(VLOOKUP($B102,Seqs!$A:$B,2,0),AU102,1),"")</f>
        <v>F</v>
      </c>
      <c r="AU102" s="9">
        <v>426</v>
      </c>
      <c r="AV102" s="9" t="str">
        <f>IFERROR(MID(VLOOKUP($B102,Seqs!$A:$B,2,0),AW102,1),"")</f>
        <v>N</v>
      </c>
      <c r="AW102" s="9">
        <v>427</v>
      </c>
      <c r="AX102" s="9" t="str">
        <f>IFERROR(MID(VLOOKUP($B102,Seqs!$A:$B,2,0),AY102,1),"")</f>
        <v>C</v>
      </c>
      <c r="AY102" s="9">
        <v>439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:BB103" si="898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:BC103" si="899">_xlfn.AGGREGATE(9,6,CH102:CS102)-_xlfn.AGGREGATE(9,6,BV102:CG102)+12</f>
        <v>260</v>
      </c>
      <c r="BD102" s="40" t="s">
        <v>23</v>
      </c>
      <c r="BE102" s="9" t="s">
        <v>23</v>
      </c>
      <c r="BF102" s="119" t="s">
        <v>23</v>
      </c>
      <c r="BG102" s="51" t="s">
        <v>1</v>
      </c>
      <c r="BH102" s="51" t="s">
        <v>1</v>
      </c>
      <c r="BJ102" s="111" t="s">
        <v>1283</v>
      </c>
      <c r="BK102" s="112" t="s">
        <v>1283</v>
      </c>
      <c r="BL102" s="112" t="s">
        <v>1283</v>
      </c>
      <c r="BM102" s="112" t="s">
        <v>1283</v>
      </c>
      <c r="BN102" s="112" t="s">
        <v>1283</v>
      </c>
      <c r="BO102" s="112" t="s">
        <v>1283</v>
      </c>
      <c r="BP102" s="112" t="s">
        <v>1283</v>
      </c>
      <c r="BQ102" s="112" t="s">
        <v>1283</v>
      </c>
      <c r="BR102" s="112" t="s">
        <v>1283</v>
      </c>
      <c r="BS102" s="112" t="s">
        <v>1283</v>
      </c>
      <c r="BT102" s="112" t="s">
        <v>1283</v>
      </c>
      <c r="BU102" s="112" t="s">
        <v>1283</v>
      </c>
      <c r="BV102" s="111">
        <f t="shared" ref="BV102:BV103" si="900">E102</f>
        <v>11</v>
      </c>
      <c r="BW102" s="113">
        <f t="shared" ref="BW102:BW103" si="901">I102</f>
        <v>41</v>
      </c>
      <c r="BX102" s="114">
        <f t="shared" ref="BX102:BX103" si="902">M102</f>
        <v>45</v>
      </c>
      <c r="BY102" s="113">
        <f t="shared" ref="BY102:BY103" si="903">Q102</f>
        <v>77</v>
      </c>
      <c r="BZ102" s="114">
        <f t="shared" ref="BZ102:BZ103" si="904">U102</f>
        <v>81</v>
      </c>
      <c r="CA102" s="113">
        <f t="shared" ref="CA102:CA103" si="905">Y102</f>
        <v>117</v>
      </c>
      <c r="CB102" s="114">
        <f t="shared" ref="CB102:CB103" si="906">AC102</f>
        <v>125</v>
      </c>
      <c r="CC102" s="113">
        <f t="shared" ref="CC102:CC103" si="907">AG102</f>
        <v>164</v>
      </c>
      <c r="CD102" s="114">
        <f t="shared" ref="CD102:CD103" si="908">AK102</f>
        <v>169</v>
      </c>
      <c r="CE102" s="113">
        <f t="shared" ref="CE102:CE103" si="909">AO102</f>
        <v>357</v>
      </c>
      <c r="CF102" s="114">
        <f t="shared" ref="CF102:CF103" si="910">AS102</f>
        <v>401</v>
      </c>
      <c r="CG102" s="113">
        <f t="shared" ref="CG102:CG103" si="911">AW102</f>
        <v>427</v>
      </c>
      <c r="CH102" s="111">
        <f t="shared" ref="CH102:CH103" si="912">G102</f>
        <v>40</v>
      </c>
      <c r="CI102" s="113">
        <f t="shared" ref="CI102:CI103" si="913">K102</f>
        <v>44</v>
      </c>
      <c r="CJ102" s="114">
        <f t="shared" ref="CJ102:CJ103" si="914">O102</f>
        <v>76</v>
      </c>
      <c r="CK102" s="114">
        <f t="shared" ref="CK102:CK103" si="915">S102</f>
        <v>80</v>
      </c>
      <c r="CL102" s="114">
        <f t="shared" ref="CL102:CL103" si="916">W102</f>
        <v>116</v>
      </c>
      <c r="CM102" s="114">
        <f t="shared" ref="CM102:CM103" si="917">AA102</f>
        <v>124</v>
      </c>
      <c r="CN102" s="114">
        <f t="shared" ref="CN102:CN103" si="918">AE102</f>
        <v>149</v>
      </c>
      <c r="CO102" s="114">
        <f t="shared" ref="CO102:CO103" si="919">AI102</f>
        <v>166</v>
      </c>
      <c r="CP102" s="114">
        <f t="shared" ref="CP102:CP103" si="920">AM102</f>
        <v>209</v>
      </c>
      <c r="CQ102" s="114">
        <f t="shared" ref="CQ102:CQ103" si="921">AQ102</f>
        <v>394</v>
      </c>
      <c r="CR102" s="114">
        <f t="shared" ref="CR102:CR103" si="922">AU102</f>
        <v>426</v>
      </c>
      <c r="CS102" s="114">
        <f t="shared" ref="CS102:CS103" si="923">AY102</f>
        <v>439</v>
      </c>
      <c r="CT102" s="109">
        <f t="shared" ref="CT102:CT103" si="924">M102-K102</f>
        <v>1</v>
      </c>
    </row>
    <row r="103" spans="1:1029" s="12" customFormat="1" x14ac:dyDescent="0.2">
      <c r="A103" s="9" t="str">
        <f t="shared" si="897"/>
        <v>ada2b_human_6K41</v>
      </c>
      <c r="B103" s="9" t="s">
        <v>156</v>
      </c>
      <c r="C103" s="9" t="s">
        <v>1677</v>
      </c>
      <c r="D103" s="9" t="str">
        <f>IFERROR(MID(VLOOKUP($B103,Seqs!$A:$B,2,0),E103,1),"")</f>
        <v>A</v>
      </c>
      <c r="E103" s="9">
        <v>11</v>
      </c>
      <c r="F103" s="9" t="str">
        <f>IFERROR(MID(VLOOKUP($B103,Seqs!$A:$B,2,0),G103,1),"")</f>
        <v>T</v>
      </c>
      <c r="G103" s="9">
        <v>39</v>
      </c>
      <c r="H103" s="9" t="str">
        <f>IFERROR(MID(VLOOKUP($B103,Seqs!$A:$B,2,0),I103,1),"")</f>
        <v>R</v>
      </c>
      <c r="I103" s="109">
        <v>41</v>
      </c>
      <c r="J103" s="9" t="str">
        <f>IFERROR(MID(VLOOKUP($B103,Seqs!$A:$B,2,0),K103,1),"")</f>
        <v>R</v>
      </c>
      <c r="K103" s="109">
        <v>44</v>
      </c>
      <c r="L103" s="9" t="str">
        <f>IFERROR(MID(VLOOKUP($B103,Seqs!$A:$B,2,0),M103,1),"")</f>
        <v>A</v>
      </c>
      <c r="M103" s="9">
        <v>45</v>
      </c>
      <c r="N103" s="9" t="str">
        <f>IFERROR(MID(VLOOKUP($B103,Seqs!$A:$B,2,0),O103,1),"")</f>
        <v>L</v>
      </c>
      <c r="O103" s="9">
        <v>74</v>
      </c>
      <c r="P103" s="9" t="str">
        <f>IFERROR(MID(VLOOKUP($B103,Seqs!$A:$B,2,0),Q103,1),"")</f>
        <v/>
      </c>
      <c r="Q103" s="9" t="s">
        <v>23</v>
      </c>
      <c r="R103" s="9" t="str">
        <f>IFERROR(MID(VLOOKUP($B103,Seqs!$A:$B,2,0),S103,1),"")</f>
        <v/>
      </c>
      <c r="S103" s="9" t="s">
        <v>23</v>
      </c>
      <c r="T103" s="9" t="str">
        <f>IFERROR(MID(VLOOKUP($B103,Seqs!$A:$B,2,0),U103,1),"")</f>
        <v>C</v>
      </c>
      <c r="U103" s="9">
        <v>85</v>
      </c>
      <c r="V103" s="9" t="str">
        <f>IFERROR(MID(VLOOKUP($B103,Seqs!$A:$B,2,0),W103,1),"")</f>
        <v>R</v>
      </c>
      <c r="W103" s="9">
        <v>116</v>
      </c>
      <c r="X103" s="9" t="str">
        <f>IFERROR(MID(VLOOKUP($B103,Seqs!$A:$B,2,0),Y103,1),"")</f>
        <v>A</v>
      </c>
      <c r="Y103" s="9">
        <v>117</v>
      </c>
      <c r="Z103" s="9" t="str">
        <f>IFERROR(MID(VLOOKUP($B103,Seqs!$A:$B,2,0),AA103,1),"")</f>
        <v>R</v>
      </c>
      <c r="AA103" s="9">
        <v>124</v>
      </c>
      <c r="AB103" s="9" t="str">
        <f>IFERROR(MID(VLOOKUP($B103,Seqs!$A:$B,2,0),AC103,1),"")</f>
        <v>T</v>
      </c>
      <c r="AC103" s="9">
        <v>125</v>
      </c>
      <c r="AD103" s="9" t="str">
        <f>IFERROR(MID(VLOOKUP($B103,Seqs!$A:$B,2,0),AE103,1),"")</f>
        <v>I</v>
      </c>
      <c r="AE103" s="9">
        <v>149</v>
      </c>
      <c r="AF103" s="9" t="str">
        <f>IFERROR(MID(VLOOKUP($B103,Seqs!$A:$B,2,0),AG103,1),"")</f>
        <v>C</v>
      </c>
      <c r="AG103" s="9">
        <v>164</v>
      </c>
      <c r="AH103" s="9" t="str">
        <f>IFERROR(MID(VLOOKUP($B103,Seqs!$A:$B,2,0),AI103,1),"")</f>
        <v>L</v>
      </c>
      <c r="AI103" s="9">
        <v>166</v>
      </c>
      <c r="AJ103" s="9" t="str">
        <f>IFERROR(MID(VLOOKUP($B103,Seqs!$A:$B,2,0),AK103,1),"")</f>
        <v>A</v>
      </c>
      <c r="AK103" s="9">
        <v>170</v>
      </c>
      <c r="AL103" s="9" t="str">
        <f>IFERROR(MID(VLOOKUP($B103,Seqs!$A:$B,2,0),AM103,1),"")</f>
        <v>N</v>
      </c>
      <c r="AM103" s="9">
        <v>203</v>
      </c>
      <c r="AN103" s="9" t="str">
        <f>IFERROR(MID(VLOOKUP($B103,Seqs!$A:$B,2,0),AO103,1),"")</f>
        <v>R</v>
      </c>
      <c r="AO103" s="9">
        <v>362</v>
      </c>
      <c r="AP103" s="9" t="str">
        <f>IFERROR(MID(VLOOKUP($B103,Seqs!$A:$B,2,0),AQ103,1),"")</f>
        <v>I</v>
      </c>
      <c r="AQ103" s="9">
        <v>393</v>
      </c>
      <c r="AR103" s="9" t="str">
        <f>IFERROR(MID(VLOOKUP($B103,Seqs!$A:$B,2,0),AS103,1),"")</f>
        <v>Q</v>
      </c>
      <c r="AS103" s="9">
        <v>406</v>
      </c>
      <c r="AT103" s="9" t="str">
        <f>IFERROR(MID(VLOOKUP($B103,Seqs!$A:$B,2,0),AU103,1),"")</f>
        <v>Q</v>
      </c>
      <c r="AU103" s="9">
        <v>428</v>
      </c>
      <c r="AV103" s="9" t="str">
        <f>IFERROR(MID(VLOOKUP($B103,Seqs!$A:$B,2,0),AW103,1),"")</f>
        <v>F</v>
      </c>
      <c r="AW103" s="9">
        <v>430</v>
      </c>
      <c r="AX103" s="9" t="str">
        <f>IFERROR(MID(VLOOKUP($B103,Seqs!$A:$B,2,0),AY103,1),"")</f>
        <v>T</v>
      </c>
      <c r="AY103" s="9">
        <v>445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si="898"/>
        <v>1</v>
      </c>
      <c r="BC103" s="109">
        <f t="shared" si="899"/>
        <v>237</v>
      </c>
      <c r="BD103" s="40" t="s">
        <v>1371</v>
      </c>
      <c r="BE103" s="9" t="s">
        <v>1287</v>
      </c>
      <c r="BF103" s="119">
        <v>2.9</v>
      </c>
      <c r="BG103" s="51" t="s">
        <v>1418</v>
      </c>
      <c r="BH103" s="51" t="s">
        <v>1418</v>
      </c>
      <c r="BJ103" s="111" t="s">
        <v>1283</v>
      </c>
      <c r="BK103" s="112" t="s">
        <v>1283</v>
      </c>
      <c r="BL103" s="112" t="s">
        <v>1283</v>
      </c>
      <c r="BM103" s="112" t="s">
        <v>1283</v>
      </c>
      <c r="BN103" s="112" t="s">
        <v>1283</v>
      </c>
      <c r="BO103" s="112" t="s">
        <v>1283</v>
      </c>
      <c r="BP103" s="112" t="s">
        <v>1283</v>
      </c>
      <c r="BQ103" s="112" t="s">
        <v>1283</v>
      </c>
      <c r="BR103" s="112" t="s">
        <v>1283</v>
      </c>
      <c r="BS103" s="112" t="s">
        <v>1283</v>
      </c>
      <c r="BT103" s="112" t="s">
        <v>1283</v>
      </c>
      <c r="BU103" s="112" t="s">
        <v>1283</v>
      </c>
      <c r="BV103" s="111">
        <f t="shared" si="900"/>
        <v>11</v>
      </c>
      <c r="BW103" s="113">
        <f t="shared" si="901"/>
        <v>41</v>
      </c>
      <c r="BX103" s="114">
        <f t="shared" si="902"/>
        <v>45</v>
      </c>
      <c r="BY103" s="113" t="str">
        <f t="shared" si="903"/>
        <v>-</v>
      </c>
      <c r="BZ103" s="114">
        <f t="shared" si="904"/>
        <v>85</v>
      </c>
      <c r="CA103" s="113">
        <f t="shared" si="905"/>
        <v>117</v>
      </c>
      <c r="CB103" s="114">
        <f t="shared" si="906"/>
        <v>125</v>
      </c>
      <c r="CC103" s="113">
        <f t="shared" si="907"/>
        <v>164</v>
      </c>
      <c r="CD103" s="114">
        <f t="shared" si="908"/>
        <v>170</v>
      </c>
      <c r="CE103" s="113">
        <f t="shared" si="909"/>
        <v>362</v>
      </c>
      <c r="CF103" s="114">
        <f t="shared" si="910"/>
        <v>406</v>
      </c>
      <c r="CG103" s="113">
        <f t="shared" si="911"/>
        <v>430</v>
      </c>
      <c r="CH103" s="111">
        <f t="shared" si="912"/>
        <v>39</v>
      </c>
      <c r="CI103" s="113">
        <f t="shared" si="913"/>
        <v>44</v>
      </c>
      <c r="CJ103" s="114">
        <f t="shared" si="914"/>
        <v>74</v>
      </c>
      <c r="CK103" s="114" t="str">
        <f t="shared" si="915"/>
        <v>-</v>
      </c>
      <c r="CL103" s="114">
        <f t="shared" si="916"/>
        <v>116</v>
      </c>
      <c r="CM103" s="114">
        <f t="shared" si="917"/>
        <v>124</v>
      </c>
      <c r="CN103" s="114">
        <f t="shared" si="918"/>
        <v>149</v>
      </c>
      <c r="CO103" s="114">
        <f t="shared" si="919"/>
        <v>166</v>
      </c>
      <c r="CP103" s="114">
        <f t="shared" si="920"/>
        <v>203</v>
      </c>
      <c r="CQ103" s="114">
        <f t="shared" si="921"/>
        <v>393</v>
      </c>
      <c r="CR103" s="114">
        <f t="shared" si="922"/>
        <v>428</v>
      </c>
      <c r="CS103" s="114">
        <f t="shared" si="923"/>
        <v>445</v>
      </c>
      <c r="CT103" s="109">
        <f t="shared" si="924"/>
        <v>1</v>
      </c>
    </row>
    <row r="104" spans="1:1029" s="12" customFormat="1" x14ac:dyDescent="0.2">
      <c r="A104" s="9" t="str">
        <f t="shared" ref="A104" si="925">CONCATENATE(B104,"_",C104)</f>
        <v>ada2b_human_6K42</v>
      </c>
      <c r="B104" s="9" t="s">
        <v>156</v>
      </c>
      <c r="C104" s="9" t="s">
        <v>1678</v>
      </c>
      <c r="D104" s="9" t="str">
        <f>IFERROR(MID(VLOOKUP($B104,Seqs!$A:$B,2,0),E104,1),"")</f>
        <v>T</v>
      </c>
      <c r="E104" s="9">
        <v>12</v>
      </c>
      <c r="F104" s="9" t="str">
        <f>IFERROR(MID(VLOOKUP($B104,Seqs!$A:$B,2,0),G104,1),"")</f>
        <v>T</v>
      </c>
      <c r="G104" s="9">
        <v>39</v>
      </c>
      <c r="H104" s="9" t="str">
        <f>IFERROR(MID(VLOOKUP($B104,Seqs!$A:$B,2,0),I104,1),"")</f>
        <v>R</v>
      </c>
      <c r="I104" s="109">
        <v>41</v>
      </c>
      <c r="J104" s="9" t="str">
        <f>IFERROR(MID(VLOOKUP($B104,Seqs!$A:$B,2,0),K104,1),"")</f>
        <v>R</v>
      </c>
      <c r="K104" s="109">
        <v>44</v>
      </c>
      <c r="L104" s="9" t="str">
        <f>IFERROR(MID(VLOOKUP($B104,Seqs!$A:$B,2,0),M104,1),"")</f>
        <v>N</v>
      </c>
      <c r="M104" s="9">
        <v>48</v>
      </c>
      <c r="N104" s="9" t="str">
        <f>IFERROR(MID(VLOOKUP($B104,Seqs!$A:$B,2,0),O104,1),"")</f>
        <v>L</v>
      </c>
      <c r="O104" s="9">
        <v>74</v>
      </c>
      <c r="P104" s="9" t="str">
        <f>IFERROR(MID(VLOOKUP($B104,Seqs!$A:$B,2,0),Q104,1),"")</f>
        <v/>
      </c>
      <c r="Q104" s="9" t="s">
        <v>23</v>
      </c>
      <c r="R104" s="9" t="str">
        <f>IFERROR(MID(VLOOKUP($B104,Seqs!$A:$B,2,0),S104,1),"")</f>
        <v/>
      </c>
      <c r="S104" s="9" t="s">
        <v>23</v>
      </c>
      <c r="T104" s="9" t="str">
        <f>IFERROR(MID(VLOOKUP($B104,Seqs!$A:$B,2,0),U104,1),"")</f>
        <v>W</v>
      </c>
      <c r="U104" s="9">
        <v>84</v>
      </c>
      <c r="V104" s="9" t="str">
        <f>IFERROR(MID(VLOOKUP($B104,Seqs!$A:$B,2,0),W104,1),"")</f>
        <v>S</v>
      </c>
      <c r="W104" s="9">
        <v>115</v>
      </c>
      <c r="X104" s="9" t="str">
        <f>IFERROR(MID(VLOOKUP($B104,Seqs!$A:$B,2,0),Y104,1),"")</f>
        <v>A</v>
      </c>
      <c r="Y104" s="9">
        <v>117</v>
      </c>
      <c r="Z104" s="9" t="str">
        <f>IFERROR(MID(VLOOKUP($B104,Seqs!$A:$B,2,0),AA104,1),"")</f>
        <v>R</v>
      </c>
      <c r="AA104" s="9">
        <v>124</v>
      </c>
      <c r="AB104" s="9" t="str">
        <f>IFERROR(MID(VLOOKUP($B104,Seqs!$A:$B,2,0),AC104,1),"")</f>
        <v>T</v>
      </c>
      <c r="AC104" s="9">
        <v>125</v>
      </c>
      <c r="AD104" s="9" t="str">
        <f>IFERROR(MID(VLOOKUP($B104,Seqs!$A:$B,2,0),AE104,1),"")</f>
        <v>I</v>
      </c>
      <c r="AE104" s="9">
        <v>149</v>
      </c>
      <c r="AF104" s="9" t="str">
        <f>IFERROR(MID(VLOOKUP($B104,Seqs!$A:$B,2,0),AG104,1),"")</f>
        <v>C</v>
      </c>
      <c r="AG104" s="9">
        <v>164</v>
      </c>
      <c r="AH104" s="9" t="str">
        <f>IFERROR(MID(VLOOKUP($B104,Seqs!$A:$B,2,0),AI104,1),"")</f>
        <v>L</v>
      </c>
      <c r="AI104" s="9">
        <v>166</v>
      </c>
      <c r="AJ104" s="9" t="str">
        <f>IFERROR(MID(VLOOKUP($B104,Seqs!$A:$B,2,0),AK104,1),"")</f>
        <v>E</v>
      </c>
      <c r="AK104" s="9">
        <v>169</v>
      </c>
      <c r="AL104" s="9" t="str">
        <f>IFERROR(MID(VLOOKUP($B104,Seqs!$A:$B,2,0),AM104,1),"")</f>
        <v>N</v>
      </c>
      <c r="AM104" s="9">
        <v>203</v>
      </c>
      <c r="AN104" s="9" t="str">
        <f>IFERROR(MID(VLOOKUP($B104,Seqs!$A:$B,2,0),AO104,1),"")</f>
        <v>Q</v>
      </c>
      <c r="AO104" s="9">
        <v>359</v>
      </c>
      <c r="AP104" s="9" t="str">
        <f>IFERROR(MID(VLOOKUP($B104,Seqs!$A:$B,2,0),AQ104,1),"")</f>
        <v>H</v>
      </c>
      <c r="AQ104" s="9">
        <v>397</v>
      </c>
      <c r="AR104" s="9" t="str">
        <f>IFERROR(MID(VLOOKUP($B104,Seqs!$A:$B,2,0),AS104,1),"")</f>
        <v>F</v>
      </c>
      <c r="AS104" s="9">
        <v>407</v>
      </c>
      <c r="AT104" s="9" t="str">
        <f>IFERROR(MID(VLOOKUP($B104,Seqs!$A:$B,2,0),AU104,1),"")</f>
        <v>Q</v>
      </c>
      <c r="AU104" s="9">
        <v>428</v>
      </c>
      <c r="AV104" s="9" t="str">
        <f>IFERROR(MID(VLOOKUP($B104,Seqs!$A:$B,2,0),AW104,1),"")</f>
        <v>F</v>
      </c>
      <c r="AW104" s="9">
        <v>430</v>
      </c>
      <c r="AX104" s="9" t="str">
        <f>IFERROR(MID(VLOOKUP($B104,Seqs!$A:$B,2,0),AY104,1),"")</f>
        <v>P</v>
      </c>
      <c r="AY104" s="9">
        <v>441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ref="BB104" si="926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109">
        <f t="shared" ref="BC104" si="927">_xlfn.AGGREGATE(9,6,CH104:CS104)-_xlfn.AGGREGATE(9,6,BV104:CG104)+12</f>
        <v>236</v>
      </c>
      <c r="BD104" s="40" t="s">
        <v>23</v>
      </c>
      <c r="BE104" s="9" t="s">
        <v>1287</v>
      </c>
      <c r="BF104" s="119">
        <v>4.0999999999999996</v>
      </c>
      <c r="BG104" s="51" t="s">
        <v>1418</v>
      </c>
      <c r="BH104" s="51" t="s">
        <v>1418</v>
      </c>
      <c r="BJ104" s="111" t="s">
        <v>1283</v>
      </c>
      <c r="BK104" s="112" t="s">
        <v>1283</v>
      </c>
      <c r="BL104" s="112" t="s">
        <v>1283</v>
      </c>
      <c r="BM104" s="112" t="s">
        <v>1283</v>
      </c>
      <c r="BN104" s="112" t="s">
        <v>1283</v>
      </c>
      <c r="BO104" s="112" t="s">
        <v>1283</v>
      </c>
      <c r="BP104" s="112" t="s">
        <v>1283</v>
      </c>
      <c r="BQ104" s="112" t="s">
        <v>1283</v>
      </c>
      <c r="BR104" s="112" t="s">
        <v>1283</v>
      </c>
      <c r="BS104" s="112" t="s">
        <v>1283</v>
      </c>
      <c r="BT104" s="112" t="s">
        <v>1283</v>
      </c>
      <c r="BU104" s="112" t="s">
        <v>1283</v>
      </c>
      <c r="BV104" s="111">
        <f t="shared" ref="BV104" si="928">E104</f>
        <v>12</v>
      </c>
      <c r="BW104" s="113">
        <f t="shared" ref="BW104" si="929">I104</f>
        <v>41</v>
      </c>
      <c r="BX104" s="114">
        <f t="shared" ref="BX104" si="930">M104</f>
        <v>48</v>
      </c>
      <c r="BY104" s="113" t="str">
        <f t="shared" ref="BY104" si="931">Q104</f>
        <v>-</v>
      </c>
      <c r="BZ104" s="114">
        <f t="shared" ref="BZ104" si="932">U104</f>
        <v>84</v>
      </c>
      <c r="CA104" s="113">
        <f t="shared" ref="CA104" si="933">Y104</f>
        <v>117</v>
      </c>
      <c r="CB104" s="114">
        <f t="shared" ref="CB104" si="934">AC104</f>
        <v>125</v>
      </c>
      <c r="CC104" s="113">
        <f t="shared" ref="CC104" si="935">AG104</f>
        <v>164</v>
      </c>
      <c r="CD104" s="114">
        <f t="shared" ref="CD104" si="936">AK104</f>
        <v>169</v>
      </c>
      <c r="CE104" s="113">
        <f t="shared" ref="CE104" si="937">AO104</f>
        <v>359</v>
      </c>
      <c r="CF104" s="114">
        <f t="shared" ref="CF104" si="938">AS104</f>
        <v>407</v>
      </c>
      <c r="CG104" s="113">
        <f t="shared" ref="CG104" si="939">AW104</f>
        <v>430</v>
      </c>
      <c r="CH104" s="111">
        <f t="shared" ref="CH104" si="940">G104</f>
        <v>39</v>
      </c>
      <c r="CI104" s="113">
        <f t="shared" ref="CI104" si="941">K104</f>
        <v>44</v>
      </c>
      <c r="CJ104" s="114">
        <f t="shared" ref="CJ104" si="942">O104</f>
        <v>74</v>
      </c>
      <c r="CK104" s="114" t="str">
        <f t="shared" ref="CK104" si="943">S104</f>
        <v>-</v>
      </c>
      <c r="CL104" s="114">
        <f t="shared" ref="CL104" si="944">W104</f>
        <v>115</v>
      </c>
      <c r="CM104" s="114">
        <f t="shared" ref="CM104" si="945">AA104</f>
        <v>124</v>
      </c>
      <c r="CN104" s="114">
        <f t="shared" ref="CN104" si="946">AE104</f>
        <v>149</v>
      </c>
      <c r="CO104" s="114">
        <f t="shared" ref="CO104" si="947">AI104</f>
        <v>166</v>
      </c>
      <c r="CP104" s="114">
        <f t="shared" ref="CP104" si="948">AM104</f>
        <v>203</v>
      </c>
      <c r="CQ104" s="114">
        <f t="shared" ref="CQ104" si="949">AQ104</f>
        <v>397</v>
      </c>
      <c r="CR104" s="114">
        <f t="shared" ref="CR104" si="950">AU104</f>
        <v>428</v>
      </c>
      <c r="CS104" s="114">
        <f t="shared" ref="CS104" si="951">AY104</f>
        <v>441</v>
      </c>
      <c r="CT104" s="109">
        <f t="shared" ref="CT104" si="952">M104-K104</f>
        <v>4</v>
      </c>
    </row>
    <row r="105" spans="1:1029" s="12" customFormat="1" x14ac:dyDescent="0.2">
      <c r="A105" s="9" t="str">
        <f t="shared" ref="A105:A106" si="953">CONCATENATE(B105,"_",C105)</f>
        <v>ada2c_human__wt</v>
      </c>
      <c r="B105" s="9" t="s">
        <v>157</v>
      </c>
      <c r="C105" s="9" t="s">
        <v>100</v>
      </c>
      <c r="D105" s="9" t="str">
        <f>IFERROR(MID(VLOOKUP($B105,Seqs!$A:$B,2,0),E105,1),"")</f>
        <v>S</v>
      </c>
      <c r="E105" s="9">
        <v>47</v>
      </c>
      <c r="F105" s="9" t="str">
        <f>IFERROR(MID(VLOOKUP($B105,Seqs!$A:$B,2,0),G105,1),"")</f>
        <v>S</v>
      </c>
      <c r="G105" s="9">
        <v>79</v>
      </c>
      <c r="H105" s="9" t="str">
        <f>IFERROR(MID(VLOOKUP($B105,Seqs!$A:$B,2,0),I105,1),"")</f>
        <v>R</v>
      </c>
      <c r="I105" s="109">
        <v>80</v>
      </c>
      <c r="J105" s="9" t="str">
        <f>IFERROR(MID(VLOOKUP($B105,Seqs!$A:$B,2,0),K105,1),"")</f>
        <v>R</v>
      </c>
      <c r="K105" s="109">
        <v>83</v>
      </c>
      <c r="L105" s="9" t="str">
        <f>IFERROR(MID(VLOOKUP($B105,Seqs!$A:$B,2,0),M105,1),"")</f>
        <v>A</v>
      </c>
      <c r="M105" s="9">
        <v>84</v>
      </c>
      <c r="N105" s="9" t="str">
        <f>IFERROR(MID(VLOOKUP($B105,Seqs!$A:$B,2,0),O105,1),"")</f>
        <v>A</v>
      </c>
      <c r="O105" s="9">
        <v>115</v>
      </c>
      <c r="P105" s="9" t="str">
        <f>IFERROR(MID(VLOOKUP($B105,Seqs!$A:$B,2,0),Q105,1),"")</f>
        <v>Y</v>
      </c>
      <c r="Q105" s="9">
        <v>116</v>
      </c>
      <c r="R105" s="9" t="str">
        <f>IFERROR(MID(VLOOKUP($B105,Seqs!$A:$B,2,0),S105,1),"")</f>
        <v>F</v>
      </c>
      <c r="S105" s="9">
        <v>119</v>
      </c>
      <c r="T105" s="9" t="str">
        <f>IFERROR(MID(VLOOKUP($B105,Seqs!$A:$B,2,0),U105,1),"")</f>
        <v>G</v>
      </c>
      <c r="U105" s="9">
        <v>120</v>
      </c>
      <c r="V105" s="9" t="str">
        <f>IFERROR(MID(VLOOKUP($B105,Seqs!$A:$B,2,0),W105,1),"")</f>
        <v>Q</v>
      </c>
      <c r="W105" s="9">
        <v>155</v>
      </c>
      <c r="X105" s="9" t="str">
        <f>IFERROR(MID(VLOOKUP($B105,Seqs!$A:$B,2,0),Y105,1),"")</f>
        <v>A</v>
      </c>
      <c r="Y105" s="9">
        <v>156</v>
      </c>
      <c r="Z105" s="9" t="str">
        <f>IFERROR(MID(VLOOKUP($B105,Seqs!$A:$B,2,0),AA105,1),"")</f>
        <v>R</v>
      </c>
      <c r="AA105" s="9">
        <v>163</v>
      </c>
      <c r="AB105" s="9" t="str">
        <f>IFERROR(MID(VLOOKUP($B105,Seqs!$A:$B,2,0),AC105,1),"")</f>
        <v>T</v>
      </c>
      <c r="AC105" s="9">
        <v>164</v>
      </c>
      <c r="AD105" s="9" t="str">
        <f>IFERROR(MID(VLOOKUP($B105,Seqs!$A:$B,2,0),AE105,1),"")</f>
        <v>V</v>
      </c>
      <c r="AE105" s="9">
        <v>188</v>
      </c>
      <c r="AF105" s="9" t="str">
        <f>IFERROR(MID(VLOOKUP($B105,Seqs!$A:$B,2,0),AG105,1),"")</f>
        <v>C</v>
      </c>
      <c r="AG105" s="9">
        <v>202</v>
      </c>
      <c r="AH105" s="9" t="str">
        <f>IFERROR(MID(VLOOKUP($B105,Seqs!$A:$B,2,0),AI105,1),"")</f>
        <v>L</v>
      </c>
      <c r="AI105" s="9">
        <v>204</v>
      </c>
      <c r="AJ105" s="9" t="str">
        <f>IFERROR(MID(VLOOKUP($B105,Seqs!$A:$B,2,0),AK105,1),"")</f>
        <v>E</v>
      </c>
      <c r="AK105" s="9">
        <v>207</v>
      </c>
      <c r="AL105" s="9" t="str">
        <f>IFERROR(MID(VLOOKUP($B105,Seqs!$A:$B,2,0),AM105,1),"")</f>
        <v>K</v>
      </c>
      <c r="AM105" s="9">
        <v>247</v>
      </c>
      <c r="AN105" s="9" t="str">
        <f>IFERROR(MID(VLOOKUP($B105,Seqs!$A:$B,2,0),AO105,1),"")</f>
        <v>K</v>
      </c>
      <c r="AO105" s="9">
        <v>371</v>
      </c>
      <c r="AP105" s="9" t="str">
        <f>IFERROR(MID(VLOOKUP($B105,Seqs!$A:$B,2,0),AQ105,1),"")</f>
        <v>R</v>
      </c>
      <c r="AQ105" s="9">
        <v>409</v>
      </c>
      <c r="AR105" s="9" t="str">
        <f>IFERROR(MID(VLOOKUP($B105,Seqs!$A:$B,2,0),AS105,1),"")</f>
        <v>P</v>
      </c>
      <c r="AS105" s="9">
        <v>415</v>
      </c>
      <c r="AT105" s="9" t="str">
        <f>IFERROR(MID(VLOOKUP($B105,Seqs!$A:$B,2,0),AU105,1),"")</f>
        <v>F</v>
      </c>
      <c r="AU105" s="9">
        <v>440</v>
      </c>
      <c r="AV105" s="9" t="str">
        <f>IFERROR(MID(VLOOKUP($B105,Seqs!$A:$B,2,0),AW105,1),"")</f>
        <v>N</v>
      </c>
      <c r="AW105" s="9">
        <v>441</v>
      </c>
      <c r="AX105" s="9" t="str">
        <f>IFERROR(MID(VLOOKUP($B105,Seqs!$A:$B,2,0),AY105,1),"")</f>
        <v>F</v>
      </c>
      <c r="AY105" s="9">
        <v>453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:BB106" si="954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:BC106" si="955">_xlfn.AGGREGATE(9,6,CH105:CS105)-_xlfn.AGGREGATE(9,6,BV105:CG105)+12</f>
        <v>264</v>
      </c>
      <c r="BD105" s="40" t="s">
        <v>23</v>
      </c>
      <c r="BE105" s="9" t="s">
        <v>23</v>
      </c>
      <c r="BF105" s="119" t="s">
        <v>23</v>
      </c>
      <c r="BG105" s="51" t="s">
        <v>23</v>
      </c>
      <c r="BH105" s="51" t="s">
        <v>23</v>
      </c>
      <c r="BJ105" s="111" t="s">
        <v>1283</v>
      </c>
      <c r="BK105" s="112" t="s">
        <v>1283</v>
      </c>
      <c r="BL105" s="112" t="s">
        <v>1283</v>
      </c>
      <c r="BM105" s="112" t="s">
        <v>1283</v>
      </c>
      <c r="BN105" s="112" t="s">
        <v>1283</v>
      </c>
      <c r="BO105" s="112" t="s">
        <v>1283</v>
      </c>
      <c r="BP105" s="112" t="s">
        <v>1283</v>
      </c>
      <c r="BQ105" s="112" t="s">
        <v>1283</v>
      </c>
      <c r="BR105" s="112" t="s">
        <v>1283</v>
      </c>
      <c r="BS105" s="112" t="s">
        <v>1283</v>
      </c>
      <c r="BT105" s="112" t="s">
        <v>1283</v>
      </c>
      <c r="BU105" s="112" t="s">
        <v>1283</v>
      </c>
      <c r="BV105" s="111">
        <f t="shared" ref="BV105:BV106" si="956">E105</f>
        <v>47</v>
      </c>
      <c r="BW105" s="113">
        <f t="shared" ref="BW105:BW106" si="957">I105</f>
        <v>80</v>
      </c>
      <c r="BX105" s="114">
        <f t="shared" ref="BX105:BX106" si="958">M105</f>
        <v>84</v>
      </c>
      <c r="BY105" s="113">
        <f t="shared" ref="BY105:BY106" si="959">Q105</f>
        <v>116</v>
      </c>
      <c r="BZ105" s="114">
        <f t="shared" ref="BZ105:BZ106" si="960">U105</f>
        <v>120</v>
      </c>
      <c r="CA105" s="113">
        <f t="shared" ref="CA105:CA106" si="961">Y105</f>
        <v>156</v>
      </c>
      <c r="CB105" s="114">
        <f t="shared" ref="CB105:CB106" si="962">AC105</f>
        <v>164</v>
      </c>
      <c r="CC105" s="113">
        <f t="shared" ref="CC105:CC106" si="963">AG105</f>
        <v>202</v>
      </c>
      <c r="CD105" s="114">
        <f t="shared" ref="CD105:CD106" si="964">AK105</f>
        <v>207</v>
      </c>
      <c r="CE105" s="113">
        <f t="shared" ref="CE105:CE106" si="965">AO105</f>
        <v>371</v>
      </c>
      <c r="CF105" s="114">
        <f t="shared" ref="CF105:CF106" si="966">AS105</f>
        <v>415</v>
      </c>
      <c r="CG105" s="113">
        <f t="shared" ref="CG105:CG106" si="967">AW105</f>
        <v>441</v>
      </c>
      <c r="CH105" s="111">
        <f t="shared" ref="CH105:CH106" si="968">G105</f>
        <v>79</v>
      </c>
      <c r="CI105" s="113">
        <f t="shared" ref="CI105:CI106" si="969">K105</f>
        <v>83</v>
      </c>
      <c r="CJ105" s="114">
        <f t="shared" ref="CJ105:CJ106" si="970">O105</f>
        <v>115</v>
      </c>
      <c r="CK105" s="114">
        <f t="shared" ref="CK105:CK106" si="971">S105</f>
        <v>119</v>
      </c>
      <c r="CL105" s="114">
        <f t="shared" ref="CL105:CL106" si="972">W105</f>
        <v>155</v>
      </c>
      <c r="CM105" s="114">
        <f t="shared" ref="CM105:CM106" si="973">AA105</f>
        <v>163</v>
      </c>
      <c r="CN105" s="114">
        <f t="shared" ref="CN105:CN106" si="974">AE105</f>
        <v>188</v>
      </c>
      <c r="CO105" s="114">
        <f t="shared" ref="CO105:CO106" si="975">AI105</f>
        <v>204</v>
      </c>
      <c r="CP105" s="114">
        <f t="shared" ref="CP105:CP106" si="976">AM105</f>
        <v>247</v>
      </c>
      <c r="CQ105" s="114">
        <f t="shared" ref="CQ105:CQ106" si="977">AQ105</f>
        <v>409</v>
      </c>
      <c r="CR105" s="114">
        <f t="shared" ref="CR105:CR106" si="978">AU105</f>
        <v>440</v>
      </c>
      <c r="CS105" s="114">
        <f t="shared" ref="CS105:CS106" si="979">AY105</f>
        <v>453</v>
      </c>
      <c r="CT105" s="109">
        <f t="shared" ref="CT105:CT106" si="980">M105-K105</f>
        <v>1</v>
      </c>
    </row>
    <row r="106" spans="1:1029" s="12" customFormat="1" x14ac:dyDescent="0.2">
      <c r="A106" s="9" t="str">
        <f t="shared" si="953"/>
        <v>ada2c_human_6KUW</v>
      </c>
      <c r="B106" s="9" t="s">
        <v>157</v>
      </c>
      <c r="C106" s="9" t="s">
        <v>1679</v>
      </c>
      <c r="D106" s="9" t="str">
        <f>IFERROR(MID(VLOOKUP($B106,Seqs!$A:$B,2,0),E106,1),"")</f>
        <v>S</v>
      </c>
      <c r="E106" s="9">
        <v>47</v>
      </c>
      <c r="F106" s="9" t="str">
        <f>IFERROR(MID(VLOOKUP($B106,Seqs!$A:$B,2,0),G106,1),"")</f>
        <v>S</v>
      </c>
      <c r="G106" s="9">
        <v>79</v>
      </c>
      <c r="H106" s="9" t="str">
        <f>IFERROR(MID(VLOOKUP($B106,Seqs!$A:$B,2,0),I106,1),"")</f>
        <v>R</v>
      </c>
      <c r="I106" s="109">
        <v>80</v>
      </c>
      <c r="J106" s="9" t="str">
        <f>IFERROR(MID(VLOOKUP($B106,Seqs!$A:$B,2,0),K106,1),"")</f>
        <v>R</v>
      </c>
      <c r="K106" s="109">
        <v>83</v>
      </c>
      <c r="L106" s="9" t="str">
        <f>IFERROR(MID(VLOOKUP($B106,Seqs!$A:$B,2,0),M106,1),"")</f>
        <v>A</v>
      </c>
      <c r="M106" s="9">
        <v>84</v>
      </c>
      <c r="N106" s="9" t="str">
        <f>IFERROR(MID(VLOOKUP($B106,Seqs!$A:$B,2,0),O106,1),"")</f>
        <v>A</v>
      </c>
      <c r="O106" s="9">
        <v>115</v>
      </c>
      <c r="P106" s="9" t="str">
        <f>IFERROR(MID(VLOOKUP($B106,Seqs!$A:$B,2,0),Q106,1),"")</f>
        <v>Y</v>
      </c>
      <c r="Q106" s="9">
        <v>116</v>
      </c>
      <c r="R106" s="9" t="str">
        <f>IFERROR(MID(VLOOKUP($B106,Seqs!$A:$B,2,0),S106,1),"")</f>
        <v>F</v>
      </c>
      <c r="S106" s="9">
        <v>119</v>
      </c>
      <c r="T106" s="9" t="str">
        <f>IFERROR(MID(VLOOKUP($B106,Seqs!$A:$B,2,0),U106,1),"")</f>
        <v>G</v>
      </c>
      <c r="U106" s="9">
        <v>120</v>
      </c>
      <c r="V106" s="9" t="str">
        <f>IFERROR(MID(VLOOKUP($B106,Seqs!$A:$B,2,0),W106,1),"")</f>
        <v>Q</v>
      </c>
      <c r="W106" s="9">
        <v>155</v>
      </c>
      <c r="X106" s="9" t="str">
        <f>IFERROR(MID(VLOOKUP($B106,Seqs!$A:$B,2,0),Y106,1),"")</f>
        <v>A</v>
      </c>
      <c r="Y106" s="9">
        <v>156</v>
      </c>
      <c r="Z106" s="9" t="str">
        <f>IFERROR(MID(VLOOKUP($B106,Seqs!$A:$B,2,0),AA106,1),"")</f>
        <v>R</v>
      </c>
      <c r="AA106" s="9">
        <v>163</v>
      </c>
      <c r="AB106" s="9" t="str">
        <f>IFERROR(MID(VLOOKUP($B106,Seqs!$A:$B,2,0),AC106,1),"")</f>
        <v>T</v>
      </c>
      <c r="AC106" s="9">
        <v>164</v>
      </c>
      <c r="AD106" s="9" t="str">
        <f>IFERROR(MID(VLOOKUP($B106,Seqs!$A:$B,2,0),AE106,1),"")</f>
        <v>F</v>
      </c>
      <c r="AE106" s="9">
        <v>184</v>
      </c>
      <c r="AF106" s="9" t="str">
        <f>IFERROR(MID(VLOOKUP($B106,Seqs!$A:$B,2,0),AG106,1),"")</f>
        <v>C</v>
      </c>
      <c r="AG106" s="9">
        <v>202</v>
      </c>
      <c r="AH106" s="9" t="str">
        <f>IFERROR(MID(VLOOKUP($B106,Seqs!$A:$B,2,0),AI106,1),"")</f>
        <v>L</v>
      </c>
      <c r="AI106" s="9">
        <v>204</v>
      </c>
      <c r="AJ106" s="9" t="str">
        <f>IFERROR(MID(VLOOKUP($B106,Seqs!$A:$B,2,0),AK106,1),"")</f>
        <v>E</v>
      </c>
      <c r="AK106" s="9">
        <v>207</v>
      </c>
      <c r="AL106" s="9" t="str">
        <f>IFERROR(MID(VLOOKUP($B106,Seqs!$A:$B,2,0),AM106,1),"")</f>
        <v>R</v>
      </c>
      <c r="AM106" s="9">
        <v>240</v>
      </c>
      <c r="AN106" s="9" t="str">
        <f>IFERROR(MID(VLOOKUP($B106,Seqs!$A:$B,2,0),AO106,1),"")</f>
        <v>V</v>
      </c>
      <c r="AO106" s="9">
        <v>372</v>
      </c>
      <c r="AP106" s="9" t="str">
        <f>IFERROR(MID(VLOOKUP($B106,Seqs!$A:$B,2,0),AQ106,1),"")</f>
        <v>R</v>
      </c>
      <c r="AQ106" s="9">
        <v>409</v>
      </c>
      <c r="AR106" s="9" t="str">
        <f>IFERROR(MID(VLOOKUP($B106,Seqs!$A:$B,2,0),AS106,1),"")</f>
        <v>P</v>
      </c>
      <c r="AS106" s="9">
        <v>415</v>
      </c>
      <c r="AT106" s="9" t="str">
        <f>IFERROR(MID(VLOOKUP($B106,Seqs!$A:$B,2,0),AU106,1),"")</f>
        <v>F</v>
      </c>
      <c r="AU106" s="9">
        <v>440</v>
      </c>
      <c r="AV106" s="9" t="str">
        <f>IFERROR(MID(VLOOKUP($B106,Seqs!$A:$B,2,0),AW106,1),"")</f>
        <v>N</v>
      </c>
      <c r="AW106" s="9">
        <v>441</v>
      </c>
      <c r="AX106" s="9" t="str">
        <f>IFERROR(MID(VLOOKUP($B106,Seqs!$A:$B,2,0),AY106,1),"")</f>
        <v>F</v>
      </c>
      <c r="AY106" s="9">
        <v>453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si="954"/>
        <v>1</v>
      </c>
      <c r="BC106" s="109">
        <f t="shared" si="955"/>
        <v>252</v>
      </c>
      <c r="BD106" s="40" t="s">
        <v>1372</v>
      </c>
      <c r="BE106" s="9" t="s">
        <v>1370</v>
      </c>
      <c r="BF106" s="119">
        <v>2.8</v>
      </c>
      <c r="BG106" s="51" t="s">
        <v>1418</v>
      </c>
      <c r="BH106" s="51" t="s">
        <v>1418</v>
      </c>
      <c r="BJ106" s="111" t="s">
        <v>1283</v>
      </c>
      <c r="BK106" s="112" t="s">
        <v>1283</v>
      </c>
      <c r="BL106" s="112" t="s">
        <v>1283</v>
      </c>
      <c r="BM106" s="112" t="s">
        <v>1283</v>
      </c>
      <c r="BN106" s="112" t="s">
        <v>1283</v>
      </c>
      <c r="BO106" s="112" t="s">
        <v>1283</v>
      </c>
      <c r="BP106" s="112" t="s">
        <v>1283</v>
      </c>
      <c r="BQ106" s="112" t="s">
        <v>1283</v>
      </c>
      <c r="BR106" s="112" t="s">
        <v>1283</v>
      </c>
      <c r="BS106" s="112" t="s">
        <v>1283</v>
      </c>
      <c r="BT106" s="112" t="s">
        <v>1283</v>
      </c>
      <c r="BU106" s="112" t="s">
        <v>1283</v>
      </c>
      <c r="BV106" s="111">
        <f t="shared" si="956"/>
        <v>47</v>
      </c>
      <c r="BW106" s="113">
        <f t="shared" si="957"/>
        <v>80</v>
      </c>
      <c r="BX106" s="114">
        <f t="shared" si="958"/>
        <v>84</v>
      </c>
      <c r="BY106" s="113">
        <f t="shared" si="959"/>
        <v>116</v>
      </c>
      <c r="BZ106" s="114">
        <f t="shared" si="960"/>
        <v>120</v>
      </c>
      <c r="CA106" s="113">
        <f t="shared" si="961"/>
        <v>156</v>
      </c>
      <c r="CB106" s="114">
        <f t="shared" si="962"/>
        <v>164</v>
      </c>
      <c r="CC106" s="113">
        <f t="shared" si="963"/>
        <v>202</v>
      </c>
      <c r="CD106" s="114">
        <f t="shared" si="964"/>
        <v>207</v>
      </c>
      <c r="CE106" s="113">
        <f t="shared" si="965"/>
        <v>372</v>
      </c>
      <c r="CF106" s="114">
        <f t="shared" si="966"/>
        <v>415</v>
      </c>
      <c r="CG106" s="113">
        <f t="shared" si="967"/>
        <v>441</v>
      </c>
      <c r="CH106" s="111">
        <f t="shared" si="968"/>
        <v>79</v>
      </c>
      <c r="CI106" s="113">
        <f t="shared" si="969"/>
        <v>83</v>
      </c>
      <c r="CJ106" s="114">
        <f t="shared" si="970"/>
        <v>115</v>
      </c>
      <c r="CK106" s="114">
        <f t="shared" si="971"/>
        <v>119</v>
      </c>
      <c r="CL106" s="114">
        <f t="shared" si="972"/>
        <v>155</v>
      </c>
      <c r="CM106" s="114">
        <f t="shared" si="973"/>
        <v>163</v>
      </c>
      <c r="CN106" s="114">
        <f t="shared" si="974"/>
        <v>184</v>
      </c>
      <c r="CO106" s="114">
        <f t="shared" si="975"/>
        <v>204</v>
      </c>
      <c r="CP106" s="114">
        <f t="shared" si="976"/>
        <v>240</v>
      </c>
      <c r="CQ106" s="114">
        <f t="shared" si="977"/>
        <v>409</v>
      </c>
      <c r="CR106" s="114">
        <f t="shared" si="978"/>
        <v>440</v>
      </c>
      <c r="CS106" s="114">
        <f t="shared" si="979"/>
        <v>453</v>
      </c>
      <c r="CT106" s="109">
        <f t="shared" si="980"/>
        <v>1</v>
      </c>
    </row>
    <row r="107" spans="1:1029" x14ac:dyDescent="0.2">
      <c r="A107" s="3" t="str">
        <f t="shared" si="559"/>
        <v>adrb1_melga__wt</v>
      </c>
      <c r="B107" s="3" t="s">
        <v>907</v>
      </c>
      <c r="C107" s="3" t="s">
        <v>100</v>
      </c>
      <c r="D107" s="3" t="str">
        <f>IFERROR(MID(VLOOKUP($B107,Seqs!$A:$B,2,0),E107,1),"")</f>
        <v>A</v>
      </c>
      <c r="E107" s="3">
        <v>33</v>
      </c>
      <c r="F107" s="3" t="str">
        <f>IFERROR(MID(VLOOKUP($B107,Seqs!$A:$B,2,0),G107,1),"")</f>
        <v>T</v>
      </c>
      <c r="G107" s="3">
        <v>69</v>
      </c>
      <c r="H107" s="3" t="str">
        <f>IFERROR(MID(VLOOKUP($B107,Seqs!$A:$B,2,0),I107,1),"")</f>
        <v>Q</v>
      </c>
      <c r="I107" s="23">
        <v>70</v>
      </c>
      <c r="J107" s="3" t="str">
        <f>IFERROR(MID(VLOOKUP($B107,Seqs!$A:$B,2,0),K107,1),"")</f>
        <v>Q</v>
      </c>
      <c r="K107" s="23">
        <v>73</v>
      </c>
      <c r="L107" s="3" t="str">
        <f>IFERROR(MID(VLOOKUP($B107,Seqs!$A:$B,2,0),M107,1),"")</f>
        <v>T</v>
      </c>
      <c r="M107" s="3">
        <v>74</v>
      </c>
      <c r="N107" s="3" t="str">
        <f>IFERROR(MID(VLOOKUP($B107,Seqs!$A:$B,2,0),O107,1),"")</f>
        <v>G</v>
      </c>
      <c r="O107" s="105">
        <v>105</v>
      </c>
      <c r="P107" s="3" t="str">
        <f>IFERROR(MID(VLOOKUP($B107,Seqs!$A:$B,2,0),Q107,1),"")</f>
        <v>T</v>
      </c>
      <c r="Q107" s="3">
        <v>106</v>
      </c>
      <c r="R107" s="3" t="str">
        <f>IFERROR(MID(VLOOKUP($B107,Seqs!$A:$B,2,0),S107,1),"")</f>
        <v>W</v>
      </c>
      <c r="S107" s="3">
        <v>109</v>
      </c>
      <c r="T107" s="3" t="str">
        <f>IFERROR(MID(VLOOKUP($B107,Seqs!$A:$B,2,0),U107,1),"")</f>
        <v>G</v>
      </c>
      <c r="U107" s="3">
        <v>110</v>
      </c>
      <c r="V107" s="3" t="str">
        <f>IFERROR(MID(VLOOKUP($B107,Seqs!$A:$B,2,0),W107,1),"")</f>
        <v>S</v>
      </c>
      <c r="W107" s="3">
        <v>145</v>
      </c>
      <c r="X107" s="3" t="str">
        <f>IFERROR(MID(VLOOKUP($B107,Seqs!$A:$B,2,0),Y107,1),"")</f>
        <v>P</v>
      </c>
      <c r="Y107" s="3">
        <v>146</v>
      </c>
      <c r="Z107" s="3" t="str">
        <f>IFERROR(MID(VLOOKUP($B107,Seqs!$A:$B,2,0),AA107,1),"")</f>
        <v>M</v>
      </c>
      <c r="AA107" s="3">
        <v>153</v>
      </c>
      <c r="AB107" s="3" t="str">
        <f>IFERROR(MID(VLOOKUP($B107,Seqs!$A:$B,2,0),AC107,1),"")</f>
        <v>T</v>
      </c>
      <c r="AC107" s="9">
        <v>154</v>
      </c>
      <c r="AD107" s="3" t="str">
        <f>IFERROR(MID(VLOOKUP($B107,Seqs!$A:$B,2,0),AE107,1),"")</f>
        <v>H</v>
      </c>
      <c r="AE107" s="3">
        <v>180</v>
      </c>
      <c r="AF107" s="3" t="str">
        <f>IFERROR(MID(VLOOKUP($B107,Seqs!$A:$B,2,0),AG107,1),"")</f>
        <v>C</v>
      </c>
      <c r="AG107" s="3">
        <v>199</v>
      </c>
      <c r="AH107" s="3" t="str">
        <f>IFERROR(MID(VLOOKUP($B107,Seqs!$A:$B,2,0),AI107,1),"")</f>
        <v>F</v>
      </c>
      <c r="AI107" s="3">
        <v>201</v>
      </c>
      <c r="AJ107" s="3" t="str">
        <f>IFERROR(MID(VLOOKUP($B107,Seqs!$A:$B,2,0),AK107,1),"")</f>
        <v>N</v>
      </c>
      <c r="AK107" s="3">
        <v>204</v>
      </c>
      <c r="AL107" s="3" t="str">
        <f>IFERROR(MID(VLOOKUP($B107,Seqs!$A:$B,2,0),AM107,1),"")</f>
        <v>E</v>
      </c>
      <c r="AM107" s="3">
        <v>245</v>
      </c>
      <c r="AN107" s="3" t="str">
        <f>IFERROR(MID(VLOOKUP($B107,Seqs!$A:$B,2,0),AO107,1),"")</f>
        <v>R</v>
      </c>
      <c r="AO107" s="3">
        <v>275</v>
      </c>
      <c r="AP107" s="3" t="str">
        <f>IFERROR(MID(VLOOKUP($B107,Seqs!$A:$B,2,0),AQ107,1),"")</f>
        <v>N</v>
      </c>
      <c r="AQ107" s="3">
        <v>316</v>
      </c>
      <c r="AR107" s="3" t="str">
        <f>IFERROR(MID(VLOOKUP($B107,Seqs!$A:$B,2,0),AS107,1),"")</f>
        <v>P</v>
      </c>
      <c r="AS107" s="3">
        <v>321</v>
      </c>
      <c r="AT107" s="3" t="str">
        <f>IFERROR(MID(VLOOKUP($B107,Seqs!$A:$B,2,0),AU107,1),"")</f>
        <v>R</v>
      </c>
      <c r="AU107" s="3">
        <v>345</v>
      </c>
      <c r="AV107" s="3" t="str">
        <f>IFERROR(MID(VLOOKUP($B107,Seqs!$A:$B,2,0),AW107,1),"")</f>
        <v>S</v>
      </c>
      <c r="AW107" s="3">
        <v>346</v>
      </c>
      <c r="AX107" s="3" t="str">
        <f>IFERROR(MID(VLOOKUP($B107,Seqs!$A:$B,2,0),AY107,1),"")</f>
        <v>C</v>
      </c>
      <c r="AY107" s="3">
        <v>358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560"/>
        <v>1</v>
      </c>
      <c r="BC107" s="23">
        <f t="shared" si="225"/>
        <v>273</v>
      </c>
      <c r="BD107" s="34" t="s">
        <v>23</v>
      </c>
      <c r="BE107" s="3" t="s">
        <v>23</v>
      </c>
      <c r="BF107" s="118" t="s">
        <v>23</v>
      </c>
      <c r="BG107" s="49" t="s">
        <v>1368</v>
      </c>
      <c r="BH107" s="49" t="s">
        <v>1373</v>
      </c>
      <c r="BI107" s="3" t="s">
        <v>1161</v>
      </c>
      <c r="BJ107" s="70" t="s">
        <v>1283</v>
      </c>
      <c r="BK107" s="57" t="s">
        <v>1283</v>
      </c>
      <c r="BL107" s="57" t="s">
        <v>1283</v>
      </c>
      <c r="BM107" s="57" t="s">
        <v>1283</v>
      </c>
      <c r="BN107" s="57" t="s">
        <v>1283</v>
      </c>
      <c r="BO107" s="57" t="s">
        <v>1283</v>
      </c>
      <c r="BP107" s="57" t="s">
        <v>1283</v>
      </c>
      <c r="BQ107" s="57" t="s">
        <v>1283</v>
      </c>
      <c r="BR107" s="57" t="s">
        <v>1283</v>
      </c>
      <c r="BS107" s="57" t="s">
        <v>1283</v>
      </c>
      <c r="BT107" s="57" t="s">
        <v>1283</v>
      </c>
      <c r="BU107" s="57" t="s">
        <v>1283</v>
      </c>
      <c r="BV107" s="70">
        <f t="shared" si="226"/>
        <v>33</v>
      </c>
      <c r="BW107" s="71">
        <f t="shared" si="227"/>
        <v>70</v>
      </c>
      <c r="BX107" s="72">
        <f t="shared" si="228"/>
        <v>74</v>
      </c>
      <c r="BY107" s="71">
        <f t="shared" si="229"/>
        <v>106</v>
      </c>
      <c r="BZ107" s="72">
        <f t="shared" si="230"/>
        <v>110</v>
      </c>
      <c r="CA107" s="71">
        <f t="shared" si="231"/>
        <v>146</v>
      </c>
      <c r="CB107" s="72">
        <f t="shared" si="232"/>
        <v>154</v>
      </c>
      <c r="CC107" s="71">
        <f t="shared" si="233"/>
        <v>199</v>
      </c>
      <c r="CD107" s="72">
        <f t="shared" si="234"/>
        <v>204</v>
      </c>
      <c r="CE107" s="71">
        <f t="shared" si="235"/>
        <v>275</v>
      </c>
      <c r="CF107" s="72">
        <f t="shared" si="236"/>
        <v>321</v>
      </c>
      <c r="CG107" s="71">
        <f t="shared" si="237"/>
        <v>346</v>
      </c>
      <c r="CH107" s="70">
        <f t="shared" si="238"/>
        <v>69</v>
      </c>
      <c r="CI107" s="71">
        <f t="shared" si="239"/>
        <v>73</v>
      </c>
      <c r="CJ107" s="72">
        <f t="shared" si="240"/>
        <v>105</v>
      </c>
      <c r="CK107" s="72">
        <f t="shared" si="241"/>
        <v>109</v>
      </c>
      <c r="CL107" s="72">
        <f t="shared" si="242"/>
        <v>145</v>
      </c>
      <c r="CM107" s="72">
        <f t="shared" si="243"/>
        <v>153</v>
      </c>
      <c r="CN107" s="72">
        <f t="shared" si="244"/>
        <v>180</v>
      </c>
      <c r="CO107" s="72">
        <f t="shared" si="245"/>
        <v>201</v>
      </c>
      <c r="CP107" s="72">
        <f t="shared" si="246"/>
        <v>245</v>
      </c>
      <c r="CQ107" s="72">
        <f t="shared" si="247"/>
        <v>316</v>
      </c>
      <c r="CR107" s="72">
        <f t="shared" si="248"/>
        <v>345</v>
      </c>
      <c r="CS107" s="72">
        <f t="shared" si="249"/>
        <v>358</v>
      </c>
      <c r="CT107" s="23">
        <f t="shared" si="25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559"/>
        <v>adrb1_melga_2Y00</v>
      </c>
      <c r="B108" s="3" t="s">
        <v>907</v>
      </c>
      <c r="C108" s="3" t="s">
        <v>1018</v>
      </c>
      <c r="D108" s="3" t="str">
        <f>IFERROR(MID(VLOOKUP($B108,Seqs!$A:$B,2,0),E108,1),"")</f>
        <v>A</v>
      </c>
      <c r="E108" s="3">
        <v>33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G</v>
      </c>
      <c r="O108" s="3">
        <v>105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I</v>
      </c>
      <c r="AM108" s="3">
        <v>238</v>
      </c>
      <c r="AN108" s="3" t="str">
        <f>IFERROR(MID(VLOOKUP($B108,Seqs!$A:$B,2,0),AO108,1),"")</f>
        <v>R</v>
      </c>
      <c r="AO108" s="3">
        <v>275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60"/>
        <v>1</v>
      </c>
      <c r="BC108" s="23">
        <f t="shared" si="225"/>
        <v>266</v>
      </c>
      <c r="BD108" s="4" t="s">
        <v>23</v>
      </c>
      <c r="BE108" s="3" t="s">
        <v>1370</v>
      </c>
      <c r="BF108" s="118">
        <v>2.5</v>
      </c>
      <c r="BG108" s="49" t="s">
        <v>1373</v>
      </c>
      <c r="BH108" s="49" t="s">
        <v>1373</v>
      </c>
      <c r="BI108" s="1"/>
      <c r="BJ108" s="70" t="s">
        <v>1283</v>
      </c>
      <c r="BK108" s="57" t="s">
        <v>1283</v>
      </c>
      <c r="BL108" s="57" t="s">
        <v>1283</v>
      </c>
      <c r="BM108" s="57" t="s">
        <v>1283</v>
      </c>
      <c r="BN108" s="57" t="s">
        <v>1283</v>
      </c>
      <c r="BO108" s="57" t="s">
        <v>1283</v>
      </c>
      <c r="BP108" s="57" t="s">
        <v>1283</v>
      </c>
      <c r="BQ108" s="57" t="s">
        <v>1283</v>
      </c>
      <c r="BR108" s="57" t="s">
        <v>1283</v>
      </c>
      <c r="BS108" s="57" t="s">
        <v>1283</v>
      </c>
      <c r="BT108" s="57" t="s">
        <v>1283</v>
      </c>
      <c r="BU108" s="57" t="s">
        <v>1283</v>
      </c>
      <c r="BV108" s="70">
        <f t="shared" si="226"/>
        <v>33</v>
      </c>
      <c r="BW108" s="71">
        <f t="shared" si="227"/>
        <v>70</v>
      </c>
      <c r="BX108" s="72">
        <f t="shared" si="228"/>
        <v>74</v>
      </c>
      <c r="BY108" s="71">
        <f t="shared" si="229"/>
        <v>106</v>
      </c>
      <c r="BZ108" s="72">
        <f t="shared" si="230"/>
        <v>110</v>
      </c>
      <c r="CA108" s="71">
        <f t="shared" si="231"/>
        <v>146</v>
      </c>
      <c r="CB108" s="72">
        <f t="shared" si="232"/>
        <v>154</v>
      </c>
      <c r="CC108" s="71">
        <f t="shared" si="233"/>
        <v>199</v>
      </c>
      <c r="CD108" s="72">
        <f t="shared" si="234"/>
        <v>204</v>
      </c>
      <c r="CE108" s="71">
        <f t="shared" si="235"/>
        <v>275</v>
      </c>
      <c r="CF108" s="72">
        <f t="shared" si="236"/>
        <v>321</v>
      </c>
      <c r="CG108" s="71">
        <f t="shared" si="237"/>
        <v>346</v>
      </c>
      <c r="CH108" s="70">
        <f t="shared" si="238"/>
        <v>69</v>
      </c>
      <c r="CI108" s="71">
        <f t="shared" si="239"/>
        <v>73</v>
      </c>
      <c r="CJ108" s="72">
        <f t="shared" si="240"/>
        <v>105</v>
      </c>
      <c r="CK108" s="72">
        <f t="shared" si="241"/>
        <v>109</v>
      </c>
      <c r="CL108" s="72">
        <f t="shared" si="242"/>
        <v>145</v>
      </c>
      <c r="CM108" s="72">
        <f t="shared" si="243"/>
        <v>153</v>
      </c>
      <c r="CN108" s="72">
        <f t="shared" si="244"/>
        <v>180</v>
      </c>
      <c r="CO108" s="72">
        <f t="shared" si="245"/>
        <v>201</v>
      </c>
      <c r="CP108" s="72">
        <f t="shared" si="246"/>
        <v>238</v>
      </c>
      <c r="CQ108" s="72">
        <f t="shared" si="247"/>
        <v>316</v>
      </c>
      <c r="CR108" s="72">
        <f t="shared" si="248"/>
        <v>345</v>
      </c>
      <c r="CS108" s="72">
        <f t="shared" si="249"/>
        <v>358</v>
      </c>
      <c r="CT108" s="23">
        <f t="shared" si="25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59"/>
        <v>adrb1_melga_2Y02</v>
      </c>
      <c r="B109" s="3" t="s">
        <v>907</v>
      </c>
      <c r="C109" s="3" t="s">
        <v>1019</v>
      </c>
      <c r="D109" s="3" t="str">
        <f>IFERROR(MID(VLOOKUP($B109,Seqs!$A:$B,2,0),E109,1),"")</f>
        <v>A</v>
      </c>
      <c r="E109" s="3">
        <v>33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G</v>
      </c>
      <c r="O109" s="3">
        <v>105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I</v>
      </c>
      <c r="AM109" s="3">
        <v>238</v>
      </c>
      <c r="AN109" s="3" t="str">
        <f>IFERROR(MID(VLOOKUP($B109,Seqs!$A:$B,2,0),AO109,1),"")</f>
        <v>R</v>
      </c>
      <c r="AO109" s="3">
        <v>275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60"/>
        <v>1</v>
      </c>
      <c r="BC109" s="23">
        <f t="shared" si="225"/>
        <v>266</v>
      </c>
      <c r="BD109" s="4" t="s">
        <v>23</v>
      </c>
      <c r="BE109" s="3" t="s">
        <v>1370</v>
      </c>
      <c r="BF109" s="118">
        <v>2.6</v>
      </c>
      <c r="BG109" s="49" t="s">
        <v>1373</v>
      </c>
      <c r="BH109" s="49" t="s">
        <v>1373</v>
      </c>
      <c r="BI109" s="1"/>
      <c r="BJ109" s="70" t="s">
        <v>1283</v>
      </c>
      <c r="BK109" s="57" t="s">
        <v>1283</v>
      </c>
      <c r="BL109" s="57" t="s">
        <v>1283</v>
      </c>
      <c r="BM109" s="57" t="s">
        <v>1283</v>
      </c>
      <c r="BN109" s="57" t="s">
        <v>1283</v>
      </c>
      <c r="BO109" s="57" t="s">
        <v>1283</v>
      </c>
      <c r="BP109" s="57" t="s">
        <v>1283</v>
      </c>
      <c r="BQ109" s="57" t="s">
        <v>1283</v>
      </c>
      <c r="BR109" s="57" t="s">
        <v>1283</v>
      </c>
      <c r="BS109" s="57" t="s">
        <v>1283</v>
      </c>
      <c r="BT109" s="57" t="s">
        <v>1283</v>
      </c>
      <c r="BU109" s="57" t="s">
        <v>1283</v>
      </c>
      <c r="BV109" s="70">
        <f t="shared" si="226"/>
        <v>33</v>
      </c>
      <c r="BW109" s="71">
        <f t="shared" si="227"/>
        <v>70</v>
      </c>
      <c r="BX109" s="72">
        <f t="shared" si="228"/>
        <v>74</v>
      </c>
      <c r="BY109" s="71">
        <f t="shared" si="229"/>
        <v>106</v>
      </c>
      <c r="BZ109" s="72">
        <f t="shared" si="230"/>
        <v>110</v>
      </c>
      <c r="CA109" s="71">
        <f t="shared" si="231"/>
        <v>146</v>
      </c>
      <c r="CB109" s="72">
        <f t="shared" si="232"/>
        <v>154</v>
      </c>
      <c r="CC109" s="71">
        <f t="shared" si="233"/>
        <v>199</v>
      </c>
      <c r="CD109" s="72">
        <f t="shared" si="234"/>
        <v>204</v>
      </c>
      <c r="CE109" s="71">
        <f t="shared" si="235"/>
        <v>275</v>
      </c>
      <c r="CF109" s="72">
        <f t="shared" si="236"/>
        <v>321</v>
      </c>
      <c r="CG109" s="71">
        <f t="shared" si="237"/>
        <v>346</v>
      </c>
      <c r="CH109" s="70">
        <f t="shared" si="238"/>
        <v>69</v>
      </c>
      <c r="CI109" s="71">
        <f t="shared" si="239"/>
        <v>73</v>
      </c>
      <c r="CJ109" s="72">
        <f t="shared" si="240"/>
        <v>105</v>
      </c>
      <c r="CK109" s="72">
        <f t="shared" si="241"/>
        <v>109</v>
      </c>
      <c r="CL109" s="72">
        <f t="shared" si="242"/>
        <v>145</v>
      </c>
      <c r="CM109" s="72">
        <f t="shared" si="243"/>
        <v>153</v>
      </c>
      <c r="CN109" s="72">
        <f t="shared" si="244"/>
        <v>180</v>
      </c>
      <c r="CO109" s="72">
        <f t="shared" si="245"/>
        <v>201</v>
      </c>
      <c r="CP109" s="72">
        <f t="shared" si="246"/>
        <v>238</v>
      </c>
      <c r="CQ109" s="72">
        <f t="shared" si="247"/>
        <v>316</v>
      </c>
      <c r="CR109" s="72">
        <f t="shared" si="248"/>
        <v>345</v>
      </c>
      <c r="CS109" s="72">
        <f t="shared" si="249"/>
        <v>358</v>
      </c>
      <c r="CT109" s="23">
        <f t="shared" si="25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59"/>
        <v>adrb1_melga_2Y03</v>
      </c>
      <c r="B110" s="3" t="s">
        <v>907</v>
      </c>
      <c r="C110" s="3" t="s">
        <v>1020</v>
      </c>
      <c r="D110" s="3" t="str">
        <f>IFERROR(MID(VLOOKUP($B110,Seqs!$A:$B,2,0),E110,1),"")</f>
        <v>A</v>
      </c>
      <c r="E110" s="3">
        <v>33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G</v>
      </c>
      <c r="O110" s="3">
        <v>105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I</v>
      </c>
      <c r="AM110" s="3">
        <v>238</v>
      </c>
      <c r="AN110" s="3" t="str">
        <f>IFERROR(MID(VLOOKUP($B110,Seqs!$A:$B,2,0),AO110,1),"")</f>
        <v>R</v>
      </c>
      <c r="AO110" s="3">
        <v>275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C</v>
      </c>
      <c r="AY110" s="3">
        <v>358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60"/>
        <v>1</v>
      </c>
      <c r="BC110" s="23">
        <f t="shared" si="225"/>
        <v>266</v>
      </c>
      <c r="BD110" s="4" t="s">
        <v>23</v>
      </c>
      <c r="BE110" s="3" t="s">
        <v>1370</v>
      </c>
      <c r="BF110" s="118">
        <v>2.85</v>
      </c>
      <c r="BG110" s="49" t="s">
        <v>1373</v>
      </c>
      <c r="BH110" s="49" t="s">
        <v>1373</v>
      </c>
      <c r="BI110" s="1"/>
      <c r="BJ110" s="70" t="s">
        <v>1283</v>
      </c>
      <c r="BK110" s="57" t="s">
        <v>1283</v>
      </c>
      <c r="BL110" s="57" t="s">
        <v>1283</v>
      </c>
      <c r="BM110" s="57" t="s">
        <v>1283</v>
      </c>
      <c r="BN110" s="57" t="s">
        <v>1283</v>
      </c>
      <c r="BO110" s="57" t="s">
        <v>1283</v>
      </c>
      <c r="BP110" s="57" t="s">
        <v>1283</v>
      </c>
      <c r="BQ110" s="57" t="s">
        <v>1283</v>
      </c>
      <c r="BR110" s="57" t="s">
        <v>1283</v>
      </c>
      <c r="BS110" s="57" t="s">
        <v>1283</v>
      </c>
      <c r="BT110" s="57" t="s">
        <v>1283</v>
      </c>
      <c r="BU110" s="57" t="s">
        <v>1283</v>
      </c>
      <c r="BV110" s="70">
        <f t="shared" si="226"/>
        <v>33</v>
      </c>
      <c r="BW110" s="71">
        <f t="shared" si="227"/>
        <v>70</v>
      </c>
      <c r="BX110" s="72">
        <f t="shared" si="228"/>
        <v>74</v>
      </c>
      <c r="BY110" s="71">
        <f t="shared" si="229"/>
        <v>106</v>
      </c>
      <c r="BZ110" s="72">
        <f t="shared" si="230"/>
        <v>110</v>
      </c>
      <c r="CA110" s="71">
        <f t="shared" si="231"/>
        <v>146</v>
      </c>
      <c r="CB110" s="72">
        <f t="shared" si="232"/>
        <v>154</v>
      </c>
      <c r="CC110" s="71">
        <f t="shared" si="233"/>
        <v>199</v>
      </c>
      <c r="CD110" s="72">
        <f t="shared" si="234"/>
        <v>204</v>
      </c>
      <c r="CE110" s="71">
        <f t="shared" si="235"/>
        <v>275</v>
      </c>
      <c r="CF110" s="72">
        <f t="shared" si="236"/>
        <v>321</v>
      </c>
      <c r="CG110" s="71">
        <f t="shared" si="237"/>
        <v>346</v>
      </c>
      <c r="CH110" s="70">
        <f t="shared" si="238"/>
        <v>69</v>
      </c>
      <c r="CI110" s="71">
        <f t="shared" si="239"/>
        <v>73</v>
      </c>
      <c r="CJ110" s="72">
        <f t="shared" si="240"/>
        <v>105</v>
      </c>
      <c r="CK110" s="72">
        <f t="shared" si="241"/>
        <v>109</v>
      </c>
      <c r="CL110" s="72">
        <f t="shared" si="242"/>
        <v>145</v>
      </c>
      <c r="CM110" s="72">
        <f t="shared" si="243"/>
        <v>153</v>
      </c>
      <c r="CN110" s="72">
        <f t="shared" si="244"/>
        <v>180</v>
      </c>
      <c r="CO110" s="72">
        <f t="shared" si="245"/>
        <v>201</v>
      </c>
      <c r="CP110" s="72">
        <f t="shared" si="246"/>
        <v>238</v>
      </c>
      <c r="CQ110" s="72">
        <f t="shared" si="247"/>
        <v>316</v>
      </c>
      <c r="CR110" s="72">
        <f t="shared" si="248"/>
        <v>345</v>
      </c>
      <c r="CS110" s="72">
        <f t="shared" si="249"/>
        <v>358</v>
      </c>
      <c r="CT110" s="23">
        <f t="shared" si="25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adrb1_melga_2Y04</v>
      </c>
      <c r="B111" s="3" t="s">
        <v>907</v>
      </c>
      <c r="C111" s="3" t="s">
        <v>1021</v>
      </c>
      <c r="D111" s="3" t="str">
        <f>IFERROR(MID(VLOOKUP($B111,Seqs!$A:$B,2,0),E111,1),"")</f>
        <v>A</v>
      </c>
      <c r="E111" s="3">
        <v>33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G</v>
      </c>
      <c r="O111" s="3">
        <v>105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I</v>
      </c>
      <c r="AM111" s="3">
        <v>238</v>
      </c>
      <c r="AN111" s="3" t="str">
        <f>IFERROR(MID(VLOOKUP($B111,Seqs!$A:$B,2,0),AO111,1),"")</f>
        <v>R</v>
      </c>
      <c r="AO111" s="3">
        <v>275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225"/>
        <v>266</v>
      </c>
      <c r="BD111" s="4" t="s">
        <v>23</v>
      </c>
      <c r="BE111" s="3" t="s">
        <v>1370</v>
      </c>
      <c r="BF111" s="118">
        <v>3.05</v>
      </c>
      <c r="BG111" s="49" t="s">
        <v>1373</v>
      </c>
      <c r="BH111" s="49" t="s">
        <v>1373</v>
      </c>
      <c r="BI111" s="1"/>
      <c r="BJ111" s="70" t="s">
        <v>1283</v>
      </c>
      <c r="BK111" s="57" t="s">
        <v>1283</v>
      </c>
      <c r="BL111" s="57" t="s">
        <v>1283</v>
      </c>
      <c r="BM111" s="57" t="s">
        <v>1283</v>
      </c>
      <c r="BN111" s="57" t="s">
        <v>1283</v>
      </c>
      <c r="BO111" s="57" t="s">
        <v>1283</v>
      </c>
      <c r="BP111" s="57" t="s">
        <v>1283</v>
      </c>
      <c r="BQ111" s="57" t="s">
        <v>1283</v>
      </c>
      <c r="BR111" s="57" t="s">
        <v>1283</v>
      </c>
      <c r="BS111" s="57" t="s">
        <v>1283</v>
      </c>
      <c r="BT111" s="57" t="s">
        <v>1283</v>
      </c>
      <c r="BU111" s="57" t="s">
        <v>1283</v>
      </c>
      <c r="BV111" s="70">
        <f t="shared" si="226"/>
        <v>33</v>
      </c>
      <c r="BW111" s="71">
        <f t="shared" si="227"/>
        <v>70</v>
      </c>
      <c r="BX111" s="72">
        <f t="shared" si="228"/>
        <v>74</v>
      </c>
      <c r="BY111" s="71">
        <f t="shared" si="229"/>
        <v>106</v>
      </c>
      <c r="BZ111" s="72">
        <f t="shared" si="230"/>
        <v>110</v>
      </c>
      <c r="CA111" s="71">
        <f t="shared" si="231"/>
        <v>146</v>
      </c>
      <c r="CB111" s="72">
        <f t="shared" si="232"/>
        <v>154</v>
      </c>
      <c r="CC111" s="71">
        <f t="shared" si="233"/>
        <v>199</v>
      </c>
      <c r="CD111" s="72">
        <f t="shared" si="234"/>
        <v>204</v>
      </c>
      <c r="CE111" s="71">
        <f t="shared" si="235"/>
        <v>275</v>
      </c>
      <c r="CF111" s="72">
        <f t="shared" si="236"/>
        <v>321</v>
      </c>
      <c r="CG111" s="71">
        <f t="shared" si="237"/>
        <v>346</v>
      </c>
      <c r="CH111" s="70">
        <f t="shared" si="238"/>
        <v>69</v>
      </c>
      <c r="CI111" s="71">
        <f t="shared" si="239"/>
        <v>73</v>
      </c>
      <c r="CJ111" s="72">
        <f t="shared" si="240"/>
        <v>105</v>
      </c>
      <c r="CK111" s="72">
        <f t="shared" si="241"/>
        <v>109</v>
      </c>
      <c r="CL111" s="72">
        <f t="shared" si="242"/>
        <v>145</v>
      </c>
      <c r="CM111" s="72">
        <f t="shared" si="243"/>
        <v>153</v>
      </c>
      <c r="CN111" s="72">
        <f t="shared" si="244"/>
        <v>180</v>
      </c>
      <c r="CO111" s="72">
        <f t="shared" si="245"/>
        <v>201</v>
      </c>
      <c r="CP111" s="72">
        <f t="shared" si="246"/>
        <v>238</v>
      </c>
      <c r="CQ111" s="72">
        <f t="shared" si="247"/>
        <v>316</v>
      </c>
      <c r="CR111" s="72">
        <f t="shared" si="248"/>
        <v>345</v>
      </c>
      <c r="CS111" s="72">
        <f t="shared" si="249"/>
        <v>358</v>
      </c>
      <c r="CT111" s="23">
        <f t="shared" si="25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559"/>
        <v>adrb1_melga_2YCW</v>
      </c>
      <c r="B112" s="3" t="s">
        <v>907</v>
      </c>
      <c r="C112" s="3" t="s">
        <v>1022</v>
      </c>
      <c r="D112" s="3" t="str">
        <f>IFERROR(MID(VLOOKUP($B112,Seqs!$A:$B,2,0),E112,1),"")</f>
        <v>S</v>
      </c>
      <c r="E112" s="3">
        <v>37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G</v>
      </c>
      <c r="O112" s="3">
        <v>105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9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K</v>
      </c>
      <c r="AM112" s="3">
        <v>240</v>
      </c>
      <c r="AN112" s="3" t="str">
        <f>IFERROR(MID(VLOOKUP($B112,Seqs!$A:$B,2,0),AO112,1),"")</f>
        <v>L</v>
      </c>
      <c r="AO112" s="3">
        <v>289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C</v>
      </c>
      <c r="AY112" s="3">
        <v>358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225"/>
        <v>250</v>
      </c>
      <c r="BD112" s="4" t="s">
        <v>23</v>
      </c>
      <c r="BE112" s="3" t="s">
        <v>1370</v>
      </c>
      <c r="BF112" s="118">
        <v>3</v>
      </c>
      <c r="BG112" s="49" t="s">
        <v>1373</v>
      </c>
      <c r="BH112" s="49" t="s">
        <v>1373</v>
      </c>
      <c r="BI112" s="1"/>
      <c r="BJ112" s="70" t="s">
        <v>1283</v>
      </c>
      <c r="BK112" s="57" t="s">
        <v>1283</v>
      </c>
      <c r="BL112" s="57" t="s">
        <v>1283</v>
      </c>
      <c r="BM112" s="57" t="s">
        <v>1283</v>
      </c>
      <c r="BN112" s="57" t="s">
        <v>1283</v>
      </c>
      <c r="BO112" s="57" t="s">
        <v>1283</v>
      </c>
      <c r="BP112" s="57" t="s">
        <v>1283</v>
      </c>
      <c r="BQ112" s="57" t="s">
        <v>1283</v>
      </c>
      <c r="BR112" s="57" t="s">
        <v>1283</v>
      </c>
      <c r="BS112" s="57" t="s">
        <v>1283</v>
      </c>
      <c r="BT112" s="57" t="s">
        <v>1283</v>
      </c>
      <c r="BU112" s="57" t="s">
        <v>1283</v>
      </c>
      <c r="BV112" s="70">
        <f t="shared" si="226"/>
        <v>37</v>
      </c>
      <c r="BW112" s="71">
        <f t="shared" si="227"/>
        <v>70</v>
      </c>
      <c r="BX112" s="72">
        <f t="shared" si="228"/>
        <v>74</v>
      </c>
      <c r="BY112" s="71">
        <f t="shared" si="229"/>
        <v>106</v>
      </c>
      <c r="BZ112" s="72">
        <f t="shared" si="230"/>
        <v>110</v>
      </c>
      <c r="CA112" s="71">
        <f t="shared" si="231"/>
        <v>146</v>
      </c>
      <c r="CB112" s="72">
        <f t="shared" si="232"/>
        <v>154</v>
      </c>
      <c r="CC112" s="71">
        <f t="shared" si="233"/>
        <v>199</v>
      </c>
      <c r="CD112" s="72">
        <f t="shared" si="234"/>
        <v>204</v>
      </c>
      <c r="CE112" s="71">
        <f t="shared" si="235"/>
        <v>289</v>
      </c>
      <c r="CF112" s="72">
        <f t="shared" si="236"/>
        <v>321</v>
      </c>
      <c r="CG112" s="71">
        <f t="shared" si="237"/>
        <v>346</v>
      </c>
      <c r="CH112" s="70">
        <f t="shared" si="238"/>
        <v>69</v>
      </c>
      <c r="CI112" s="71">
        <f t="shared" si="239"/>
        <v>73</v>
      </c>
      <c r="CJ112" s="72">
        <f t="shared" si="240"/>
        <v>105</v>
      </c>
      <c r="CK112" s="72">
        <f t="shared" si="241"/>
        <v>109</v>
      </c>
      <c r="CL112" s="72">
        <f t="shared" si="242"/>
        <v>145</v>
      </c>
      <c r="CM112" s="72">
        <f t="shared" si="243"/>
        <v>153</v>
      </c>
      <c r="CN112" s="72">
        <f t="shared" si="244"/>
        <v>180</v>
      </c>
      <c r="CO112" s="72">
        <f t="shared" si="245"/>
        <v>201</v>
      </c>
      <c r="CP112" s="72">
        <f t="shared" si="246"/>
        <v>240</v>
      </c>
      <c r="CQ112" s="72">
        <f t="shared" si="247"/>
        <v>316</v>
      </c>
      <c r="CR112" s="72">
        <f t="shared" si="248"/>
        <v>345</v>
      </c>
      <c r="CS112" s="72">
        <f t="shared" si="249"/>
        <v>358</v>
      </c>
      <c r="CT112" s="23">
        <f t="shared" si="25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adrb1_melga_2YCZ</v>
      </c>
      <c r="B113" s="3" t="s">
        <v>907</v>
      </c>
      <c r="C113" s="3" t="s">
        <v>1023</v>
      </c>
      <c r="D113" s="3" t="str">
        <f>IFERROR(MID(VLOOKUP($B113,Seqs!$A:$B,2,0),E113,1),"")</f>
        <v>A</v>
      </c>
      <c r="E113" s="3">
        <v>33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G</v>
      </c>
      <c r="O113" s="3">
        <v>105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9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K</v>
      </c>
      <c r="AM113" s="3">
        <v>240</v>
      </c>
      <c r="AN113" s="3" t="str">
        <f>IFERROR(MID(VLOOKUP($B113,Seqs!$A:$B,2,0),AO113,1),"")</f>
        <v>A</v>
      </c>
      <c r="AO113" s="3">
        <v>288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C</v>
      </c>
      <c r="AY113" s="3">
        <v>358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225"/>
        <v>255</v>
      </c>
      <c r="BD113" s="16" t="s">
        <v>23</v>
      </c>
      <c r="BE113" s="3" t="s">
        <v>1370</v>
      </c>
      <c r="BF113" s="118">
        <v>3.65</v>
      </c>
      <c r="BG113" s="49" t="s">
        <v>1373</v>
      </c>
      <c r="BH113" s="49" t="s">
        <v>1373</v>
      </c>
      <c r="BI113" s="1"/>
      <c r="BJ113" s="70" t="s">
        <v>1283</v>
      </c>
      <c r="BK113" s="57" t="s">
        <v>1283</v>
      </c>
      <c r="BL113" s="57" t="s">
        <v>1283</v>
      </c>
      <c r="BM113" s="57" t="s">
        <v>1283</v>
      </c>
      <c r="BN113" s="57" t="s">
        <v>1283</v>
      </c>
      <c r="BO113" s="57" t="s">
        <v>1283</v>
      </c>
      <c r="BP113" s="57" t="s">
        <v>1283</v>
      </c>
      <c r="BQ113" s="57" t="s">
        <v>1283</v>
      </c>
      <c r="BR113" s="57" t="s">
        <v>1283</v>
      </c>
      <c r="BS113" s="57" t="s">
        <v>1283</v>
      </c>
      <c r="BT113" s="57" t="s">
        <v>1283</v>
      </c>
      <c r="BU113" s="57" t="s">
        <v>1283</v>
      </c>
      <c r="BV113" s="70">
        <f t="shared" si="226"/>
        <v>33</v>
      </c>
      <c r="BW113" s="71">
        <f t="shared" si="227"/>
        <v>70</v>
      </c>
      <c r="BX113" s="72">
        <f t="shared" si="228"/>
        <v>74</v>
      </c>
      <c r="BY113" s="71">
        <f t="shared" si="229"/>
        <v>106</v>
      </c>
      <c r="BZ113" s="72">
        <f t="shared" si="230"/>
        <v>110</v>
      </c>
      <c r="CA113" s="71">
        <f t="shared" si="231"/>
        <v>146</v>
      </c>
      <c r="CB113" s="72">
        <f t="shared" si="232"/>
        <v>154</v>
      </c>
      <c r="CC113" s="71">
        <f t="shared" si="233"/>
        <v>199</v>
      </c>
      <c r="CD113" s="72">
        <f t="shared" si="234"/>
        <v>204</v>
      </c>
      <c r="CE113" s="71">
        <f t="shared" si="235"/>
        <v>288</v>
      </c>
      <c r="CF113" s="72">
        <f t="shared" si="236"/>
        <v>321</v>
      </c>
      <c r="CG113" s="71">
        <f t="shared" si="237"/>
        <v>346</v>
      </c>
      <c r="CH113" s="70">
        <f t="shared" si="238"/>
        <v>69</v>
      </c>
      <c r="CI113" s="71">
        <f t="shared" si="239"/>
        <v>73</v>
      </c>
      <c r="CJ113" s="72">
        <f t="shared" si="240"/>
        <v>105</v>
      </c>
      <c r="CK113" s="72">
        <f t="shared" si="241"/>
        <v>109</v>
      </c>
      <c r="CL113" s="72">
        <f t="shared" si="242"/>
        <v>145</v>
      </c>
      <c r="CM113" s="72">
        <f t="shared" si="243"/>
        <v>153</v>
      </c>
      <c r="CN113" s="72">
        <f t="shared" si="244"/>
        <v>180</v>
      </c>
      <c r="CO113" s="72">
        <f t="shared" si="245"/>
        <v>201</v>
      </c>
      <c r="CP113" s="72">
        <f t="shared" si="246"/>
        <v>240</v>
      </c>
      <c r="CQ113" s="72">
        <f t="shared" si="247"/>
        <v>316</v>
      </c>
      <c r="CR113" s="72">
        <f t="shared" si="248"/>
        <v>345</v>
      </c>
      <c r="CS113" s="72">
        <f t="shared" si="249"/>
        <v>358</v>
      </c>
      <c r="CT113" s="23">
        <f t="shared" si="25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adrb1_melga_3ZPQ</v>
      </c>
      <c r="B114" s="3" t="s">
        <v>907</v>
      </c>
      <c r="C114" s="3" t="s">
        <v>1033</v>
      </c>
      <c r="D114" s="3" t="str">
        <f>IFERROR(MID(VLOOKUP($B114,Seqs!$A:$B,2,0),E114,1),"")</f>
        <v>A</v>
      </c>
      <c r="E114" s="3">
        <v>33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G</v>
      </c>
      <c r="O114" s="3">
        <v>105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9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I</v>
      </c>
      <c r="AM114" s="3">
        <v>238</v>
      </c>
      <c r="AN114" s="3" t="str">
        <f>IFERROR(MID(VLOOKUP($B114,Seqs!$A:$B,2,0),AO114,1),"")</f>
        <v>R</v>
      </c>
      <c r="AO114" s="3">
        <v>275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C</v>
      </c>
      <c r="AY114" s="3">
        <v>358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225"/>
        <v>266</v>
      </c>
      <c r="BD114" s="4" t="s">
        <v>23</v>
      </c>
      <c r="BE114" s="3" t="s">
        <v>1370</v>
      </c>
      <c r="BF114" s="118">
        <v>2.8</v>
      </c>
      <c r="BG114" s="49" t="s">
        <v>1373</v>
      </c>
      <c r="BH114" s="49" t="s">
        <v>1373</v>
      </c>
      <c r="BI114" s="1"/>
      <c r="BJ114" s="70" t="s">
        <v>1283</v>
      </c>
      <c r="BK114" s="57" t="s">
        <v>1283</v>
      </c>
      <c r="BL114" s="57" t="s">
        <v>1283</v>
      </c>
      <c r="BM114" s="57" t="s">
        <v>1283</v>
      </c>
      <c r="BN114" s="57" t="s">
        <v>1283</v>
      </c>
      <c r="BO114" s="57" t="s">
        <v>1283</v>
      </c>
      <c r="BP114" s="57" t="s">
        <v>1283</v>
      </c>
      <c r="BQ114" s="57" t="s">
        <v>1283</v>
      </c>
      <c r="BR114" s="57" t="s">
        <v>1283</v>
      </c>
      <c r="BS114" s="57" t="s">
        <v>1283</v>
      </c>
      <c r="BT114" s="57" t="s">
        <v>1283</v>
      </c>
      <c r="BU114" s="57" t="s">
        <v>1283</v>
      </c>
      <c r="BV114" s="70">
        <f t="shared" si="226"/>
        <v>33</v>
      </c>
      <c r="BW114" s="71">
        <f t="shared" si="227"/>
        <v>70</v>
      </c>
      <c r="BX114" s="72">
        <f t="shared" si="228"/>
        <v>74</v>
      </c>
      <c r="BY114" s="71">
        <f t="shared" si="229"/>
        <v>106</v>
      </c>
      <c r="BZ114" s="72">
        <f t="shared" si="230"/>
        <v>110</v>
      </c>
      <c r="CA114" s="71">
        <f t="shared" si="231"/>
        <v>146</v>
      </c>
      <c r="CB114" s="72">
        <f t="shared" si="232"/>
        <v>154</v>
      </c>
      <c r="CC114" s="71">
        <f t="shared" si="233"/>
        <v>199</v>
      </c>
      <c r="CD114" s="72">
        <f t="shared" si="234"/>
        <v>204</v>
      </c>
      <c r="CE114" s="71">
        <f t="shared" si="235"/>
        <v>275</v>
      </c>
      <c r="CF114" s="72">
        <f t="shared" si="236"/>
        <v>321</v>
      </c>
      <c r="CG114" s="71">
        <f t="shared" si="237"/>
        <v>346</v>
      </c>
      <c r="CH114" s="70">
        <f t="shared" si="238"/>
        <v>69</v>
      </c>
      <c r="CI114" s="71">
        <f t="shared" si="239"/>
        <v>73</v>
      </c>
      <c r="CJ114" s="72">
        <f t="shared" si="240"/>
        <v>105</v>
      </c>
      <c r="CK114" s="72">
        <f t="shared" si="241"/>
        <v>109</v>
      </c>
      <c r="CL114" s="72">
        <f t="shared" si="242"/>
        <v>145</v>
      </c>
      <c r="CM114" s="72">
        <f t="shared" si="243"/>
        <v>153</v>
      </c>
      <c r="CN114" s="72">
        <f t="shared" si="244"/>
        <v>180</v>
      </c>
      <c r="CO114" s="72">
        <f t="shared" si="245"/>
        <v>201</v>
      </c>
      <c r="CP114" s="72">
        <f t="shared" si="246"/>
        <v>238</v>
      </c>
      <c r="CQ114" s="72">
        <f t="shared" si="247"/>
        <v>316</v>
      </c>
      <c r="CR114" s="72">
        <f t="shared" si="248"/>
        <v>345</v>
      </c>
      <c r="CS114" s="72">
        <f t="shared" si="249"/>
        <v>358</v>
      </c>
      <c r="CT114" s="23">
        <f t="shared" si="25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adrb1_melga_3ZPR</v>
      </c>
      <c r="B115" s="3" t="s">
        <v>907</v>
      </c>
      <c r="C115" s="3" t="s">
        <v>1034</v>
      </c>
      <c r="D115" s="3" t="str">
        <f>IFERROR(MID(VLOOKUP($B115,Seqs!$A:$B,2,0),E115,1),"")</f>
        <v>A</v>
      </c>
      <c r="E115" s="3">
        <v>33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G</v>
      </c>
      <c r="O115" s="3">
        <v>105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9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I</v>
      </c>
      <c r="AM115" s="3">
        <v>238</v>
      </c>
      <c r="AN115" s="3" t="str">
        <f>IFERROR(MID(VLOOKUP($B115,Seqs!$A:$B,2,0),AO115,1),"")</f>
        <v>R</v>
      </c>
      <c r="AO115" s="3">
        <v>275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C</v>
      </c>
      <c r="AY115" s="3">
        <v>358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225"/>
        <v>266</v>
      </c>
      <c r="BD115" s="4" t="s">
        <v>23</v>
      </c>
      <c r="BE115" s="3" t="s">
        <v>1370</v>
      </c>
      <c r="BF115" s="118">
        <v>2.7</v>
      </c>
      <c r="BG115" s="49" t="s">
        <v>1373</v>
      </c>
      <c r="BH115" s="49" t="s">
        <v>1373</v>
      </c>
      <c r="BI115" s="1"/>
      <c r="BJ115" s="70" t="s">
        <v>1283</v>
      </c>
      <c r="BK115" s="57" t="s">
        <v>1283</v>
      </c>
      <c r="BL115" s="57" t="s">
        <v>1283</v>
      </c>
      <c r="BM115" s="57" t="s">
        <v>1283</v>
      </c>
      <c r="BN115" s="57" t="s">
        <v>1283</v>
      </c>
      <c r="BO115" s="57" t="s">
        <v>1283</v>
      </c>
      <c r="BP115" s="57" t="s">
        <v>1283</v>
      </c>
      <c r="BQ115" s="57" t="s">
        <v>1283</v>
      </c>
      <c r="BR115" s="57" t="s">
        <v>1283</v>
      </c>
      <c r="BS115" s="57" t="s">
        <v>1283</v>
      </c>
      <c r="BT115" s="57" t="s">
        <v>1283</v>
      </c>
      <c r="BU115" s="57" t="s">
        <v>1283</v>
      </c>
      <c r="BV115" s="70">
        <f t="shared" si="226"/>
        <v>33</v>
      </c>
      <c r="BW115" s="71">
        <f t="shared" si="227"/>
        <v>70</v>
      </c>
      <c r="BX115" s="72">
        <f t="shared" si="228"/>
        <v>74</v>
      </c>
      <c r="BY115" s="71">
        <f t="shared" si="229"/>
        <v>106</v>
      </c>
      <c r="BZ115" s="72">
        <f t="shared" si="230"/>
        <v>110</v>
      </c>
      <c r="CA115" s="71">
        <f t="shared" si="231"/>
        <v>146</v>
      </c>
      <c r="CB115" s="72">
        <f t="shared" si="232"/>
        <v>154</v>
      </c>
      <c r="CC115" s="71">
        <f t="shared" si="233"/>
        <v>199</v>
      </c>
      <c r="CD115" s="72">
        <f t="shared" si="234"/>
        <v>204</v>
      </c>
      <c r="CE115" s="71">
        <f t="shared" si="235"/>
        <v>275</v>
      </c>
      <c r="CF115" s="72">
        <f t="shared" si="236"/>
        <v>321</v>
      </c>
      <c r="CG115" s="71">
        <f t="shared" si="237"/>
        <v>346</v>
      </c>
      <c r="CH115" s="70">
        <f t="shared" si="238"/>
        <v>69</v>
      </c>
      <c r="CI115" s="71">
        <f t="shared" si="239"/>
        <v>73</v>
      </c>
      <c r="CJ115" s="72">
        <f t="shared" si="240"/>
        <v>105</v>
      </c>
      <c r="CK115" s="72">
        <f t="shared" si="241"/>
        <v>109</v>
      </c>
      <c r="CL115" s="72">
        <f t="shared" si="242"/>
        <v>145</v>
      </c>
      <c r="CM115" s="72">
        <f t="shared" si="243"/>
        <v>153</v>
      </c>
      <c r="CN115" s="72">
        <f t="shared" si="244"/>
        <v>180</v>
      </c>
      <c r="CO115" s="72">
        <f t="shared" si="245"/>
        <v>201</v>
      </c>
      <c r="CP115" s="72">
        <f t="shared" si="246"/>
        <v>238</v>
      </c>
      <c r="CQ115" s="72">
        <f t="shared" si="247"/>
        <v>316</v>
      </c>
      <c r="CR115" s="72">
        <f t="shared" si="248"/>
        <v>345</v>
      </c>
      <c r="CS115" s="72">
        <f t="shared" si="249"/>
        <v>358</v>
      </c>
      <c r="CT115" s="23">
        <f t="shared" si="25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559"/>
        <v>adrb1_melga_4AMI</v>
      </c>
      <c r="B116" s="3" t="s">
        <v>907</v>
      </c>
      <c r="C116" s="3" t="s">
        <v>1035</v>
      </c>
      <c r="D116" s="3" t="str">
        <f>IFERROR(MID(VLOOKUP($B116,Seqs!$A:$B,2,0),E116,1),"")</f>
        <v>A</v>
      </c>
      <c r="E116" s="3">
        <v>33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G</v>
      </c>
      <c r="O116" s="3">
        <v>105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9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E</v>
      </c>
      <c r="AM116" s="3">
        <v>236</v>
      </c>
      <c r="AN116" s="3" t="str">
        <f>IFERROR(MID(VLOOKUP($B116,Seqs!$A:$B,2,0),AO116,1),"")</f>
        <v>A</v>
      </c>
      <c r="AO116" s="3">
        <v>288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C</v>
      </c>
      <c r="AY116" s="3">
        <v>358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60"/>
        <v>1</v>
      </c>
      <c r="BC116" s="23">
        <f t="shared" si="225"/>
        <v>251</v>
      </c>
      <c r="BD116" s="4" t="s">
        <v>23</v>
      </c>
      <c r="BE116" s="3" t="s">
        <v>1370</v>
      </c>
      <c r="BF116" s="118">
        <v>3.2</v>
      </c>
      <c r="BG116" s="49" t="s">
        <v>1373</v>
      </c>
      <c r="BH116" s="49" t="s">
        <v>1373</v>
      </c>
      <c r="BI116" s="1"/>
      <c r="BJ116" s="70" t="s">
        <v>1283</v>
      </c>
      <c r="BK116" s="57" t="s">
        <v>1283</v>
      </c>
      <c r="BL116" s="57" t="s">
        <v>1283</v>
      </c>
      <c r="BM116" s="57" t="s">
        <v>1283</v>
      </c>
      <c r="BN116" s="57" t="s">
        <v>1283</v>
      </c>
      <c r="BO116" s="57" t="s">
        <v>1283</v>
      </c>
      <c r="BP116" s="57" t="s">
        <v>1283</v>
      </c>
      <c r="BQ116" s="57" t="s">
        <v>1283</v>
      </c>
      <c r="BR116" s="57" t="s">
        <v>1283</v>
      </c>
      <c r="BS116" s="57" t="s">
        <v>1283</v>
      </c>
      <c r="BT116" s="57" t="s">
        <v>1283</v>
      </c>
      <c r="BU116" s="57" t="s">
        <v>1283</v>
      </c>
      <c r="BV116" s="70">
        <f t="shared" si="226"/>
        <v>33</v>
      </c>
      <c r="BW116" s="71">
        <f t="shared" si="227"/>
        <v>70</v>
      </c>
      <c r="BX116" s="72">
        <f t="shared" si="228"/>
        <v>74</v>
      </c>
      <c r="BY116" s="71">
        <f t="shared" si="229"/>
        <v>106</v>
      </c>
      <c r="BZ116" s="72">
        <f t="shared" si="230"/>
        <v>110</v>
      </c>
      <c r="CA116" s="71">
        <f t="shared" si="231"/>
        <v>146</v>
      </c>
      <c r="CB116" s="72">
        <f t="shared" si="232"/>
        <v>154</v>
      </c>
      <c r="CC116" s="71">
        <f t="shared" si="233"/>
        <v>199</v>
      </c>
      <c r="CD116" s="72">
        <f t="shared" si="234"/>
        <v>204</v>
      </c>
      <c r="CE116" s="71">
        <f t="shared" si="235"/>
        <v>288</v>
      </c>
      <c r="CF116" s="72">
        <f t="shared" si="236"/>
        <v>321</v>
      </c>
      <c r="CG116" s="71">
        <f t="shared" si="237"/>
        <v>346</v>
      </c>
      <c r="CH116" s="70">
        <f t="shared" si="238"/>
        <v>69</v>
      </c>
      <c r="CI116" s="71">
        <f t="shared" si="239"/>
        <v>73</v>
      </c>
      <c r="CJ116" s="72">
        <f t="shared" si="240"/>
        <v>105</v>
      </c>
      <c r="CK116" s="72">
        <f t="shared" si="241"/>
        <v>109</v>
      </c>
      <c r="CL116" s="72">
        <f t="shared" si="242"/>
        <v>145</v>
      </c>
      <c r="CM116" s="72">
        <f t="shared" si="243"/>
        <v>153</v>
      </c>
      <c r="CN116" s="72">
        <f t="shared" si="244"/>
        <v>180</v>
      </c>
      <c r="CO116" s="72">
        <f t="shared" si="245"/>
        <v>201</v>
      </c>
      <c r="CP116" s="72">
        <f t="shared" si="246"/>
        <v>236</v>
      </c>
      <c r="CQ116" s="72">
        <f t="shared" si="247"/>
        <v>316</v>
      </c>
      <c r="CR116" s="72">
        <f t="shared" si="248"/>
        <v>345</v>
      </c>
      <c r="CS116" s="72">
        <f t="shared" si="249"/>
        <v>358</v>
      </c>
      <c r="CT116" s="23">
        <f t="shared" si="25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59"/>
        <v>adrb1_melga_4AMJ</v>
      </c>
      <c r="B117" s="3" t="s">
        <v>907</v>
      </c>
      <c r="C117" s="3" t="s">
        <v>1036</v>
      </c>
      <c r="D117" s="3" t="str">
        <f>IFERROR(MID(VLOOKUP($B117,Seqs!$A:$B,2,0),E117,1),"")</f>
        <v>A</v>
      </c>
      <c r="E117" s="3">
        <v>33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G</v>
      </c>
      <c r="O117" s="3">
        <v>105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9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I</v>
      </c>
      <c r="AM117" s="3">
        <v>238</v>
      </c>
      <c r="AN117" s="3" t="str">
        <f>IFERROR(MID(VLOOKUP($B117,Seqs!$A:$B,2,0),AO117,1),"")</f>
        <v>R</v>
      </c>
      <c r="AO117" s="3">
        <v>275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R</v>
      </c>
      <c r="AU117" s="3">
        <v>345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C</v>
      </c>
      <c r="AY117" s="3">
        <v>358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60"/>
        <v>1</v>
      </c>
      <c r="BC117" s="23">
        <f t="shared" si="225"/>
        <v>266</v>
      </c>
      <c r="BD117" s="2" t="s">
        <v>1372</v>
      </c>
      <c r="BE117" s="3" t="s">
        <v>1370</v>
      </c>
      <c r="BF117" s="118">
        <v>2.2999999999999998</v>
      </c>
      <c r="BG117" s="49" t="s">
        <v>1373</v>
      </c>
      <c r="BH117" s="49" t="s">
        <v>1373</v>
      </c>
      <c r="BI117" s="1"/>
      <c r="BJ117" s="70" t="s">
        <v>1283</v>
      </c>
      <c r="BK117" s="57" t="s">
        <v>1283</v>
      </c>
      <c r="BL117" s="57" t="s">
        <v>1283</v>
      </c>
      <c r="BM117" s="57" t="s">
        <v>1283</v>
      </c>
      <c r="BN117" s="57" t="s">
        <v>1283</v>
      </c>
      <c r="BO117" s="57" t="s">
        <v>1283</v>
      </c>
      <c r="BP117" s="57" t="s">
        <v>1283</v>
      </c>
      <c r="BQ117" s="57" t="s">
        <v>1283</v>
      </c>
      <c r="BR117" s="57" t="s">
        <v>1283</v>
      </c>
      <c r="BS117" s="57" t="s">
        <v>1283</v>
      </c>
      <c r="BT117" s="57" t="s">
        <v>1283</v>
      </c>
      <c r="BU117" s="57" t="s">
        <v>1283</v>
      </c>
      <c r="BV117" s="70">
        <f t="shared" si="226"/>
        <v>33</v>
      </c>
      <c r="BW117" s="71">
        <f t="shared" si="227"/>
        <v>70</v>
      </c>
      <c r="BX117" s="72">
        <f t="shared" si="228"/>
        <v>74</v>
      </c>
      <c r="BY117" s="71">
        <f t="shared" si="229"/>
        <v>106</v>
      </c>
      <c r="BZ117" s="72">
        <f t="shared" si="230"/>
        <v>110</v>
      </c>
      <c r="CA117" s="71">
        <f t="shared" si="231"/>
        <v>146</v>
      </c>
      <c r="CB117" s="72">
        <f t="shared" si="232"/>
        <v>154</v>
      </c>
      <c r="CC117" s="71">
        <f t="shared" si="233"/>
        <v>199</v>
      </c>
      <c r="CD117" s="72">
        <f t="shared" si="234"/>
        <v>204</v>
      </c>
      <c r="CE117" s="71">
        <f t="shared" si="235"/>
        <v>275</v>
      </c>
      <c r="CF117" s="72">
        <f t="shared" si="236"/>
        <v>321</v>
      </c>
      <c r="CG117" s="71">
        <f t="shared" si="237"/>
        <v>346</v>
      </c>
      <c r="CH117" s="70">
        <f t="shared" si="238"/>
        <v>69</v>
      </c>
      <c r="CI117" s="71">
        <f t="shared" si="239"/>
        <v>73</v>
      </c>
      <c r="CJ117" s="72">
        <f t="shared" si="240"/>
        <v>105</v>
      </c>
      <c r="CK117" s="72">
        <f t="shared" si="241"/>
        <v>109</v>
      </c>
      <c r="CL117" s="72">
        <f t="shared" si="242"/>
        <v>145</v>
      </c>
      <c r="CM117" s="72">
        <f t="shared" si="243"/>
        <v>153</v>
      </c>
      <c r="CN117" s="72">
        <f t="shared" si="244"/>
        <v>180</v>
      </c>
      <c r="CO117" s="72">
        <f t="shared" si="245"/>
        <v>201</v>
      </c>
      <c r="CP117" s="72">
        <f t="shared" si="246"/>
        <v>238</v>
      </c>
      <c r="CQ117" s="72">
        <f t="shared" si="247"/>
        <v>316</v>
      </c>
      <c r="CR117" s="72">
        <f t="shared" si="248"/>
        <v>345</v>
      </c>
      <c r="CS117" s="72">
        <f t="shared" si="249"/>
        <v>358</v>
      </c>
      <c r="CT117" s="23">
        <f t="shared" si="250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59"/>
        <v>adrb1_melga_4BVN</v>
      </c>
      <c r="B118" s="3" t="s">
        <v>907</v>
      </c>
      <c r="C118" s="3" t="s">
        <v>82</v>
      </c>
      <c r="D118" s="3" t="str">
        <f>IFERROR(MID(VLOOKUP($B118,Seqs!$A:$B,2,0),E118,1),"")</f>
        <v>S</v>
      </c>
      <c r="E118" s="3">
        <v>37</v>
      </c>
      <c r="F118" s="3" t="str">
        <f>IFERROR(MID(VLOOKUP($B118,Seqs!$A:$B,2,0),G118,1),"")</f>
        <v>T</v>
      </c>
      <c r="G118" s="3">
        <v>69</v>
      </c>
      <c r="H118" s="3" t="str">
        <f>IFERROR(MID(VLOOKUP($B118,Seqs!$A:$B,2,0),I118,1),"")</f>
        <v>Q</v>
      </c>
      <c r="I118" s="23">
        <v>70</v>
      </c>
      <c r="J118" s="3" t="str">
        <f>IFERROR(MID(VLOOKUP($B118,Seqs!$A:$B,2,0),K118,1),"")</f>
        <v>Q</v>
      </c>
      <c r="K118" s="23">
        <v>73</v>
      </c>
      <c r="L118" s="3" t="str">
        <f>IFERROR(MID(VLOOKUP($B118,Seqs!$A:$B,2,0),M118,1),"")</f>
        <v>T</v>
      </c>
      <c r="M118" s="3">
        <v>74</v>
      </c>
      <c r="N118" s="3" t="str">
        <f>IFERROR(MID(VLOOKUP($B118,Seqs!$A:$B,2,0),O118,1),"")</f>
        <v>G</v>
      </c>
      <c r="O118" s="3">
        <v>105</v>
      </c>
      <c r="P118" s="3" t="str">
        <f>IFERROR(MID(VLOOKUP($B118,Seqs!$A:$B,2,0),Q118,1),"")</f>
        <v>T</v>
      </c>
      <c r="Q118" s="3">
        <v>106</v>
      </c>
      <c r="R118" s="3" t="str">
        <f>IFERROR(MID(VLOOKUP($B118,Seqs!$A:$B,2,0),S118,1),"")</f>
        <v>W</v>
      </c>
      <c r="S118" s="3">
        <v>109</v>
      </c>
      <c r="T118" s="3" t="str">
        <f>IFERROR(MID(VLOOKUP($B118,Seqs!$A:$B,2,0),U118,1),"")</f>
        <v>G</v>
      </c>
      <c r="U118" s="3">
        <v>110</v>
      </c>
      <c r="V118" s="3" t="str">
        <f>IFERROR(MID(VLOOKUP($B118,Seqs!$A:$B,2,0),W118,1),"")</f>
        <v>S</v>
      </c>
      <c r="W118" s="3">
        <v>145</v>
      </c>
      <c r="X118" s="3" t="str">
        <f>IFERROR(MID(VLOOKUP($B118,Seqs!$A:$B,2,0),Y118,1),"")</f>
        <v>P</v>
      </c>
      <c r="Y118" s="3">
        <v>146</v>
      </c>
      <c r="Z118" s="3" t="str">
        <f>IFERROR(MID(VLOOKUP($B118,Seqs!$A:$B,2,0),AA118,1),"")</f>
        <v>M</v>
      </c>
      <c r="AA118" s="3">
        <v>153</v>
      </c>
      <c r="AB118" s="3" t="str">
        <f>IFERROR(MID(VLOOKUP($B118,Seqs!$A:$B,2,0),AC118,1),"")</f>
        <v>T</v>
      </c>
      <c r="AC118" s="9">
        <v>154</v>
      </c>
      <c r="AD118" s="3" t="str">
        <f>IFERROR(MID(VLOOKUP($B118,Seqs!$A:$B,2,0),AE118,1),"")</f>
        <v>H</v>
      </c>
      <c r="AE118" s="3">
        <v>180</v>
      </c>
      <c r="AF118" s="3" t="str">
        <f>IFERROR(MID(VLOOKUP($B118,Seqs!$A:$B,2,0),AG118,1),"")</f>
        <v>C</v>
      </c>
      <c r="AG118" s="3">
        <v>199</v>
      </c>
      <c r="AH118" s="3" t="str">
        <f>IFERROR(MID(VLOOKUP($B118,Seqs!$A:$B,2,0),AI118,1),"")</f>
        <v>F</v>
      </c>
      <c r="AI118" s="3">
        <v>201</v>
      </c>
      <c r="AJ118" s="3" t="str">
        <f>IFERROR(MID(VLOOKUP($B118,Seqs!$A:$B,2,0),AK118,1),"")</f>
        <v>N</v>
      </c>
      <c r="AK118" s="3">
        <v>204</v>
      </c>
      <c r="AL118" s="3" t="str">
        <f>IFERROR(MID(VLOOKUP($B118,Seqs!$A:$B,2,0),AM118,1),"")</f>
        <v>R</v>
      </c>
      <c r="AM118" s="3">
        <v>239</v>
      </c>
      <c r="AN118" s="3" t="str">
        <f>IFERROR(MID(VLOOKUP($B118,Seqs!$A:$B,2,0),AO118,1),"")</f>
        <v>R</v>
      </c>
      <c r="AO118" s="3">
        <v>279</v>
      </c>
      <c r="AP118" s="3" t="str">
        <f>IFERROR(MID(VLOOKUP($B118,Seqs!$A:$B,2,0),AQ118,1),"")</f>
        <v>N</v>
      </c>
      <c r="AQ118" s="3">
        <v>316</v>
      </c>
      <c r="AR118" s="3" t="str">
        <f>IFERROR(MID(VLOOKUP($B118,Seqs!$A:$B,2,0),AS118,1),"")</f>
        <v>P</v>
      </c>
      <c r="AS118" s="3">
        <v>321</v>
      </c>
      <c r="AT118" s="3" t="str">
        <f>IFERROR(MID(VLOOKUP($B118,Seqs!$A:$B,2,0),AU118,1),"")</f>
        <v>R</v>
      </c>
      <c r="AU118" s="3">
        <v>345</v>
      </c>
      <c r="AV118" s="3" t="str">
        <f>IFERROR(MID(VLOOKUP($B118,Seqs!$A:$B,2,0),AW118,1),"")</f>
        <v>S</v>
      </c>
      <c r="AW118" s="3">
        <v>346</v>
      </c>
      <c r="AX118" s="3" t="str">
        <f>IFERROR(MID(VLOOKUP($B118,Seqs!$A:$B,2,0),AY118,1),"")</f>
        <v>C</v>
      </c>
      <c r="AY118" s="3">
        <v>358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60"/>
        <v>1</v>
      </c>
      <c r="BC118" s="23">
        <f t="shared" ref="BC118:BC208" si="981">_xlfn.AGGREGATE(9,6,CH118:CS118)-_xlfn.AGGREGATE(9,6,BV118:CG118)+12</f>
        <v>259</v>
      </c>
      <c r="BD118" s="4" t="s">
        <v>23</v>
      </c>
      <c r="BE118" s="3" t="s">
        <v>1370</v>
      </c>
      <c r="BF118" s="118">
        <v>2.1</v>
      </c>
      <c r="BG118" s="49" t="s">
        <v>1373</v>
      </c>
      <c r="BH118" s="49" t="s">
        <v>1373</v>
      </c>
      <c r="BI118" s="1"/>
      <c r="BJ118" s="70" t="s">
        <v>1283</v>
      </c>
      <c r="BK118" s="57" t="s">
        <v>1283</v>
      </c>
      <c r="BL118" s="57" t="s">
        <v>1283</v>
      </c>
      <c r="BM118" s="57" t="s">
        <v>1283</v>
      </c>
      <c r="BN118" s="57" t="s">
        <v>1283</v>
      </c>
      <c r="BO118" s="57" t="s">
        <v>1283</v>
      </c>
      <c r="BP118" s="57" t="s">
        <v>1283</v>
      </c>
      <c r="BQ118" s="57" t="s">
        <v>1283</v>
      </c>
      <c r="BR118" s="57" t="s">
        <v>1283</v>
      </c>
      <c r="BS118" s="57" t="s">
        <v>1283</v>
      </c>
      <c r="BT118" s="57" t="s">
        <v>1283</v>
      </c>
      <c r="BU118" s="57" t="s">
        <v>1283</v>
      </c>
      <c r="BV118" s="70">
        <f t="shared" ref="BV118:BV208" si="982">E118</f>
        <v>37</v>
      </c>
      <c r="BW118" s="71">
        <f t="shared" ref="BW118:BW208" si="983">I118</f>
        <v>70</v>
      </c>
      <c r="BX118" s="72">
        <f t="shared" ref="BX118:BX208" si="984">M118</f>
        <v>74</v>
      </c>
      <c r="BY118" s="71">
        <f t="shared" ref="BY118:BY208" si="985">Q118</f>
        <v>106</v>
      </c>
      <c r="BZ118" s="72">
        <f t="shared" ref="BZ118:BZ208" si="986">U118</f>
        <v>110</v>
      </c>
      <c r="CA118" s="71">
        <f t="shared" ref="CA118:CA208" si="987">Y118</f>
        <v>146</v>
      </c>
      <c r="CB118" s="72">
        <f t="shared" ref="CB118:CB208" si="988">AC118</f>
        <v>154</v>
      </c>
      <c r="CC118" s="71">
        <f t="shared" ref="CC118:CC208" si="989">AG118</f>
        <v>199</v>
      </c>
      <c r="CD118" s="72">
        <f t="shared" ref="CD118:CD208" si="990">AK118</f>
        <v>204</v>
      </c>
      <c r="CE118" s="71">
        <f t="shared" ref="CE118:CE208" si="991">AO118</f>
        <v>279</v>
      </c>
      <c r="CF118" s="72">
        <f t="shared" ref="CF118:CF208" si="992">AS118</f>
        <v>321</v>
      </c>
      <c r="CG118" s="71">
        <f t="shared" ref="CG118:CG208" si="993">AW118</f>
        <v>346</v>
      </c>
      <c r="CH118" s="70">
        <f t="shared" ref="CH118:CH208" si="994">G118</f>
        <v>69</v>
      </c>
      <c r="CI118" s="71">
        <f t="shared" ref="CI118:CI208" si="995">K118</f>
        <v>73</v>
      </c>
      <c r="CJ118" s="72">
        <f t="shared" ref="CJ118:CJ208" si="996">O118</f>
        <v>105</v>
      </c>
      <c r="CK118" s="72">
        <f t="shared" ref="CK118:CK208" si="997">S118</f>
        <v>109</v>
      </c>
      <c r="CL118" s="72">
        <f t="shared" ref="CL118:CL208" si="998">W118</f>
        <v>145</v>
      </c>
      <c r="CM118" s="72">
        <f t="shared" ref="CM118:CM208" si="999">AA118</f>
        <v>153</v>
      </c>
      <c r="CN118" s="72">
        <f t="shared" ref="CN118:CN208" si="1000">AE118</f>
        <v>180</v>
      </c>
      <c r="CO118" s="72">
        <f t="shared" ref="CO118:CO208" si="1001">AI118</f>
        <v>201</v>
      </c>
      <c r="CP118" s="72">
        <f t="shared" ref="CP118:CP208" si="1002">AM118</f>
        <v>239</v>
      </c>
      <c r="CQ118" s="72">
        <f t="shared" ref="CQ118:CQ208" si="1003">AQ118</f>
        <v>316</v>
      </c>
      <c r="CR118" s="72">
        <f t="shared" ref="CR118:CR208" si="1004">AU118</f>
        <v>345</v>
      </c>
      <c r="CS118" s="72">
        <f t="shared" ref="CS118:CS208" si="1005">AY118</f>
        <v>358</v>
      </c>
      <c r="CT118" s="23">
        <f t="shared" ref="CT118:CT208" si="1006">M118-K118</f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59"/>
        <v>adrb1_melga_4GPO</v>
      </c>
      <c r="B119" s="3" t="s">
        <v>907</v>
      </c>
      <c r="C119" s="3" t="s">
        <v>1037</v>
      </c>
      <c r="D119" s="3" t="str">
        <f>IFERROR(MID(VLOOKUP($B119,Seqs!$A:$B,2,0),E119,1),"")</f>
        <v>S</v>
      </c>
      <c r="E119" s="3">
        <v>37</v>
      </c>
      <c r="F119" s="3" t="str">
        <f>IFERROR(MID(VLOOKUP($B119,Seqs!$A:$B,2,0),G119,1),"")</f>
        <v>T</v>
      </c>
      <c r="G119" s="3">
        <v>69</v>
      </c>
      <c r="H119" s="3" t="str">
        <f>IFERROR(MID(VLOOKUP($B119,Seqs!$A:$B,2,0),I119,1),"")</f>
        <v>Q</v>
      </c>
      <c r="I119" s="23">
        <v>70</v>
      </c>
      <c r="J119" s="3" t="str">
        <f>IFERROR(MID(VLOOKUP($B119,Seqs!$A:$B,2,0),K119,1),"")</f>
        <v>Q</v>
      </c>
      <c r="K119" s="23">
        <v>73</v>
      </c>
      <c r="L119" s="3" t="str">
        <f>IFERROR(MID(VLOOKUP($B119,Seqs!$A:$B,2,0),M119,1),"")</f>
        <v>T</v>
      </c>
      <c r="M119" s="3">
        <v>74</v>
      </c>
      <c r="N119" s="3" t="str">
        <f>IFERROR(MID(VLOOKUP($B119,Seqs!$A:$B,2,0),O119,1),"")</f>
        <v>R</v>
      </c>
      <c r="O119" s="3">
        <v>104</v>
      </c>
      <c r="P119" s="3" t="str">
        <f>IFERROR(MID(VLOOKUP($B119,Seqs!$A:$B,2,0),Q119,1),"")</f>
        <v>T</v>
      </c>
      <c r="Q119" s="3">
        <v>106</v>
      </c>
      <c r="R119" s="3" t="str">
        <f>IFERROR(MID(VLOOKUP($B119,Seqs!$A:$B,2,0),S119,1),"")</f>
        <v>W</v>
      </c>
      <c r="S119" s="3">
        <v>109</v>
      </c>
      <c r="T119" s="3" t="str">
        <f>IFERROR(MID(VLOOKUP($B119,Seqs!$A:$B,2,0),U119,1),"")</f>
        <v>G</v>
      </c>
      <c r="U119" s="3">
        <v>110</v>
      </c>
      <c r="V119" s="3" t="str">
        <f>IFERROR(MID(VLOOKUP($B119,Seqs!$A:$B,2,0),W119,1),"")</f>
        <v>S</v>
      </c>
      <c r="W119" s="3">
        <v>145</v>
      </c>
      <c r="X119" s="3" t="str">
        <f>IFERROR(MID(VLOOKUP($B119,Seqs!$A:$B,2,0),Y119,1),"")</f>
        <v>P</v>
      </c>
      <c r="Y119" s="3">
        <v>146</v>
      </c>
      <c r="Z119" s="3" t="str">
        <f>IFERROR(MID(VLOOKUP($B119,Seqs!$A:$B,2,0),AA119,1),"")</f>
        <v>M</v>
      </c>
      <c r="AA119" s="3">
        <v>153</v>
      </c>
      <c r="AB119" s="3" t="str">
        <f>IFERROR(MID(VLOOKUP($B119,Seqs!$A:$B,2,0),AC119,1),"")</f>
        <v>T</v>
      </c>
      <c r="AC119" s="9">
        <v>154</v>
      </c>
      <c r="AD119" s="3" t="str">
        <f>IFERROR(MID(VLOOKUP($B119,Seqs!$A:$B,2,0),AE119,1),"")</f>
        <v>H</v>
      </c>
      <c r="AE119" s="3">
        <v>180</v>
      </c>
      <c r="AF119" s="3" t="str">
        <f>IFERROR(MID(VLOOKUP($B119,Seqs!$A:$B,2,0),AG119,1),"")</f>
        <v>C</v>
      </c>
      <c r="AG119" s="3">
        <v>199</v>
      </c>
      <c r="AH119" s="3" t="str">
        <f>IFERROR(MID(VLOOKUP($B119,Seqs!$A:$B,2,0),AI119,1),"")</f>
        <v>F</v>
      </c>
      <c r="AI119" s="3">
        <v>201</v>
      </c>
      <c r="AJ119" s="3" t="str">
        <f>IFERROR(MID(VLOOKUP($B119,Seqs!$A:$B,2,0),AK119,1),"")</f>
        <v>N</v>
      </c>
      <c r="AK119" s="3">
        <v>204</v>
      </c>
      <c r="AL119" s="3" t="str">
        <f>IFERROR(MID(VLOOKUP($B119,Seqs!$A:$B,2,0),AM119,1),"")</f>
        <v>E</v>
      </c>
      <c r="AM119" s="3">
        <v>233</v>
      </c>
      <c r="AN119" s="3" t="str">
        <f>IFERROR(MID(VLOOKUP($B119,Seqs!$A:$B,2,0),AO119,1),"")</f>
        <v>M</v>
      </c>
      <c r="AO119" s="3">
        <v>283</v>
      </c>
      <c r="AP119" s="3" t="str">
        <f>IFERROR(MID(VLOOKUP($B119,Seqs!$A:$B,2,0),AQ119,1),"")</f>
        <v>N</v>
      </c>
      <c r="AQ119" s="3">
        <v>316</v>
      </c>
      <c r="AR119" s="3" t="str">
        <f>IFERROR(MID(VLOOKUP($B119,Seqs!$A:$B,2,0),AS119,1),"")</f>
        <v>P</v>
      </c>
      <c r="AS119" s="3">
        <v>321</v>
      </c>
      <c r="AT119" s="3" t="str">
        <f>IFERROR(MID(VLOOKUP($B119,Seqs!$A:$B,2,0),AU119,1),"")</f>
        <v>R</v>
      </c>
      <c r="AU119" s="3">
        <v>345</v>
      </c>
      <c r="AV119" s="3" t="str">
        <f>IFERROR(MID(VLOOKUP($B119,Seqs!$A:$B,2,0),AW119,1),"")</f>
        <v>S</v>
      </c>
      <c r="AW119" s="3">
        <v>346</v>
      </c>
      <c r="AX119" s="3" t="str">
        <f>IFERROR(MID(VLOOKUP($B119,Seqs!$A:$B,2,0),AY119,1),"")</f>
        <v>L</v>
      </c>
      <c r="AY119" s="3">
        <v>356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60"/>
        <v>1</v>
      </c>
      <c r="BC119" s="23">
        <f t="shared" si="981"/>
        <v>246</v>
      </c>
      <c r="BD119" s="4" t="s">
        <v>23</v>
      </c>
      <c r="BE119" s="3" t="s">
        <v>1370</v>
      </c>
      <c r="BF119" s="118">
        <v>3.5</v>
      </c>
      <c r="BG119" s="49" t="s">
        <v>1373</v>
      </c>
      <c r="BH119" s="49" t="s">
        <v>1373</v>
      </c>
      <c r="BI119" s="1"/>
      <c r="BJ119" s="70" t="s">
        <v>1283</v>
      </c>
      <c r="BK119" s="57" t="s">
        <v>1283</v>
      </c>
      <c r="BL119" s="57" t="s">
        <v>1283</v>
      </c>
      <c r="BM119" s="57" t="s">
        <v>1283</v>
      </c>
      <c r="BN119" s="57" t="s">
        <v>1283</v>
      </c>
      <c r="BO119" s="57" t="s">
        <v>1283</v>
      </c>
      <c r="BP119" s="57" t="s">
        <v>1283</v>
      </c>
      <c r="BQ119" s="57" t="s">
        <v>1283</v>
      </c>
      <c r="BR119" s="57" t="s">
        <v>1283</v>
      </c>
      <c r="BS119" s="57" t="s">
        <v>1283</v>
      </c>
      <c r="BT119" s="57" t="s">
        <v>1283</v>
      </c>
      <c r="BU119" s="57" t="s">
        <v>1283</v>
      </c>
      <c r="BV119" s="70">
        <f t="shared" si="982"/>
        <v>37</v>
      </c>
      <c r="BW119" s="71">
        <f t="shared" si="983"/>
        <v>70</v>
      </c>
      <c r="BX119" s="72">
        <f t="shared" si="984"/>
        <v>74</v>
      </c>
      <c r="BY119" s="71">
        <f t="shared" si="985"/>
        <v>106</v>
      </c>
      <c r="BZ119" s="72">
        <f t="shared" si="986"/>
        <v>110</v>
      </c>
      <c r="CA119" s="71">
        <f t="shared" si="987"/>
        <v>146</v>
      </c>
      <c r="CB119" s="72">
        <f t="shared" si="988"/>
        <v>154</v>
      </c>
      <c r="CC119" s="71">
        <f t="shared" si="989"/>
        <v>199</v>
      </c>
      <c r="CD119" s="72">
        <f t="shared" si="990"/>
        <v>204</v>
      </c>
      <c r="CE119" s="71">
        <f t="shared" si="991"/>
        <v>283</v>
      </c>
      <c r="CF119" s="72">
        <f t="shared" si="992"/>
        <v>321</v>
      </c>
      <c r="CG119" s="71">
        <f t="shared" si="993"/>
        <v>346</v>
      </c>
      <c r="CH119" s="70">
        <f t="shared" si="994"/>
        <v>69</v>
      </c>
      <c r="CI119" s="71">
        <f t="shared" si="995"/>
        <v>73</v>
      </c>
      <c r="CJ119" s="72">
        <f t="shared" si="996"/>
        <v>104</v>
      </c>
      <c r="CK119" s="72">
        <f t="shared" si="997"/>
        <v>109</v>
      </c>
      <c r="CL119" s="72">
        <f t="shared" si="998"/>
        <v>145</v>
      </c>
      <c r="CM119" s="72">
        <f t="shared" si="999"/>
        <v>153</v>
      </c>
      <c r="CN119" s="72">
        <f t="shared" si="1000"/>
        <v>180</v>
      </c>
      <c r="CO119" s="72">
        <f t="shared" si="1001"/>
        <v>201</v>
      </c>
      <c r="CP119" s="72">
        <f t="shared" si="1002"/>
        <v>233</v>
      </c>
      <c r="CQ119" s="72">
        <f t="shared" si="1003"/>
        <v>316</v>
      </c>
      <c r="CR119" s="72">
        <f t="shared" si="1004"/>
        <v>345</v>
      </c>
      <c r="CS119" s="72">
        <f t="shared" si="1005"/>
        <v>356</v>
      </c>
      <c r="CT119" s="23">
        <f t="shared" si="1006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59"/>
        <v>adrb1_melga_5A8E</v>
      </c>
      <c r="B120" s="3" t="s">
        <v>907</v>
      </c>
      <c r="C120" s="3" t="s">
        <v>1054</v>
      </c>
      <c r="D120" s="3" t="str">
        <f>IFERROR(MID(VLOOKUP($B120,Seqs!$A:$B,2,0),E120,1),"")</f>
        <v>S</v>
      </c>
      <c r="E120" s="3">
        <v>37</v>
      </c>
      <c r="F120" s="3" t="str">
        <f>IFERROR(MID(VLOOKUP($B120,Seqs!$A:$B,2,0),G120,1),"")</f>
        <v>T</v>
      </c>
      <c r="G120" s="3">
        <v>69</v>
      </c>
      <c r="H120" s="3" t="str">
        <f>IFERROR(MID(VLOOKUP($B120,Seqs!$A:$B,2,0),I120,1),"")</f>
        <v>Q</v>
      </c>
      <c r="I120" s="23">
        <v>70</v>
      </c>
      <c r="J120" s="3" t="str">
        <f>IFERROR(MID(VLOOKUP($B120,Seqs!$A:$B,2,0),K120,1),"")</f>
        <v>Q</v>
      </c>
      <c r="K120" s="23">
        <v>73</v>
      </c>
      <c r="L120" s="3" t="str">
        <f>IFERROR(MID(VLOOKUP($B120,Seqs!$A:$B,2,0),M120,1),"")</f>
        <v>T</v>
      </c>
      <c r="M120" s="3">
        <v>74</v>
      </c>
      <c r="N120" s="3" t="str">
        <f>IFERROR(MID(VLOOKUP($B120,Seqs!$A:$B,2,0),O120,1),"")</f>
        <v>G</v>
      </c>
      <c r="O120" s="3">
        <v>105</v>
      </c>
      <c r="P120" s="3" t="str">
        <f>IFERROR(MID(VLOOKUP($B120,Seqs!$A:$B,2,0),Q120,1),"")</f>
        <v>T</v>
      </c>
      <c r="Q120" s="3">
        <v>106</v>
      </c>
      <c r="R120" s="3" t="str">
        <f>IFERROR(MID(VLOOKUP($B120,Seqs!$A:$B,2,0),S120,1),"")</f>
        <v>W</v>
      </c>
      <c r="S120" s="3">
        <v>109</v>
      </c>
      <c r="T120" s="3" t="str">
        <f>IFERROR(MID(VLOOKUP($B120,Seqs!$A:$B,2,0),U120,1),"")</f>
        <v>G</v>
      </c>
      <c r="U120" s="3">
        <v>110</v>
      </c>
      <c r="V120" s="3" t="str">
        <f>IFERROR(MID(VLOOKUP($B120,Seqs!$A:$B,2,0),W120,1),"")</f>
        <v>S</v>
      </c>
      <c r="W120" s="3">
        <v>145</v>
      </c>
      <c r="X120" s="3" t="str">
        <f>IFERROR(MID(VLOOKUP($B120,Seqs!$A:$B,2,0),Y120,1),"")</f>
        <v>P</v>
      </c>
      <c r="Y120" s="3">
        <v>146</v>
      </c>
      <c r="Z120" s="3" t="str">
        <f>IFERROR(MID(VLOOKUP($B120,Seqs!$A:$B,2,0),AA120,1),"")</f>
        <v>M</v>
      </c>
      <c r="AA120" s="3">
        <v>153</v>
      </c>
      <c r="AB120" s="3" t="str">
        <f>IFERROR(MID(VLOOKUP($B120,Seqs!$A:$B,2,0),AC120,1),"")</f>
        <v>T</v>
      </c>
      <c r="AC120" s="9">
        <v>154</v>
      </c>
      <c r="AD120" s="3" t="str">
        <f>IFERROR(MID(VLOOKUP($B120,Seqs!$A:$B,2,0),AE120,1),"")</f>
        <v>H</v>
      </c>
      <c r="AE120" s="3">
        <v>180</v>
      </c>
      <c r="AF120" s="3" t="str">
        <f>IFERROR(MID(VLOOKUP($B120,Seqs!$A:$B,2,0),AG120,1),"")</f>
        <v>C</v>
      </c>
      <c r="AG120" s="3">
        <v>199</v>
      </c>
      <c r="AH120" s="3" t="str">
        <f>IFERROR(MID(VLOOKUP($B120,Seqs!$A:$B,2,0),AI120,1),"")</f>
        <v>F</v>
      </c>
      <c r="AI120" s="3">
        <v>201</v>
      </c>
      <c r="AJ120" s="3" t="str">
        <f>IFERROR(MID(VLOOKUP($B120,Seqs!$A:$B,2,0),AK120,1),"")</f>
        <v>N</v>
      </c>
      <c r="AK120" s="3">
        <v>204</v>
      </c>
      <c r="AL120" s="3" t="str">
        <f>IFERROR(MID(VLOOKUP($B120,Seqs!$A:$B,2,0),AM120,1),"")</f>
        <v>R</v>
      </c>
      <c r="AM120" s="3">
        <v>239</v>
      </c>
      <c r="AN120" s="3" t="str">
        <f>IFERROR(MID(VLOOKUP($B120,Seqs!$A:$B,2,0),AO120,1),"")</f>
        <v>R</v>
      </c>
      <c r="AO120" s="3">
        <v>279</v>
      </c>
      <c r="AP120" s="3" t="str">
        <f>IFERROR(MID(VLOOKUP($B120,Seqs!$A:$B,2,0),AQ120,1),"")</f>
        <v>N</v>
      </c>
      <c r="AQ120" s="3">
        <v>316</v>
      </c>
      <c r="AR120" s="3" t="str">
        <f>IFERROR(MID(VLOOKUP($B120,Seqs!$A:$B,2,0),AS120,1),"")</f>
        <v>P</v>
      </c>
      <c r="AS120" s="3">
        <v>321</v>
      </c>
      <c r="AT120" s="3" t="str">
        <f>IFERROR(MID(VLOOKUP($B120,Seqs!$A:$B,2,0),AU120,1),"")</f>
        <v>R</v>
      </c>
      <c r="AU120" s="3">
        <v>345</v>
      </c>
      <c r="AV120" s="3" t="str">
        <f>IFERROR(MID(VLOOKUP($B120,Seqs!$A:$B,2,0),AW120,1),"")</f>
        <v>S</v>
      </c>
      <c r="AW120" s="3">
        <v>346</v>
      </c>
      <c r="AX120" s="3" t="str">
        <f>IFERROR(MID(VLOOKUP($B120,Seqs!$A:$B,2,0),AY120,1),"")</f>
        <v>K</v>
      </c>
      <c r="AY120" s="3">
        <v>354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60"/>
        <v>1</v>
      </c>
      <c r="BC120" s="23">
        <f t="shared" si="981"/>
        <v>255</v>
      </c>
      <c r="BD120" s="4" t="s">
        <v>23</v>
      </c>
      <c r="BE120" s="3" t="s">
        <v>1370</v>
      </c>
      <c r="BF120" s="118">
        <v>2.42</v>
      </c>
      <c r="BG120" s="49" t="s">
        <v>1373</v>
      </c>
      <c r="BH120" s="49" t="s">
        <v>1373</v>
      </c>
      <c r="BI120" s="1"/>
      <c r="BJ120" s="70" t="s">
        <v>1283</v>
      </c>
      <c r="BK120" s="57" t="s">
        <v>1283</v>
      </c>
      <c r="BL120" s="57" t="s">
        <v>1283</v>
      </c>
      <c r="BM120" s="57" t="s">
        <v>1283</v>
      </c>
      <c r="BN120" s="57" t="s">
        <v>1283</v>
      </c>
      <c r="BO120" s="57" t="s">
        <v>1283</v>
      </c>
      <c r="BP120" s="57" t="s">
        <v>1283</v>
      </c>
      <c r="BQ120" s="57" t="s">
        <v>1283</v>
      </c>
      <c r="BR120" s="57" t="s">
        <v>1283</v>
      </c>
      <c r="BS120" s="57" t="s">
        <v>1283</v>
      </c>
      <c r="BT120" s="57" t="s">
        <v>1283</v>
      </c>
      <c r="BU120" s="57" t="s">
        <v>1283</v>
      </c>
      <c r="BV120" s="70">
        <f t="shared" si="982"/>
        <v>37</v>
      </c>
      <c r="BW120" s="71">
        <f t="shared" si="983"/>
        <v>70</v>
      </c>
      <c r="BX120" s="72">
        <f t="shared" si="984"/>
        <v>74</v>
      </c>
      <c r="BY120" s="71">
        <f t="shared" si="985"/>
        <v>106</v>
      </c>
      <c r="BZ120" s="72">
        <f t="shared" si="986"/>
        <v>110</v>
      </c>
      <c r="CA120" s="71">
        <f t="shared" si="987"/>
        <v>146</v>
      </c>
      <c r="CB120" s="72">
        <f t="shared" si="988"/>
        <v>154</v>
      </c>
      <c r="CC120" s="71">
        <f t="shared" si="989"/>
        <v>199</v>
      </c>
      <c r="CD120" s="72">
        <f t="shared" si="990"/>
        <v>204</v>
      </c>
      <c r="CE120" s="71">
        <f t="shared" si="991"/>
        <v>279</v>
      </c>
      <c r="CF120" s="72">
        <f t="shared" si="992"/>
        <v>321</v>
      </c>
      <c r="CG120" s="71">
        <f t="shared" si="993"/>
        <v>346</v>
      </c>
      <c r="CH120" s="70">
        <f t="shared" si="994"/>
        <v>69</v>
      </c>
      <c r="CI120" s="71">
        <f t="shared" si="995"/>
        <v>73</v>
      </c>
      <c r="CJ120" s="72">
        <f t="shared" si="996"/>
        <v>105</v>
      </c>
      <c r="CK120" s="72">
        <f t="shared" si="997"/>
        <v>109</v>
      </c>
      <c r="CL120" s="72">
        <f t="shared" si="998"/>
        <v>145</v>
      </c>
      <c r="CM120" s="72">
        <f t="shared" si="999"/>
        <v>153</v>
      </c>
      <c r="CN120" s="72">
        <f t="shared" si="1000"/>
        <v>180</v>
      </c>
      <c r="CO120" s="72">
        <f t="shared" si="1001"/>
        <v>201</v>
      </c>
      <c r="CP120" s="72">
        <f t="shared" si="1002"/>
        <v>239</v>
      </c>
      <c r="CQ120" s="72">
        <f t="shared" si="1003"/>
        <v>316</v>
      </c>
      <c r="CR120" s="72">
        <f t="shared" si="1004"/>
        <v>345</v>
      </c>
      <c r="CS120" s="72">
        <f t="shared" si="1005"/>
        <v>354</v>
      </c>
      <c r="CT120" s="23">
        <f t="shared" si="1006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59"/>
        <v>adrb1_melga_5F8U</v>
      </c>
      <c r="B121" s="3" t="s">
        <v>907</v>
      </c>
      <c r="C121" s="3" t="s">
        <v>1350</v>
      </c>
      <c r="D121" s="3" t="str">
        <f>IFERROR(MID(VLOOKUP($B121,Seqs!$A:$B,2,0),E121,1),"")</f>
        <v>W</v>
      </c>
      <c r="E121" s="3">
        <v>40</v>
      </c>
      <c r="F121" s="3" t="str">
        <f>IFERROR(MID(VLOOKUP($B121,Seqs!$A:$B,2,0),G121,1),"")</f>
        <v>T</v>
      </c>
      <c r="G121" s="3">
        <v>69</v>
      </c>
      <c r="H121" s="3" t="str">
        <f>IFERROR(MID(VLOOKUP($B121,Seqs!$A:$B,2,0),I121,1),"")</f>
        <v>Q</v>
      </c>
      <c r="I121" s="23">
        <v>70</v>
      </c>
      <c r="J121" s="3" t="str">
        <f>IFERROR(MID(VLOOKUP($B121,Seqs!$A:$B,2,0),K121,1),"")</f>
        <v>Q</v>
      </c>
      <c r="K121" s="23">
        <v>73</v>
      </c>
      <c r="L121" s="3" t="str">
        <f>IFERROR(MID(VLOOKUP($B121,Seqs!$A:$B,2,0),M121,1),"")</f>
        <v>T</v>
      </c>
      <c r="M121" s="3">
        <v>74</v>
      </c>
      <c r="N121" s="3" t="str">
        <f>IFERROR(MID(VLOOKUP($B121,Seqs!$A:$B,2,0),O121,1),"")</f>
        <v>G</v>
      </c>
      <c r="O121" s="3">
        <v>105</v>
      </c>
      <c r="P121" s="3" t="str">
        <f>IFERROR(MID(VLOOKUP($B121,Seqs!$A:$B,2,0),Q121,1),"")</f>
        <v>T</v>
      </c>
      <c r="Q121" s="3">
        <v>106</v>
      </c>
      <c r="R121" s="3" t="str">
        <f>IFERROR(MID(VLOOKUP($B121,Seqs!$A:$B,2,0),S121,1),"")</f>
        <v>W</v>
      </c>
      <c r="S121" s="3">
        <v>109</v>
      </c>
      <c r="T121" s="3" t="str">
        <f>IFERROR(MID(VLOOKUP($B121,Seqs!$A:$B,2,0),U121,1),"")</f>
        <v>G</v>
      </c>
      <c r="U121" s="3">
        <v>110</v>
      </c>
      <c r="V121" s="3" t="str">
        <f>IFERROR(MID(VLOOKUP($B121,Seqs!$A:$B,2,0),W121,1),"")</f>
        <v>S</v>
      </c>
      <c r="W121" s="3">
        <v>145</v>
      </c>
      <c r="X121" s="3" t="str">
        <f>IFERROR(MID(VLOOKUP($B121,Seqs!$A:$B,2,0),Y121,1),"")</f>
        <v>P</v>
      </c>
      <c r="Y121" s="3">
        <v>146</v>
      </c>
      <c r="Z121" s="3" t="str">
        <f>IFERROR(MID(VLOOKUP($B121,Seqs!$A:$B,2,0),AA121,1),"")</f>
        <v>M</v>
      </c>
      <c r="AA121" s="3">
        <v>153</v>
      </c>
      <c r="AB121" s="3" t="str">
        <f>IFERROR(MID(VLOOKUP($B121,Seqs!$A:$B,2,0),AC121,1),"")</f>
        <v>T</v>
      </c>
      <c r="AC121" s="9">
        <v>154</v>
      </c>
      <c r="AD121" s="3" t="str">
        <f>IFERROR(MID(VLOOKUP($B121,Seqs!$A:$B,2,0),AE121,1),"")</f>
        <v>H</v>
      </c>
      <c r="AE121" s="3">
        <v>180</v>
      </c>
      <c r="AF121" s="3" t="str">
        <f>IFERROR(MID(VLOOKUP($B121,Seqs!$A:$B,2,0),AG121,1),"")</f>
        <v>C</v>
      </c>
      <c r="AG121" s="3">
        <v>199</v>
      </c>
      <c r="AH121" s="3" t="str">
        <f>IFERROR(MID(VLOOKUP($B121,Seqs!$A:$B,2,0),AI121,1),"")</f>
        <v>F</v>
      </c>
      <c r="AI121" s="3">
        <v>201</v>
      </c>
      <c r="AJ121" s="3" t="str">
        <f>IFERROR(MID(VLOOKUP($B121,Seqs!$A:$B,2,0),AK121,1),"")</f>
        <v>N</v>
      </c>
      <c r="AK121" s="3">
        <v>204</v>
      </c>
      <c r="AL121" s="3" t="str">
        <f>IFERROR(MID(VLOOKUP($B121,Seqs!$A:$B,2,0),AM121,1),"")</f>
        <v>Q</v>
      </c>
      <c r="AM121" s="3">
        <v>237</v>
      </c>
      <c r="AN121" s="3" t="str">
        <f>IFERROR(MID(VLOOKUP($B121,Seqs!$A:$B,2,0),AO121,1),"")</f>
        <v>R</v>
      </c>
      <c r="AO121" s="3">
        <v>284</v>
      </c>
      <c r="AP121" s="3" t="str">
        <f>IFERROR(MID(VLOOKUP($B121,Seqs!$A:$B,2,0),AQ121,1),"")</f>
        <v>N</v>
      </c>
      <c r="AQ121" s="3">
        <v>316</v>
      </c>
      <c r="AR121" s="3" t="str">
        <f>IFERROR(MID(VLOOKUP($B121,Seqs!$A:$B,2,0),AS121,1),"")</f>
        <v>P</v>
      </c>
      <c r="AS121" s="3">
        <v>321</v>
      </c>
      <c r="AT121" s="3" t="str">
        <f>IFERROR(MID(VLOOKUP($B121,Seqs!$A:$B,2,0),AU121,1),"")</f>
        <v>R</v>
      </c>
      <c r="AU121" s="3">
        <v>345</v>
      </c>
      <c r="AV121" s="3" t="str">
        <f>IFERROR(MID(VLOOKUP($B121,Seqs!$A:$B,2,0),AW121,1),"")</f>
        <v>S</v>
      </c>
      <c r="AW121" s="3">
        <v>346</v>
      </c>
      <c r="AX121" s="3" t="str">
        <f>IFERROR(MID(VLOOKUP($B121,Seqs!$A:$B,2,0),AY121,1),"")</f>
        <v>C</v>
      </c>
      <c r="AY121" s="3">
        <v>358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60"/>
        <v>1</v>
      </c>
      <c r="BC121" s="23">
        <f t="shared" si="981"/>
        <v>249</v>
      </c>
      <c r="BD121" s="5" t="s">
        <v>23</v>
      </c>
      <c r="BE121" s="3" t="s">
        <v>1370</v>
      </c>
      <c r="BF121" s="118">
        <v>3.35</v>
      </c>
      <c r="BG121" s="49" t="s">
        <v>1373</v>
      </c>
      <c r="BH121" s="49" t="s">
        <v>1373</v>
      </c>
      <c r="BI121" s="1"/>
      <c r="BJ121" s="70" t="s">
        <v>1283</v>
      </c>
      <c r="BK121" s="57" t="s">
        <v>1283</v>
      </c>
      <c r="BL121" s="57" t="s">
        <v>1283</v>
      </c>
      <c r="BM121" s="57" t="s">
        <v>1283</v>
      </c>
      <c r="BN121" s="57" t="s">
        <v>1283</v>
      </c>
      <c r="BO121" s="57" t="s">
        <v>1283</v>
      </c>
      <c r="BP121" s="57" t="s">
        <v>1283</v>
      </c>
      <c r="BQ121" s="57" t="s">
        <v>1283</v>
      </c>
      <c r="BR121" s="57" t="s">
        <v>1283</v>
      </c>
      <c r="BS121" s="57" t="s">
        <v>1283</v>
      </c>
      <c r="BT121" s="57" t="s">
        <v>1283</v>
      </c>
      <c r="BU121" s="57" t="s">
        <v>1283</v>
      </c>
      <c r="BV121" s="70">
        <f t="shared" si="982"/>
        <v>40</v>
      </c>
      <c r="BW121" s="71">
        <f t="shared" si="983"/>
        <v>70</v>
      </c>
      <c r="BX121" s="72">
        <f t="shared" si="984"/>
        <v>74</v>
      </c>
      <c r="BY121" s="71">
        <f t="shared" si="985"/>
        <v>106</v>
      </c>
      <c r="BZ121" s="72">
        <f t="shared" si="986"/>
        <v>110</v>
      </c>
      <c r="CA121" s="71">
        <f t="shared" si="987"/>
        <v>146</v>
      </c>
      <c r="CB121" s="72">
        <f t="shared" si="988"/>
        <v>154</v>
      </c>
      <c r="CC121" s="71">
        <f t="shared" si="989"/>
        <v>199</v>
      </c>
      <c r="CD121" s="72">
        <f t="shared" si="990"/>
        <v>204</v>
      </c>
      <c r="CE121" s="71">
        <f t="shared" si="991"/>
        <v>284</v>
      </c>
      <c r="CF121" s="72">
        <f t="shared" si="992"/>
        <v>321</v>
      </c>
      <c r="CG121" s="71">
        <f t="shared" si="993"/>
        <v>346</v>
      </c>
      <c r="CH121" s="70">
        <f t="shared" si="994"/>
        <v>69</v>
      </c>
      <c r="CI121" s="71">
        <f t="shared" si="995"/>
        <v>73</v>
      </c>
      <c r="CJ121" s="72">
        <f t="shared" si="996"/>
        <v>105</v>
      </c>
      <c r="CK121" s="72">
        <f t="shared" si="997"/>
        <v>109</v>
      </c>
      <c r="CL121" s="72">
        <f t="shared" si="998"/>
        <v>145</v>
      </c>
      <c r="CM121" s="72">
        <f t="shared" si="999"/>
        <v>153</v>
      </c>
      <c r="CN121" s="72">
        <f t="shared" si="1000"/>
        <v>180</v>
      </c>
      <c r="CO121" s="72">
        <f t="shared" si="1001"/>
        <v>201</v>
      </c>
      <c r="CP121" s="72">
        <f t="shared" si="1002"/>
        <v>237</v>
      </c>
      <c r="CQ121" s="72">
        <f t="shared" si="1003"/>
        <v>316</v>
      </c>
      <c r="CR121" s="72">
        <f t="shared" si="1004"/>
        <v>345</v>
      </c>
      <c r="CS121" s="72">
        <f t="shared" si="1005"/>
        <v>358</v>
      </c>
      <c r="CT121" s="23">
        <f t="shared" si="100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ref="A122" si="1007">CONCATENATE(B122,"_",C122)</f>
        <v>adrb1_melga_6H7J</v>
      </c>
      <c r="B122" s="3" t="s">
        <v>907</v>
      </c>
      <c r="C122" s="3" t="s">
        <v>1515</v>
      </c>
      <c r="D122" s="3" t="str">
        <f>IFERROR(MID(VLOOKUP($B122,Seqs!$A:$B,2,0),E122,1),"")</f>
        <v>W</v>
      </c>
      <c r="E122" s="3">
        <v>40</v>
      </c>
      <c r="F122" s="3" t="str">
        <f>IFERROR(MID(VLOOKUP($B122,Seqs!$A:$B,2,0),G122,1),"")</f>
        <v>T</v>
      </c>
      <c r="G122" s="3">
        <v>69</v>
      </c>
      <c r="H122" s="3" t="str">
        <f>IFERROR(MID(VLOOKUP($B122,Seqs!$A:$B,2,0),I122,1),"")</f>
        <v>Q</v>
      </c>
      <c r="I122" s="23">
        <v>70</v>
      </c>
      <c r="J122" s="3" t="str">
        <f>IFERROR(MID(VLOOKUP($B122,Seqs!$A:$B,2,0),K122,1),"")</f>
        <v>Q</v>
      </c>
      <c r="K122" s="23">
        <v>73</v>
      </c>
      <c r="L122" s="3" t="str">
        <f>IFERROR(MID(VLOOKUP($B122,Seqs!$A:$B,2,0),M122,1),"")</f>
        <v>T</v>
      </c>
      <c r="M122" s="3">
        <v>74</v>
      </c>
      <c r="N122" s="3" t="str">
        <f>IFERROR(MID(VLOOKUP($B122,Seqs!$A:$B,2,0),O122,1),"")</f>
        <v>R</v>
      </c>
      <c r="O122" s="3">
        <v>104</v>
      </c>
      <c r="P122" s="3" t="str">
        <f>IFERROR(MID(VLOOKUP($B122,Seqs!$A:$B,2,0),Q122,1),"")</f>
        <v>T</v>
      </c>
      <c r="Q122" s="3">
        <v>106</v>
      </c>
      <c r="R122" s="3" t="str">
        <f>IFERROR(MID(VLOOKUP($B122,Seqs!$A:$B,2,0),S122,1),"")</f>
        <v>W</v>
      </c>
      <c r="S122" s="3">
        <v>109</v>
      </c>
      <c r="T122" s="3" t="str">
        <f>IFERROR(MID(VLOOKUP($B122,Seqs!$A:$B,2,0),U122,1),"")</f>
        <v>G</v>
      </c>
      <c r="U122" s="3">
        <v>110</v>
      </c>
      <c r="V122" s="3" t="str">
        <f>IFERROR(MID(VLOOKUP($B122,Seqs!$A:$B,2,0),W122,1),"")</f>
        <v>S</v>
      </c>
      <c r="W122" s="3">
        <v>145</v>
      </c>
      <c r="X122" s="3" t="str">
        <f>IFERROR(MID(VLOOKUP($B122,Seqs!$A:$B,2,0),Y122,1),"")</f>
        <v>P</v>
      </c>
      <c r="Y122" s="3">
        <v>146</v>
      </c>
      <c r="Z122" s="3" t="str">
        <f>IFERROR(MID(VLOOKUP($B122,Seqs!$A:$B,2,0),AA122,1),"")</f>
        <v>M</v>
      </c>
      <c r="AA122" s="3">
        <v>153</v>
      </c>
      <c r="AB122" s="3" t="str">
        <f>IFERROR(MID(VLOOKUP($B122,Seqs!$A:$B,2,0),AC122,1),"")</f>
        <v>T</v>
      </c>
      <c r="AC122" s="3">
        <v>154</v>
      </c>
      <c r="AD122" s="3" t="str">
        <f>IFERROR(MID(VLOOKUP($B122,Seqs!$A:$B,2,0),AE122,1),"")</f>
        <v>H</v>
      </c>
      <c r="AE122" s="3">
        <v>180</v>
      </c>
      <c r="AF122" s="3" t="str">
        <f>IFERROR(MID(VLOOKUP($B122,Seqs!$A:$B,2,0),AG122,1),"")</f>
        <v>C</v>
      </c>
      <c r="AG122" s="3">
        <v>199</v>
      </c>
      <c r="AH122" s="3" t="str">
        <f>IFERROR(MID(VLOOKUP($B122,Seqs!$A:$B,2,0),AI122,1),"")</f>
        <v>F</v>
      </c>
      <c r="AI122" s="3">
        <v>201</v>
      </c>
      <c r="AJ122" s="3" t="str">
        <f>IFERROR(MID(VLOOKUP($B122,Seqs!$A:$B,2,0),AK122,1),"")</f>
        <v>N</v>
      </c>
      <c r="AK122" s="3">
        <v>204</v>
      </c>
      <c r="AL122" s="3" t="str">
        <f>IFERROR(MID(VLOOKUP($B122,Seqs!$A:$B,2,0),AM122,1),"")</f>
        <v>S</v>
      </c>
      <c r="AM122" s="3">
        <v>273</v>
      </c>
      <c r="AN122" s="3" t="str">
        <f>IFERROR(MID(VLOOKUP($B122,Seqs!$A:$B,2,0),AO122,1),"")</f>
        <v>A</v>
      </c>
      <c r="AO122" s="3">
        <v>282</v>
      </c>
      <c r="AP122" s="3" t="str">
        <f>IFERROR(MID(VLOOKUP($B122,Seqs!$A:$B,2,0),AQ122,1),"")</f>
        <v>N</v>
      </c>
      <c r="AQ122" s="3">
        <v>316</v>
      </c>
      <c r="AR122" s="3" t="str">
        <f>IFERROR(MID(VLOOKUP($B122,Seqs!$A:$B,2,0),AS122,1),"")</f>
        <v>P</v>
      </c>
      <c r="AS122" s="3">
        <v>321</v>
      </c>
      <c r="AT122" s="3" t="str">
        <f>IFERROR(MID(VLOOKUP($B122,Seqs!$A:$B,2,0),AU122,1),"")</f>
        <v>R</v>
      </c>
      <c r="AU122" s="3">
        <v>345</v>
      </c>
      <c r="AV122" s="3" t="str">
        <f>IFERROR(MID(VLOOKUP($B122,Seqs!$A:$B,2,0),AW122,1),"")</f>
        <v>S</v>
      </c>
      <c r="AW122" s="3">
        <v>346</v>
      </c>
      <c r="AX122" s="3" t="str">
        <f>IFERROR(MID(VLOOKUP($B122,Seqs!$A:$B,2,0),AY122,1),"")</f>
        <v>L</v>
      </c>
      <c r="AY122" s="3">
        <v>357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ref="BB122" si="1008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" si="1009">_xlfn.AGGREGATE(9,6,CH122:CS122)-_xlfn.AGGREGATE(9,6,BV122:CG122)+12</f>
        <v>285</v>
      </c>
      <c r="BD122" s="5" t="s">
        <v>23</v>
      </c>
      <c r="BE122" s="3" t="s">
        <v>1287</v>
      </c>
      <c r="BF122" s="118">
        <v>2.8</v>
      </c>
      <c r="BG122" s="49" t="s">
        <v>1</v>
      </c>
      <c r="BH122" s="49" t="s">
        <v>1</v>
      </c>
      <c r="BI122" s="1"/>
      <c r="BJ122" s="70" t="s">
        <v>1283</v>
      </c>
      <c r="BK122" s="57" t="s">
        <v>1283</v>
      </c>
      <c r="BL122" s="57" t="s">
        <v>1283</v>
      </c>
      <c r="BM122" s="57" t="s">
        <v>1283</v>
      </c>
      <c r="BN122" s="57" t="s">
        <v>1283</v>
      </c>
      <c r="BO122" s="57" t="s">
        <v>1283</v>
      </c>
      <c r="BP122" s="57" t="s">
        <v>1283</v>
      </c>
      <c r="BQ122" s="57" t="s">
        <v>1283</v>
      </c>
      <c r="BR122" s="57" t="s">
        <v>1283</v>
      </c>
      <c r="BS122" s="57" t="s">
        <v>1283</v>
      </c>
      <c r="BT122" s="57" t="s">
        <v>1283</v>
      </c>
      <c r="BU122" s="57" t="s">
        <v>1283</v>
      </c>
      <c r="BV122" s="70">
        <f t="shared" ref="BV122" si="1010">E122</f>
        <v>40</v>
      </c>
      <c r="BW122" s="71">
        <f t="shared" ref="BW122" si="1011">I122</f>
        <v>70</v>
      </c>
      <c r="BX122" s="72">
        <f t="shared" ref="BX122" si="1012">M122</f>
        <v>74</v>
      </c>
      <c r="BY122" s="71">
        <f t="shared" ref="BY122" si="1013">Q122</f>
        <v>106</v>
      </c>
      <c r="BZ122" s="72">
        <f t="shared" ref="BZ122" si="1014">U122</f>
        <v>110</v>
      </c>
      <c r="CA122" s="71">
        <f t="shared" ref="CA122" si="1015">Y122</f>
        <v>146</v>
      </c>
      <c r="CB122" s="72">
        <f t="shared" ref="CB122" si="1016">AC122</f>
        <v>154</v>
      </c>
      <c r="CC122" s="71">
        <f t="shared" ref="CC122" si="1017">AG122</f>
        <v>199</v>
      </c>
      <c r="CD122" s="72">
        <f t="shared" ref="CD122" si="1018">AK122</f>
        <v>204</v>
      </c>
      <c r="CE122" s="71">
        <f t="shared" ref="CE122" si="1019">AO122</f>
        <v>282</v>
      </c>
      <c r="CF122" s="72">
        <f t="shared" ref="CF122" si="1020">AS122</f>
        <v>321</v>
      </c>
      <c r="CG122" s="71">
        <f t="shared" ref="CG122" si="1021">AW122</f>
        <v>346</v>
      </c>
      <c r="CH122" s="70">
        <f t="shared" ref="CH122" si="1022">G122</f>
        <v>69</v>
      </c>
      <c r="CI122" s="71">
        <f t="shared" ref="CI122" si="1023">K122</f>
        <v>73</v>
      </c>
      <c r="CJ122" s="72">
        <f t="shared" ref="CJ122" si="1024">O122</f>
        <v>104</v>
      </c>
      <c r="CK122" s="72">
        <f t="shared" ref="CK122" si="1025">S122</f>
        <v>109</v>
      </c>
      <c r="CL122" s="72">
        <f t="shared" ref="CL122" si="1026">W122</f>
        <v>145</v>
      </c>
      <c r="CM122" s="72">
        <f t="shared" ref="CM122" si="1027">AA122</f>
        <v>153</v>
      </c>
      <c r="CN122" s="72">
        <f t="shared" ref="CN122" si="1028">AE122</f>
        <v>180</v>
      </c>
      <c r="CO122" s="72">
        <f t="shared" ref="CO122" si="1029">AI122</f>
        <v>201</v>
      </c>
      <c r="CP122" s="72">
        <f t="shared" ref="CP122" si="1030">AM122</f>
        <v>273</v>
      </c>
      <c r="CQ122" s="72">
        <f t="shared" ref="CQ122" si="1031">AQ122</f>
        <v>316</v>
      </c>
      <c r="CR122" s="72">
        <f t="shared" ref="CR122" si="1032">AU122</f>
        <v>345</v>
      </c>
      <c r="CS122" s="72">
        <f t="shared" ref="CS122" si="1033">AY122</f>
        <v>357</v>
      </c>
      <c r="CT122" s="23">
        <f t="shared" ref="CT122" si="1034">M122-K122</f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ref="A123" si="1035">CONCATENATE(B123,"_",C123)</f>
        <v>adrb1_melga_6H7L</v>
      </c>
      <c r="B123" s="3" t="s">
        <v>907</v>
      </c>
      <c r="C123" s="3" t="s">
        <v>1516</v>
      </c>
      <c r="D123" s="3" t="str">
        <f>IFERROR(MID(VLOOKUP($B123,Seqs!$A:$B,2,0),E123,1),"")</f>
        <v>W</v>
      </c>
      <c r="E123" s="3">
        <v>40</v>
      </c>
      <c r="F123" s="3" t="str">
        <f>IFERROR(MID(VLOOKUP($B123,Seqs!$A:$B,2,0),G123,1),"")</f>
        <v>T</v>
      </c>
      <c r="G123" s="3">
        <v>69</v>
      </c>
      <c r="H123" s="3" t="str">
        <f>IFERROR(MID(VLOOKUP($B123,Seqs!$A:$B,2,0),I123,1),"")</f>
        <v>Q</v>
      </c>
      <c r="I123" s="23">
        <v>70</v>
      </c>
      <c r="J123" s="3" t="str">
        <f>IFERROR(MID(VLOOKUP($B123,Seqs!$A:$B,2,0),K123,1),"")</f>
        <v>Q</v>
      </c>
      <c r="K123" s="23">
        <v>73</v>
      </c>
      <c r="L123" s="3" t="str">
        <f>IFERROR(MID(VLOOKUP($B123,Seqs!$A:$B,2,0),M123,1),"")</f>
        <v>T</v>
      </c>
      <c r="M123" s="3">
        <v>74</v>
      </c>
      <c r="N123" s="3" t="str">
        <f>IFERROR(MID(VLOOKUP($B123,Seqs!$A:$B,2,0),O123,1),"")</f>
        <v>G</v>
      </c>
      <c r="O123" s="3">
        <v>105</v>
      </c>
      <c r="P123" s="3" t="str">
        <f>IFERROR(MID(VLOOKUP($B123,Seqs!$A:$B,2,0),Q123,1),"")</f>
        <v>T</v>
      </c>
      <c r="Q123" s="3">
        <v>106</v>
      </c>
      <c r="R123" s="3" t="str">
        <f>IFERROR(MID(VLOOKUP($B123,Seqs!$A:$B,2,0),S123,1),"")</f>
        <v>W</v>
      </c>
      <c r="S123" s="3">
        <v>109</v>
      </c>
      <c r="T123" s="3" t="str">
        <f>IFERROR(MID(VLOOKUP($B123,Seqs!$A:$B,2,0),U123,1),"")</f>
        <v>G</v>
      </c>
      <c r="U123" s="3">
        <v>110</v>
      </c>
      <c r="V123" s="3" t="str">
        <f>IFERROR(MID(VLOOKUP($B123,Seqs!$A:$B,2,0),W123,1),"")</f>
        <v>S</v>
      </c>
      <c r="W123" s="3">
        <v>145</v>
      </c>
      <c r="X123" s="3" t="str">
        <f>IFERROR(MID(VLOOKUP($B123,Seqs!$A:$B,2,0),Y123,1),"")</f>
        <v>P</v>
      </c>
      <c r="Y123" s="3">
        <v>146</v>
      </c>
      <c r="Z123" s="3" t="str">
        <f>IFERROR(MID(VLOOKUP($B123,Seqs!$A:$B,2,0),AA123,1),"")</f>
        <v>M</v>
      </c>
      <c r="AA123" s="3">
        <v>153</v>
      </c>
      <c r="AB123" s="3" t="str">
        <f>IFERROR(MID(VLOOKUP($B123,Seqs!$A:$B,2,0),AC123,1),"")</f>
        <v>T</v>
      </c>
      <c r="AC123" s="3">
        <v>154</v>
      </c>
      <c r="AD123" s="3" t="str">
        <f>IFERROR(MID(VLOOKUP($B123,Seqs!$A:$B,2,0),AE123,1),"")</f>
        <v>H</v>
      </c>
      <c r="AE123" s="3">
        <v>180</v>
      </c>
      <c r="AF123" s="3" t="str">
        <f>IFERROR(MID(VLOOKUP($B123,Seqs!$A:$B,2,0),AG123,1),"")</f>
        <v>C</v>
      </c>
      <c r="AG123" s="3">
        <v>199</v>
      </c>
      <c r="AH123" s="3" t="str">
        <f>IFERROR(MID(VLOOKUP($B123,Seqs!$A:$B,2,0),AI123,1),"")</f>
        <v>F</v>
      </c>
      <c r="AI123" s="3">
        <v>201</v>
      </c>
      <c r="AJ123" s="3" t="str">
        <f>IFERROR(MID(VLOOKUP($B123,Seqs!$A:$B,2,0),AK123,1),"")</f>
        <v>N</v>
      </c>
      <c r="AK123" s="3">
        <v>204</v>
      </c>
      <c r="AL123" s="3" t="str">
        <f>IFERROR(MID(VLOOKUP($B123,Seqs!$A:$B,2,0),AM123,1),"")</f>
        <v>S</v>
      </c>
      <c r="AM123" s="3">
        <v>273</v>
      </c>
      <c r="AN123" s="3" t="str">
        <f>IFERROR(MID(VLOOKUP($B123,Seqs!$A:$B,2,0),AO123,1),"")</f>
        <v>A</v>
      </c>
      <c r="AO123" s="3">
        <v>282</v>
      </c>
      <c r="AP123" s="3" t="str">
        <f>IFERROR(MID(VLOOKUP($B123,Seqs!$A:$B,2,0),AQ123,1),"")</f>
        <v>N</v>
      </c>
      <c r="AQ123" s="3">
        <v>316</v>
      </c>
      <c r="AR123" s="3" t="str">
        <f>IFERROR(MID(VLOOKUP($B123,Seqs!$A:$B,2,0),AS123,1),"")</f>
        <v>P</v>
      </c>
      <c r="AS123" s="3">
        <v>321</v>
      </c>
      <c r="AT123" s="3" t="str">
        <f>IFERROR(MID(VLOOKUP($B123,Seqs!$A:$B,2,0),AU123,1),"")</f>
        <v>R</v>
      </c>
      <c r="AU123" s="3">
        <v>345</v>
      </c>
      <c r="AV123" s="3" t="str">
        <f>IFERROR(MID(VLOOKUP($B123,Seqs!$A:$B,2,0),AW123,1),"")</f>
        <v>S</v>
      </c>
      <c r="AW123" s="3">
        <v>346</v>
      </c>
      <c r="AX123" s="3" t="str">
        <f>IFERROR(MID(VLOOKUP($B123,Seqs!$A:$B,2,0),AY123,1),"")</f>
        <v>L</v>
      </c>
      <c r="AY123" s="3">
        <v>357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ref="BB123" si="1036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37">_xlfn.AGGREGATE(9,6,CH123:CS123)-_xlfn.AGGREGATE(9,6,BV123:CG123)+12</f>
        <v>286</v>
      </c>
      <c r="BD123" s="5" t="s">
        <v>23</v>
      </c>
      <c r="BE123" s="3" t="s">
        <v>1287</v>
      </c>
      <c r="BF123" s="118">
        <v>2.7</v>
      </c>
      <c r="BG123" s="49" t="s">
        <v>1</v>
      </c>
      <c r="BH123" s="49" t="s">
        <v>1</v>
      </c>
      <c r="BI123" s="1"/>
      <c r="BJ123" s="70" t="s">
        <v>1283</v>
      </c>
      <c r="BK123" s="57" t="s">
        <v>1283</v>
      </c>
      <c r="BL123" s="57" t="s">
        <v>1283</v>
      </c>
      <c r="BM123" s="57" t="s">
        <v>1283</v>
      </c>
      <c r="BN123" s="57" t="s">
        <v>1283</v>
      </c>
      <c r="BO123" s="57" t="s">
        <v>1283</v>
      </c>
      <c r="BP123" s="57" t="s">
        <v>1283</v>
      </c>
      <c r="BQ123" s="57" t="s">
        <v>1283</v>
      </c>
      <c r="BR123" s="57" t="s">
        <v>1283</v>
      </c>
      <c r="BS123" s="57" t="s">
        <v>1283</v>
      </c>
      <c r="BT123" s="57" t="s">
        <v>1283</v>
      </c>
      <c r="BU123" s="57" t="s">
        <v>1283</v>
      </c>
      <c r="BV123" s="70">
        <f t="shared" ref="BV123" si="1038">E123</f>
        <v>40</v>
      </c>
      <c r="BW123" s="71">
        <f t="shared" ref="BW123" si="1039">I123</f>
        <v>70</v>
      </c>
      <c r="BX123" s="72">
        <f t="shared" ref="BX123" si="1040">M123</f>
        <v>74</v>
      </c>
      <c r="BY123" s="71">
        <f t="shared" ref="BY123" si="1041">Q123</f>
        <v>106</v>
      </c>
      <c r="BZ123" s="72">
        <f t="shared" ref="BZ123" si="1042">U123</f>
        <v>110</v>
      </c>
      <c r="CA123" s="71">
        <f t="shared" ref="CA123" si="1043">Y123</f>
        <v>146</v>
      </c>
      <c r="CB123" s="72">
        <f t="shared" ref="CB123" si="1044">AC123</f>
        <v>154</v>
      </c>
      <c r="CC123" s="71">
        <f t="shared" ref="CC123" si="1045">AG123</f>
        <v>199</v>
      </c>
      <c r="CD123" s="72">
        <f t="shared" ref="CD123" si="1046">AK123</f>
        <v>204</v>
      </c>
      <c r="CE123" s="71">
        <f t="shared" ref="CE123" si="1047">AO123</f>
        <v>282</v>
      </c>
      <c r="CF123" s="72">
        <f t="shared" ref="CF123" si="1048">AS123</f>
        <v>321</v>
      </c>
      <c r="CG123" s="71">
        <f t="shared" ref="CG123" si="1049">AW123</f>
        <v>346</v>
      </c>
      <c r="CH123" s="70">
        <f t="shared" ref="CH123" si="1050">G123</f>
        <v>69</v>
      </c>
      <c r="CI123" s="71">
        <f t="shared" ref="CI123" si="1051">K123</f>
        <v>73</v>
      </c>
      <c r="CJ123" s="72">
        <f t="shared" ref="CJ123" si="1052">O123</f>
        <v>105</v>
      </c>
      <c r="CK123" s="72">
        <f t="shared" ref="CK123" si="1053">S123</f>
        <v>109</v>
      </c>
      <c r="CL123" s="72">
        <f t="shared" ref="CL123" si="1054">W123</f>
        <v>145</v>
      </c>
      <c r="CM123" s="72">
        <f t="shared" ref="CM123" si="1055">AA123</f>
        <v>153</v>
      </c>
      <c r="CN123" s="72">
        <f t="shared" ref="CN123" si="1056">AE123</f>
        <v>180</v>
      </c>
      <c r="CO123" s="72">
        <f t="shared" ref="CO123" si="1057">AI123</f>
        <v>201</v>
      </c>
      <c r="CP123" s="72">
        <f t="shared" ref="CP123" si="1058">AM123</f>
        <v>273</v>
      </c>
      <c r="CQ123" s="72">
        <f t="shared" ref="CQ123" si="1059">AQ123</f>
        <v>316</v>
      </c>
      <c r="CR123" s="72">
        <f t="shared" ref="CR123" si="1060">AU123</f>
        <v>345</v>
      </c>
      <c r="CS123" s="72">
        <f t="shared" ref="CS123" si="1061">AY123</f>
        <v>357</v>
      </c>
      <c r="CT123" s="23">
        <f t="shared" ref="CT123" si="1062">M123-K123</f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ref="A124" si="1063">CONCATENATE(B124,"_",C124)</f>
        <v>adrb1_melga_6H7M</v>
      </c>
      <c r="B124" s="3" t="s">
        <v>907</v>
      </c>
      <c r="C124" s="3" t="s">
        <v>1517</v>
      </c>
      <c r="D124" s="3" t="str">
        <f>IFERROR(MID(VLOOKUP($B124,Seqs!$A:$B,2,0),E124,1),"")</f>
        <v>W</v>
      </c>
      <c r="E124" s="3">
        <v>40</v>
      </c>
      <c r="F124" s="3" t="str">
        <f>IFERROR(MID(VLOOKUP($B124,Seqs!$A:$B,2,0),G124,1),"")</f>
        <v>T</v>
      </c>
      <c r="G124" s="3">
        <v>69</v>
      </c>
      <c r="H124" s="3" t="str">
        <f>IFERROR(MID(VLOOKUP($B124,Seqs!$A:$B,2,0),I124,1),"")</f>
        <v>Q</v>
      </c>
      <c r="I124" s="23">
        <v>70</v>
      </c>
      <c r="J124" s="3" t="str">
        <f>IFERROR(MID(VLOOKUP($B124,Seqs!$A:$B,2,0),K124,1),"")</f>
        <v>Q</v>
      </c>
      <c r="K124" s="23">
        <v>73</v>
      </c>
      <c r="L124" s="3" t="str">
        <f>IFERROR(MID(VLOOKUP($B124,Seqs!$A:$B,2,0),M124,1),"")</f>
        <v>T</v>
      </c>
      <c r="M124" s="3">
        <v>74</v>
      </c>
      <c r="N124" s="3" t="str">
        <f>IFERROR(MID(VLOOKUP($B124,Seqs!$A:$B,2,0),O124,1),"")</f>
        <v>G</v>
      </c>
      <c r="O124" s="3">
        <v>105</v>
      </c>
      <c r="P124" s="3" t="str">
        <f>IFERROR(MID(VLOOKUP($B124,Seqs!$A:$B,2,0),Q124,1),"")</f>
        <v>T</v>
      </c>
      <c r="Q124" s="3">
        <v>106</v>
      </c>
      <c r="R124" s="3" t="str">
        <f>IFERROR(MID(VLOOKUP($B124,Seqs!$A:$B,2,0),S124,1),"")</f>
        <v>W</v>
      </c>
      <c r="S124" s="3">
        <v>109</v>
      </c>
      <c r="T124" s="3" t="str">
        <f>IFERROR(MID(VLOOKUP($B124,Seqs!$A:$B,2,0),U124,1),"")</f>
        <v>G</v>
      </c>
      <c r="U124" s="3">
        <v>110</v>
      </c>
      <c r="V124" s="3" t="str">
        <f>IFERROR(MID(VLOOKUP($B124,Seqs!$A:$B,2,0),W124,1),"")</f>
        <v>S</v>
      </c>
      <c r="W124" s="3">
        <v>145</v>
      </c>
      <c r="X124" s="3" t="str">
        <f>IFERROR(MID(VLOOKUP($B124,Seqs!$A:$B,2,0),Y124,1),"")</f>
        <v>P</v>
      </c>
      <c r="Y124" s="3">
        <v>146</v>
      </c>
      <c r="Z124" s="3" t="str">
        <f>IFERROR(MID(VLOOKUP($B124,Seqs!$A:$B,2,0),AA124,1),"")</f>
        <v>M</v>
      </c>
      <c r="AA124" s="3">
        <v>153</v>
      </c>
      <c r="AB124" s="3" t="str">
        <f>IFERROR(MID(VLOOKUP($B124,Seqs!$A:$B,2,0),AC124,1),"")</f>
        <v>T</v>
      </c>
      <c r="AC124" s="3">
        <v>154</v>
      </c>
      <c r="AD124" s="3" t="str">
        <f>IFERROR(MID(VLOOKUP($B124,Seqs!$A:$B,2,0),AE124,1),"")</f>
        <v>H</v>
      </c>
      <c r="AE124" s="3">
        <v>180</v>
      </c>
      <c r="AF124" s="3" t="str">
        <f>IFERROR(MID(VLOOKUP($B124,Seqs!$A:$B,2,0),AG124,1),"")</f>
        <v>C</v>
      </c>
      <c r="AG124" s="3">
        <v>199</v>
      </c>
      <c r="AH124" s="3" t="str">
        <f>IFERROR(MID(VLOOKUP($B124,Seqs!$A:$B,2,0),AI124,1),"")</f>
        <v>F</v>
      </c>
      <c r="AI124" s="3">
        <v>201</v>
      </c>
      <c r="AJ124" s="3" t="str">
        <f>IFERROR(MID(VLOOKUP($B124,Seqs!$A:$B,2,0),AK124,1),"")</f>
        <v>N</v>
      </c>
      <c r="AK124" s="3">
        <v>204</v>
      </c>
      <c r="AL124" s="3" t="str">
        <f>IFERROR(MID(VLOOKUP($B124,Seqs!$A:$B,2,0),AM124,1),"")</f>
        <v>S</v>
      </c>
      <c r="AM124" s="3">
        <v>273</v>
      </c>
      <c r="AN124" s="3" t="str">
        <f>IFERROR(MID(VLOOKUP($B124,Seqs!$A:$B,2,0),AO124,1),"")</f>
        <v>A</v>
      </c>
      <c r="AO124" s="3">
        <v>282</v>
      </c>
      <c r="AP124" s="3" t="str">
        <f>IFERROR(MID(VLOOKUP($B124,Seqs!$A:$B,2,0),AQ124,1),"")</f>
        <v>N</v>
      </c>
      <c r="AQ124" s="3">
        <v>316</v>
      </c>
      <c r="AR124" s="3" t="str">
        <f>IFERROR(MID(VLOOKUP($B124,Seqs!$A:$B,2,0),AS124,1),"")</f>
        <v>P</v>
      </c>
      <c r="AS124" s="3">
        <v>321</v>
      </c>
      <c r="AT124" s="3" t="str">
        <f>IFERROR(MID(VLOOKUP($B124,Seqs!$A:$B,2,0),AU124,1),"")</f>
        <v>R</v>
      </c>
      <c r="AU124" s="3">
        <v>345</v>
      </c>
      <c r="AV124" s="3" t="str">
        <f>IFERROR(MID(VLOOKUP($B124,Seqs!$A:$B,2,0),AW124,1),"")</f>
        <v>S</v>
      </c>
      <c r="AW124" s="3">
        <v>346</v>
      </c>
      <c r="AX124" s="3" t="str">
        <f>IFERROR(MID(VLOOKUP($B124,Seqs!$A:$B,2,0),AY124,1),"")</f>
        <v>L</v>
      </c>
      <c r="AY124" s="3">
        <v>357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ref="BB124" si="1064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1065">_xlfn.AGGREGATE(9,6,CH124:CS124)-_xlfn.AGGREGATE(9,6,BV124:CG124)+12</f>
        <v>286</v>
      </c>
      <c r="BD124" s="5" t="s">
        <v>23</v>
      </c>
      <c r="BE124" s="3" t="s">
        <v>1287</v>
      </c>
      <c r="BF124" s="118">
        <v>2.76</v>
      </c>
      <c r="BG124" s="49" t="s">
        <v>1</v>
      </c>
      <c r="BH124" s="49" t="s">
        <v>1</v>
      </c>
      <c r="BI124" s="1"/>
      <c r="BJ124" s="70" t="s">
        <v>1283</v>
      </c>
      <c r="BK124" s="57" t="s">
        <v>1283</v>
      </c>
      <c r="BL124" s="57" t="s">
        <v>1283</v>
      </c>
      <c r="BM124" s="57" t="s">
        <v>1283</v>
      </c>
      <c r="BN124" s="57" t="s">
        <v>1283</v>
      </c>
      <c r="BO124" s="57" t="s">
        <v>1283</v>
      </c>
      <c r="BP124" s="57" t="s">
        <v>1283</v>
      </c>
      <c r="BQ124" s="57" t="s">
        <v>1283</v>
      </c>
      <c r="BR124" s="57" t="s">
        <v>1283</v>
      </c>
      <c r="BS124" s="57" t="s">
        <v>1283</v>
      </c>
      <c r="BT124" s="57" t="s">
        <v>1283</v>
      </c>
      <c r="BU124" s="57" t="s">
        <v>1283</v>
      </c>
      <c r="BV124" s="70">
        <f t="shared" ref="BV124" si="1066">E124</f>
        <v>40</v>
      </c>
      <c r="BW124" s="71">
        <f t="shared" ref="BW124" si="1067">I124</f>
        <v>70</v>
      </c>
      <c r="BX124" s="72">
        <f t="shared" ref="BX124" si="1068">M124</f>
        <v>74</v>
      </c>
      <c r="BY124" s="71">
        <f t="shared" ref="BY124" si="1069">Q124</f>
        <v>106</v>
      </c>
      <c r="BZ124" s="72">
        <f t="shared" ref="BZ124" si="1070">U124</f>
        <v>110</v>
      </c>
      <c r="CA124" s="71">
        <f t="shared" ref="CA124" si="1071">Y124</f>
        <v>146</v>
      </c>
      <c r="CB124" s="72">
        <f t="shared" ref="CB124" si="1072">AC124</f>
        <v>154</v>
      </c>
      <c r="CC124" s="71">
        <f t="shared" ref="CC124" si="1073">AG124</f>
        <v>199</v>
      </c>
      <c r="CD124" s="72">
        <f t="shared" ref="CD124" si="1074">AK124</f>
        <v>204</v>
      </c>
      <c r="CE124" s="71">
        <f t="shared" ref="CE124" si="1075">AO124</f>
        <v>282</v>
      </c>
      <c r="CF124" s="72">
        <f t="shared" ref="CF124" si="1076">AS124</f>
        <v>321</v>
      </c>
      <c r="CG124" s="71">
        <f t="shared" ref="CG124" si="1077">AW124</f>
        <v>346</v>
      </c>
      <c r="CH124" s="70">
        <f t="shared" ref="CH124" si="1078">G124</f>
        <v>69</v>
      </c>
      <c r="CI124" s="71">
        <f t="shared" ref="CI124" si="1079">K124</f>
        <v>73</v>
      </c>
      <c r="CJ124" s="72">
        <f t="shared" ref="CJ124" si="1080">O124</f>
        <v>105</v>
      </c>
      <c r="CK124" s="72">
        <f t="shared" ref="CK124" si="1081">S124</f>
        <v>109</v>
      </c>
      <c r="CL124" s="72">
        <f t="shared" ref="CL124" si="1082">W124</f>
        <v>145</v>
      </c>
      <c r="CM124" s="72">
        <f t="shared" ref="CM124" si="1083">AA124</f>
        <v>153</v>
      </c>
      <c r="CN124" s="72">
        <f t="shared" ref="CN124" si="1084">AE124</f>
        <v>180</v>
      </c>
      <c r="CO124" s="72">
        <f t="shared" ref="CO124" si="1085">AI124</f>
        <v>201</v>
      </c>
      <c r="CP124" s="72">
        <f t="shared" ref="CP124" si="1086">AM124</f>
        <v>273</v>
      </c>
      <c r="CQ124" s="72">
        <f t="shared" ref="CQ124" si="1087">AQ124</f>
        <v>316</v>
      </c>
      <c r="CR124" s="72">
        <f t="shared" ref="CR124" si="1088">AU124</f>
        <v>345</v>
      </c>
      <c r="CS124" s="72">
        <f t="shared" ref="CS124" si="1089">AY124</f>
        <v>357</v>
      </c>
      <c r="CT124" s="23">
        <f t="shared" ref="CT124" si="1090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ref="A125" si="1091">CONCATENATE(B125,"_",C125)</f>
        <v>adrb1_melga_6H7N</v>
      </c>
      <c r="B125" s="3" t="s">
        <v>907</v>
      </c>
      <c r="C125" s="3" t="s">
        <v>1518</v>
      </c>
      <c r="D125" s="3" t="str">
        <f>IFERROR(MID(VLOOKUP($B125,Seqs!$A:$B,2,0),E125,1),"")</f>
        <v>W</v>
      </c>
      <c r="E125" s="3">
        <v>40</v>
      </c>
      <c r="F125" s="3" t="str">
        <f>IFERROR(MID(VLOOKUP($B125,Seqs!$A:$B,2,0),G125,1),"")</f>
        <v>T</v>
      </c>
      <c r="G125" s="3">
        <v>69</v>
      </c>
      <c r="H125" s="3" t="str">
        <f>IFERROR(MID(VLOOKUP($B125,Seqs!$A:$B,2,0),I125,1),"")</f>
        <v>Q</v>
      </c>
      <c r="I125" s="23">
        <v>70</v>
      </c>
      <c r="J125" s="3" t="str">
        <f>IFERROR(MID(VLOOKUP($B125,Seqs!$A:$B,2,0),K125,1),"")</f>
        <v>Q</v>
      </c>
      <c r="K125" s="23">
        <v>73</v>
      </c>
      <c r="L125" s="3" t="str">
        <f>IFERROR(MID(VLOOKUP($B125,Seqs!$A:$B,2,0),M125,1),"")</f>
        <v>T</v>
      </c>
      <c r="M125" s="3">
        <v>74</v>
      </c>
      <c r="N125" s="3" t="str">
        <f>IFERROR(MID(VLOOKUP($B125,Seqs!$A:$B,2,0),O125,1),"")</f>
        <v>G</v>
      </c>
      <c r="O125" s="3">
        <v>105</v>
      </c>
      <c r="P125" s="3" t="str">
        <f>IFERROR(MID(VLOOKUP($B125,Seqs!$A:$B,2,0),Q125,1),"")</f>
        <v>T</v>
      </c>
      <c r="Q125" s="3">
        <v>106</v>
      </c>
      <c r="R125" s="3" t="str">
        <f>IFERROR(MID(VLOOKUP($B125,Seqs!$A:$B,2,0),S125,1),"")</f>
        <v>W</v>
      </c>
      <c r="S125" s="3">
        <v>109</v>
      </c>
      <c r="T125" s="3" t="str">
        <f>IFERROR(MID(VLOOKUP($B125,Seqs!$A:$B,2,0),U125,1),"")</f>
        <v>G</v>
      </c>
      <c r="U125" s="3">
        <v>110</v>
      </c>
      <c r="V125" s="3" t="str">
        <f>IFERROR(MID(VLOOKUP($B125,Seqs!$A:$B,2,0),W125,1),"")</f>
        <v>S</v>
      </c>
      <c r="W125" s="3">
        <v>145</v>
      </c>
      <c r="X125" s="3" t="str">
        <f>IFERROR(MID(VLOOKUP($B125,Seqs!$A:$B,2,0),Y125,1),"")</f>
        <v>P</v>
      </c>
      <c r="Y125" s="3">
        <v>146</v>
      </c>
      <c r="Z125" s="3" t="str">
        <f>IFERROR(MID(VLOOKUP($B125,Seqs!$A:$B,2,0),AA125,1),"")</f>
        <v>M</v>
      </c>
      <c r="AA125" s="3">
        <v>153</v>
      </c>
      <c r="AB125" s="3" t="str">
        <f>IFERROR(MID(VLOOKUP($B125,Seqs!$A:$B,2,0),AC125,1),"")</f>
        <v>T</v>
      </c>
      <c r="AC125" s="3">
        <v>154</v>
      </c>
      <c r="AD125" s="3" t="str">
        <f>IFERROR(MID(VLOOKUP($B125,Seqs!$A:$B,2,0),AE125,1),"")</f>
        <v>H</v>
      </c>
      <c r="AE125" s="3">
        <v>180</v>
      </c>
      <c r="AF125" s="3" t="str">
        <f>IFERROR(MID(VLOOKUP($B125,Seqs!$A:$B,2,0),AG125,1),"")</f>
        <v>C</v>
      </c>
      <c r="AG125" s="3">
        <v>199</v>
      </c>
      <c r="AH125" s="3" t="str">
        <f>IFERROR(MID(VLOOKUP($B125,Seqs!$A:$B,2,0),AI125,1),"")</f>
        <v>F</v>
      </c>
      <c r="AI125" s="3">
        <v>201</v>
      </c>
      <c r="AJ125" s="3" t="str">
        <f>IFERROR(MID(VLOOKUP($B125,Seqs!$A:$B,2,0),AK125,1),"")</f>
        <v>N</v>
      </c>
      <c r="AK125" s="3">
        <v>204</v>
      </c>
      <c r="AL125" s="3" t="str">
        <f>IFERROR(MID(VLOOKUP($B125,Seqs!$A:$B,2,0),AM125,1),"")</f>
        <v>S</v>
      </c>
      <c r="AM125" s="3">
        <v>273</v>
      </c>
      <c r="AN125" s="3" t="str">
        <f>IFERROR(MID(VLOOKUP($B125,Seqs!$A:$B,2,0),AO125,1),"")</f>
        <v>A</v>
      </c>
      <c r="AO125" s="3">
        <v>282</v>
      </c>
      <c r="AP125" s="3" t="str">
        <f>IFERROR(MID(VLOOKUP($B125,Seqs!$A:$B,2,0),AQ125,1),"")</f>
        <v>N</v>
      </c>
      <c r="AQ125" s="3">
        <v>316</v>
      </c>
      <c r="AR125" s="3" t="str">
        <f>IFERROR(MID(VLOOKUP($B125,Seqs!$A:$B,2,0),AS125,1),"")</f>
        <v>P</v>
      </c>
      <c r="AS125" s="3">
        <v>321</v>
      </c>
      <c r="AT125" s="3" t="str">
        <f>IFERROR(MID(VLOOKUP($B125,Seqs!$A:$B,2,0),AU125,1),"")</f>
        <v>R</v>
      </c>
      <c r="AU125" s="3">
        <v>345</v>
      </c>
      <c r="AV125" s="3" t="str">
        <f>IFERROR(MID(VLOOKUP($B125,Seqs!$A:$B,2,0),AW125,1),"")</f>
        <v>S</v>
      </c>
      <c r="AW125" s="3">
        <v>346</v>
      </c>
      <c r="AX125" s="3" t="str">
        <f>IFERROR(MID(VLOOKUP($B125,Seqs!$A:$B,2,0),AY125,1),"")</f>
        <v>L</v>
      </c>
      <c r="AY125" s="3">
        <v>357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ref="BB125" si="1092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 t="shared" ref="BC125" si="1093">_xlfn.AGGREGATE(9,6,CH125:CS125)-_xlfn.AGGREGATE(9,6,BV125:CG125)+12</f>
        <v>286</v>
      </c>
      <c r="BD125" s="5" t="s">
        <v>1371</v>
      </c>
      <c r="BE125" s="3" t="s">
        <v>1287</v>
      </c>
      <c r="BF125" s="118">
        <v>2.5</v>
      </c>
      <c r="BG125" s="49" t="s">
        <v>1</v>
      </c>
      <c r="BH125" s="49" t="s">
        <v>1</v>
      </c>
      <c r="BI125" s="1"/>
      <c r="BJ125" s="70" t="s">
        <v>1283</v>
      </c>
      <c r="BK125" s="57" t="s">
        <v>1283</v>
      </c>
      <c r="BL125" s="57" t="s">
        <v>1283</v>
      </c>
      <c r="BM125" s="57" t="s">
        <v>1283</v>
      </c>
      <c r="BN125" s="57" t="s">
        <v>1283</v>
      </c>
      <c r="BO125" s="57" t="s">
        <v>1283</v>
      </c>
      <c r="BP125" s="57" t="s">
        <v>1283</v>
      </c>
      <c r="BQ125" s="57" t="s">
        <v>1283</v>
      </c>
      <c r="BR125" s="57" t="s">
        <v>1283</v>
      </c>
      <c r="BS125" s="57" t="s">
        <v>1283</v>
      </c>
      <c r="BT125" s="57" t="s">
        <v>1283</v>
      </c>
      <c r="BU125" s="57" t="s">
        <v>1283</v>
      </c>
      <c r="BV125" s="70">
        <f t="shared" ref="BV125" si="1094">E125</f>
        <v>40</v>
      </c>
      <c r="BW125" s="71">
        <f t="shared" ref="BW125" si="1095">I125</f>
        <v>70</v>
      </c>
      <c r="BX125" s="72">
        <f t="shared" ref="BX125" si="1096">M125</f>
        <v>74</v>
      </c>
      <c r="BY125" s="71">
        <f t="shared" ref="BY125" si="1097">Q125</f>
        <v>106</v>
      </c>
      <c r="BZ125" s="72">
        <f t="shared" ref="BZ125" si="1098">U125</f>
        <v>110</v>
      </c>
      <c r="CA125" s="71">
        <f t="shared" ref="CA125" si="1099">Y125</f>
        <v>146</v>
      </c>
      <c r="CB125" s="72">
        <f t="shared" ref="CB125" si="1100">AC125</f>
        <v>154</v>
      </c>
      <c r="CC125" s="71">
        <f t="shared" ref="CC125" si="1101">AG125</f>
        <v>199</v>
      </c>
      <c r="CD125" s="72">
        <f t="shared" ref="CD125" si="1102">AK125</f>
        <v>204</v>
      </c>
      <c r="CE125" s="71">
        <f t="shared" ref="CE125" si="1103">AO125</f>
        <v>282</v>
      </c>
      <c r="CF125" s="72">
        <f t="shared" ref="CF125" si="1104">AS125</f>
        <v>321</v>
      </c>
      <c r="CG125" s="71">
        <f t="shared" ref="CG125" si="1105">AW125</f>
        <v>346</v>
      </c>
      <c r="CH125" s="70">
        <f t="shared" ref="CH125" si="1106">G125</f>
        <v>69</v>
      </c>
      <c r="CI125" s="71">
        <f t="shared" ref="CI125" si="1107">K125</f>
        <v>73</v>
      </c>
      <c r="CJ125" s="72">
        <f t="shared" ref="CJ125" si="1108">O125</f>
        <v>105</v>
      </c>
      <c r="CK125" s="72">
        <f t="shared" ref="CK125" si="1109">S125</f>
        <v>109</v>
      </c>
      <c r="CL125" s="72">
        <f t="shared" ref="CL125" si="1110">W125</f>
        <v>145</v>
      </c>
      <c r="CM125" s="72">
        <f t="shared" ref="CM125" si="1111">AA125</f>
        <v>153</v>
      </c>
      <c r="CN125" s="72">
        <f t="shared" ref="CN125" si="1112">AE125</f>
        <v>180</v>
      </c>
      <c r="CO125" s="72">
        <f t="shared" ref="CO125" si="1113">AI125</f>
        <v>201</v>
      </c>
      <c r="CP125" s="72">
        <f t="shared" ref="CP125" si="1114">AM125</f>
        <v>273</v>
      </c>
      <c r="CQ125" s="72">
        <f t="shared" ref="CQ125" si="1115">AQ125</f>
        <v>316</v>
      </c>
      <c r="CR125" s="72">
        <f t="shared" ref="CR125" si="1116">AU125</f>
        <v>345</v>
      </c>
      <c r="CS125" s="72">
        <f t="shared" ref="CS125" si="1117">AY125</f>
        <v>357</v>
      </c>
      <c r="CT125" s="23">
        <f t="shared" ref="CT125" si="1118">M125-K125</f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ref="A126" si="1119">CONCATENATE(B126,"_",C126)</f>
        <v>adrb1_melga_6H7O</v>
      </c>
      <c r="B126" s="3" t="s">
        <v>907</v>
      </c>
      <c r="C126" s="3" t="s">
        <v>1519</v>
      </c>
      <c r="D126" s="3" t="str">
        <f>IFERROR(MID(VLOOKUP($B126,Seqs!$A:$B,2,0),E126,1),"")</f>
        <v>W</v>
      </c>
      <c r="E126" s="3">
        <v>40</v>
      </c>
      <c r="F126" s="3" t="str">
        <f>IFERROR(MID(VLOOKUP($B126,Seqs!$A:$B,2,0),G126,1),"")</f>
        <v>T</v>
      </c>
      <c r="G126" s="3">
        <v>69</v>
      </c>
      <c r="H126" s="3" t="str">
        <f>IFERROR(MID(VLOOKUP($B126,Seqs!$A:$B,2,0),I126,1),"")</f>
        <v>Q</v>
      </c>
      <c r="I126" s="23">
        <v>70</v>
      </c>
      <c r="J126" s="3" t="str">
        <f>IFERROR(MID(VLOOKUP($B126,Seqs!$A:$B,2,0),K126,1),"")</f>
        <v>Q</v>
      </c>
      <c r="K126" s="23">
        <v>73</v>
      </c>
      <c r="L126" s="3" t="str">
        <f>IFERROR(MID(VLOOKUP($B126,Seqs!$A:$B,2,0),M126,1),"")</f>
        <v>T</v>
      </c>
      <c r="M126" s="3">
        <v>74</v>
      </c>
      <c r="N126" s="3" t="str">
        <f>IFERROR(MID(VLOOKUP($B126,Seqs!$A:$B,2,0),O126,1),"")</f>
        <v>G</v>
      </c>
      <c r="O126" s="3">
        <v>105</v>
      </c>
      <c r="P126" s="3" t="str">
        <f>IFERROR(MID(VLOOKUP($B126,Seqs!$A:$B,2,0),Q126,1),"")</f>
        <v>T</v>
      </c>
      <c r="Q126" s="3">
        <v>106</v>
      </c>
      <c r="R126" s="3" t="str">
        <f>IFERROR(MID(VLOOKUP($B126,Seqs!$A:$B,2,0),S126,1),"")</f>
        <v>W</v>
      </c>
      <c r="S126" s="3">
        <v>109</v>
      </c>
      <c r="T126" s="3" t="str">
        <f>IFERROR(MID(VLOOKUP($B126,Seqs!$A:$B,2,0),U126,1),"")</f>
        <v>G</v>
      </c>
      <c r="U126" s="3">
        <v>110</v>
      </c>
      <c r="V126" s="3" t="str">
        <f>IFERROR(MID(VLOOKUP($B126,Seqs!$A:$B,2,0),W126,1),"")</f>
        <v>S</v>
      </c>
      <c r="W126" s="3">
        <v>145</v>
      </c>
      <c r="X126" s="3" t="str">
        <f>IFERROR(MID(VLOOKUP($B126,Seqs!$A:$B,2,0),Y126,1),"")</f>
        <v>P</v>
      </c>
      <c r="Y126" s="3">
        <v>146</v>
      </c>
      <c r="Z126" s="3" t="str">
        <f>IFERROR(MID(VLOOKUP($B126,Seqs!$A:$B,2,0),AA126,1),"")</f>
        <v>M</v>
      </c>
      <c r="AA126" s="3">
        <v>153</v>
      </c>
      <c r="AB126" s="3" t="str">
        <f>IFERROR(MID(VLOOKUP($B126,Seqs!$A:$B,2,0),AC126,1),"")</f>
        <v>T</v>
      </c>
      <c r="AC126" s="3">
        <v>154</v>
      </c>
      <c r="AD126" s="3" t="str">
        <f>IFERROR(MID(VLOOKUP($B126,Seqs!$A:$B,2,0),AE126,1),"")</f>
        <v>H</v>
      </c>
      <c r="AE126" s="3">
        <v>180</v>
      </c>
      <c r="AF126" s="3" t="str">
        <f>IFERROR(MID(VLOOKUP($B126,Seqs!$A:$B,2,0),AG126,1),"")</f>
        <v>C</v>
      </c>
      <c r="AG126" s="3">
        <v>199</v>
      </c>
      <c r="AH126" s="3" t="str">
        <f>IFERROR(MID(VLOOKUP($B126,Seqs!$A:$B,2,0),AI126,1),"")</f>
        <v>F</v>
      </c>
      <c r="AI126" s="3">
        <v>201</v>
      </c>
      <c r="AJ126" s="3" t="str">
        <f>IFERROR(MID(VLOOKUP($B126,Seqs!$A:$B,2,0),AK126,1),"")</f>
        <v>N</v>
      </c>
      <c r="AK126" s="3">
        <v>204</v>
      </c>
      <c r="AL126" s="3" t="str">
        <f>IFERROR(MID(VLOOKUP($B126,Seqs!$A:$B,2,0),AM126,1),"")</f>
        <v>S</v>
      </c>
      <c r="AM126" s="3">
        <v>273</v>
      </c>
      <c r="AN126" s="3" t="str">
        <f>IFERROR(MID(VLOOKUP($B126,Seqs!$A:$B,2,0),AO126,1),"")</f>
        <v>A</v>
      </c>
      <c r="AO126" s="3">
        <v>282</v>
      </c>
      <c r="AP126" s="3" t="str">
        <f>IFERROR(MID(VLOOKUP($B126,Seqs!$A:$B,2,0),AQ126,1),"")</f>
        <v>N</v>
      </c>
      <c r="AQ126" s="3">
        <v>316</v>
      </c>
      <c r="AR126" s="3" t="str">
        <f>IFERROR(MID(VLOOKUP($B126,Seqs!$A:$B,2,0),AS126,1),"")</f>
        <v>P</v>
      </c>
      <c r="AS126" s="3">
        <v>321</v>
      </c>
      <c r="AT126" s="3" t="str">
        <f>IFERROR(MID(VLOOKUP($B126,Seqs!$A:$B,2,0),AU126,1),"")</f>
        <v>R</v>
      </c>
      <c r="AU126" s="3">
        <v>345</v>
      </c>
      <c r="AV126" s="3" t="str">
        <f>IFERROR(MID(VLOOKUP($B126,Seqs!$A:$B,2,0),AW126,1),"")</f>
        <v>S</v>
      </c>
      <c r="AW126" s="3">
        <v>346</v>
      </c>
      <c r="AX126" s="3" t="str">
        <f>IFERROR(MID(VLOOKUP($B126,Seqs!$A:$B,2,0),AY126,1),"")</f>
        <v>L</v>
      </c>
      <c r="AY126" s="3">
        <v>357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" si="1120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ref="BC126" si="1121">_xlfn.AGGREGATE(9,6,CH126:CS126)-_xlfn.AGGREGATE(9,6,BV126:CG126)+12</f>
        <v>286</v>
      </c>
      <c r="BD126" s="5" t="s">
        <v>23</v>
      </c>
      <c r="BE126" s="3" t="s">
        <v>1287</v>
      </c>
      <c r="BF126" s="118">
        <v>2.8</v>
      </c>
      <c r="BG126" s="49" t="s">
        <v>1</v>
      </c>
      <c r="BH126" s="49" t="s">
        <v>1</v>
      </c>
      <c r="BI126" s="1"/>
      <c r="BJ126" s="70" t="s">
        <v>1283</v>
      </c>
      <c r="BK126" s="57" t="s">
        <v>1283</v>
      </c>
      <c r="BL126" s="57" t="s">
        <v>1283</v>
      </c>
      <c r="BM126" s="57" t="s">
        <v>1283</v>
      </c>
      <c r="BN126" s="57" t="s">
        <v>1283</v>
      </c>
      <c r="BO126" s="57" t="s">
        <v>1283</v>
      </c>
      <c r="BP126" s="57" t="s">
        <v>1283</v>
      </c>
      <c r="BQ126" s="57" t="s">
        <v>1283</v>
      </c>
      <c r="BR126" s="57" t="s">
        <v>1283</v>
      </c>
      <c r="BS126" s="57" t="s">
        <v>1283</v>
      </c>
      <c r="BT126" s="57" t="s">
        <v>1283</v>
      </c>
      <c r="BU126" s="57" t="s">
        <v>1283</v>
      </c>
      <c r="BV126" s="70">
        <f t="shared" ref="BV126" si="1122">E126</f>
        <v>40</v>
      </c>
      <c r="BW126" s="71">
        <f t="shared" ref="BW126" si="1123">I126</f>
        <v>70</v>
      </c>
      <c r="BX126" s="72">
        <f t="shared" ref="BX126" si="1124">M126</f>
        <v>74</v>
      </c>
      <c r="BY126" s="71">
        <f t="shared" ref="BY126" si="1125">Q126</f>
        <v>106</v>
      </c>
      <c r="BZ126" s="72">
        <f t="shared" ref="BZ126" si="1126">U126</f>
        <v>110</v>
      </c>
      <c r="CA126" s="71">
        <f t="shared" ref="CA126" si="1127">Y126</f>
        <v>146</v>
      </c>
      <c r="CB126" s="72">
        <f t="shared" ref="CB126" si="1128">AC126</f>
        <v>154</v>
      </c>
      <c r="CC126" s="71">
        <f t="shared" ref="CC126" si="1129">AG126</f>
        <v>199</v>
      </c>
      <c r="CD126" s="72">
        <f t="shared" ref="CD126" si="1130">AK126</f>
        <v>204</v>
      </c>
      <c r="CE126" s="71">
        <f t="shared" ref="CE126" si="1131">AO126</f>
        <v>282</v>
      </c>
      <c r="CF126" s="72">
        <f t="shared" ref="CF126" si="1132">AS126</f>
        <v>321</v>
      </c>
      <c r="CG126" s="71">
        <f t="shared" ref="CG126" si="1133">AW126</f>
        <v>346</v>
      </c>
      <c r="CH126" s="70">
        <f t="shared" ref="CH126" si="1134">G126</f>
        <v>69</v>
      </c>
      <c r="CI126" s="71">
        <f t="shared" ref="CI126" si="1135">K126</f>
        <v>73</v>
      </c>
      <c r="CJ126" s="72">
        <f t="shared" ref="CJ126" si="1136">O126</f>
        <v>105</v>
      </c>
      <c r="CK126" s="72">
        <f t="shared" ref="CK126" si="1137">S126</f>
        <v>109</v>
      </c>
      <c r="CL126" s="72">
        <f t="shared" ref="CL126" si="1138">W126</f>
        <v>145</v>
      </c>
      <c r="CM126" s="72">
        <f t="shared" ref="CM126" si="1139">AA126</f>
        <v>153</v>
      </c>
      <c r="CN126" s="72">
        <f t="shared" ref="CN126" si="1140">AE126</f>
        <v>180</v>
      </c>
      <c r="CO126" s="72">
        <f t="shared" ref="CO126" si="1141">AI126</f>
        <v>201</v>
      </c>
      <c r="CP126" s="72">
        <f t="shared" ref="CP126" si="1142">AM126</f>
        <v>273</v>
      </c>
      <c r="CQ126" s="72">
        <f t="shared" ref="CQ126" si="1143">AQ126</f>
        <v>316</v>
      </c>
      <c r="CR126" s="72">
        <f t="shared" ref="CR126" si="1144">AU126</f>
        <v>345</v>
      </c>
      <c r="CS126" s="72">
        <f t="shared" ref="CS126" si="1145">AY126</f>
        <v>357</v>
      </c>
      <c r="CT126" s="23">
        <f t="shared" ref="CT126" si="1146">M126-K126</f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ref="A127" si="1147">CONCATENATE(B127,"_",C127)</f>
        <v>adrb1_melga_6IBL</v>
      </c>
      <c r="B127" s="3" t="s">
        <v>907</v>
      </c>
      <c r="C127" s="3" t="s">
        <v>1546</v>
      </c>
      <c r="D127" s="3" t="str">
        <f>IFERROR(MID(VLOOKUP($B127,Seqs!$A:$B,2,0),E127,1),"")</f>
        <v>E</v>
      </c>
      <c r="E127" s="3">
        <v>41</v>
      </c>
      <c r="F127" s="3" t="str">
        <f>IFERROR(MID(VLOOKUP($B127,Seqs!$A:$B,2,0),G127,1),"")</f>
        <v>T</v>
      </c>
      <c r="G127" s="3">
        <v>69</v>
      </c>
      <c r="H127" s="3" t="str">
        <f>IFERROR(MID(VLOOKUP($B127,Seqs!$A:$B,2,0),I127,1),"")</f>
        <v>Q</v>
      </c>
      <c r="I127" s="23">
        <v>70</v>
      </c>
      <c r="J127" s="3" t="str">
        <f>IFERROR(MID(VLOOKUP($B127,Seqs!$A:$B,2,0),K127,1),"")</f>
        <v>Q</v>
      </c>
      <c r="K127" s="23">
        <v>73</v>
      </c>
      <c r="L127" s="3" t="str">
        <f>IFERROR(MID(VLOOKUP($B127,Seqs!$A:$B,2,0),M127,1),"")</f>
        <v>T</v>
      </c>
      <c r="M127" s="3">
        <v>74</v>
      </c>
      <c r="N127" s="3" t="str">
        <f>IFERROR(MID(VLOOKUP($B127,Seqs!$A:$B,2,0),O127,1),"")</f>
        <v>G</v>
      </c>
      <c r="O127" s="3">
        <v>105</v>
      </c>
      <c r="P127" s="3" t="str">
        <f>IFERROR(MID(VLOOKUP($B127,Seqs!$A:$B,2,0),Q127,1),"")</f>
        <v>T</v>
      </c>
      <c r="Q127" s="3">
        <v>106</v>
      </c>
      <c r="R127" s="3" t="str">
        <f>IFERROR(MID(VLOOKUP($B127,Seqs!$A:$B,2,0),S127,1),"")</f>
        <v>W</v>
      </c>
      <c r="S127" s="3">
        <v>109</v>
      </c>
      <c r="T127" s="3" t="str">
        <f>IFERROR(MID(VLOOKUP($B127,Seqs!$A:$B,2,0),U127,1),"")</f>
        <v>G</v>
      </c>
      <c r="U127" s="3">
        <v>110</v>
      </c>
      <c r="V127" s="3" t="str">
        <f>IFERROR(MID(VLOOKUP($B127,Seqs!$A:$B,2,0),W127,1),"")</f>
        <v>S</v>
      </c>
      <c r="W127" s="3">
        <v>145</v>
      </c>
      <c r="X127" s="3" t="str">
        <f>IFERROR(MID(VLOOKUP($B127,Seqs!$A:$B,2,0),Y127,1),"")</f>
        <v>P</v>
      </c>
      <c r="Y127" s="3">
        <v>146</v>
      </c>
      <c r="Z127" s="3" t="str">
        <f>IFERROR(MID(VLOOKUP($B127,Seqs!$A:$B,2,0),AA127,1),"")</f>
        <v>M</v>
      </c>
      <c r="AA127" s="3">
        <v>153</v>
      </c>
      <c r="AB127" s="3" t="str">
        <f>IFERROR(MID(VLOOKUP($B127,Seqs!$A:$B,2,0),AC127,1),"")</f>
        <v>T</v>
      </c>
      <c r="AC127" s="3">
        <v>154</v>
      </c>
      <c r="AD127" s="3" t="str">
        <f>IFERROR(MID(VLOOKUP($B127,Seqs!$A:$B,2,0),AE127,1),"")</f>
        <v>H</v>
      </c>
      <c r="AE127" s="3">
        <v>180</v>
      </c>
      <c r="AF127" s="3" t="str">
        <f>IFERROR(MID(VLOOKUP($B127,Seqs!$A:$B,2,0),AG127,1),"")</f>
        <v>C</v>
      </c>
      <c r="AG127" s="3">
        <v>199</v>
      </c>
      <c r="AH127" s="3" t="str">
        <f>IFERROR(MID(VLOOKUP($B127,Seqs!$A:$B,2,0),AI127,1),"")</f>
        <v>F</v>
      </c>
      <c r="AI127" s="3">
        <v>201</v>
      </c>
      <c r="AJ127" s="3" t="str">
        <f>IFERROR(MID(VLOOKUP($B127,Seqs!$A:$B,2,0),AK127,1),"")</f>
        <v>N</v>
      </c>
      <c r="AK127" s="3">
        <v>204</v>
      </c>
      <c r="AL127" s="3" t="str">
        <f>IFERROR(MID(VLOOKUP($B127,Seqs!$A:$B,2,0),AM127,1),"")</f>
        <v>S</v>
      </c>
      <c r="AM127" s="3">
        <v>273</v>
      </c>
      <c r="AN127" s="3" t="str">
        <f>IFERROR(MID(VLOOKUP($B127,Seqs!$A:$B,2,0),AO127,1),"")</f>
        <v>A</v>
      </c>
      <c r="AO127" s="3">
        <v>282</v>
      </c>
      <c r="AP127" s="3" t="str">
        <f>IFERROR(MID(VLOOKUP($B127,Seqs!$A:$B,2,0),AQ127,1),"")</f>
        <v>N</v>
      </c>
      <c r="AQ127" s="3">
        <v>316</v>
      </c>
      <c r="AR127" s="3" t="str">
        <f>IFERROR(MID(VLOOKUP($B127,Seqs!$A:$B,2,0),AS127,1),"")</f>
        <v>P</v>
      </c>
      <c r="AS127" s="3">
        <v>321</v>
      </c>
      <c r="AT127" s="3" t="str">
        <f>IFERROR(MID(VLOOKUP($B127,Seqs!$A:$B,2,0),AU127,1),"")</f>
        <v>C</v>
      </c>
      <c r="AU127" s="3">
        <v>344</v>
      </c>
      <c r="AV127" s="3" t="str">
        <f>IFERROR(MID(VLOOKUP($B127,Seqs!$A:$B,2,0),AW127,1),"")</f>
        <v>S</v>
      </c>
      <c r="AW127" s="3">
        <v>346</v>
      </c>
      <c r="AX127" s="3" t="str">
        <f>IFERROR(MID(VLOOKUP($B127,Seqs!$A:$B,2,0),AY127,1),"")</f>
        <v>L</v>
      </c>
      <c r="AY127" s="3">
        <v>357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1148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1149">_xlfn.AGGREGATE(9,6,CH127:CS127)-_xlfn.AGGREGATE(9,6,BV127:CG127)+12</f>
        <v>284</v>
      </c>
      <c r="BD127" s="5" t="s">
        <v>23</v>
      </c>
      <c r="BE127" s="3" t="s">
        <v>1287</v>
      </c>
      <c r="BF127" s="118">
        <v>2.7</v>
      </c>
      <c r="BG127" s="49" t="s">
        <v>1</v>
      </c>
      <c r="BH127" s="49" t="s">
        <v>1</v>
      </c>
      <c r="BI127" s="1"/>
      <c r="BJ127" s="70" t="s">
        <v>1283</v>
      </c>
      <c r="BK127" s="57" t="s">
        <v>1283</v>
      </c>
      <c r="BL127" s="57" t="s">
        <v>1283</v>
      </c>
      <c r="BM127" s="57" t="s">
        <v>1283</v>
      </c>
      <c r="BN127" s="57" t="s">
        <v>1283</v>
      </c>
      <c r="BO127" s="57" t="s">
        <v>1283</v>
      </c>
      <c r="BP127" s="57" t="s">
        <v>1283</v>
      </c>
      <c r="BQ127" s="57" t="s">
        <v>1283</v>
      </c>
      <c r="BR127" s="57" t="s">
        <v>1283</v>
      </c>
      <c r="BS127" s="57" t="s">
        <v>1283</v>
      </c>
      <c r="BT127" s="57" t="s">
        <v>1283</v>
      </c>
      <c r="BU127" s="57" t="s">
        <v>1283</v>
      </c>
      <c r="BV127" s="70">
        <f t="shared" ref="BV127" si="1150">E127</f>
        <v>41</v>
      </c>
      <c r="BW127" s="71">
        <f t="shared" ref="BW127" si="1151">I127</f>
        <v>70</v>
      </c>
      <c r="BX127" s="72">
        <f t="shared" ref="BX127" si="1152">M127</f>
        <v>74</v>
      </c>
      <c r="BY127" s="71">
        <f t="shared" ref="BY127" si="1153">Q127</f>
        <v>106</v>
      </c>
      <c r="BZ127" s="72">
        <f t="shared" ref="BZ127" si="1154">U127</f>
        <v>110</v>
      </c>
      <c r="CA127" s="71">
        <f t="shared" ref="CA127" si="1155">Y127</f>
        <v>146</v>
      </c>
      <c r="CB127" s="72">
        <f t="shared" ref="CB127" si="1156">AC127</f>
        <v>154</v>
      </c>
      <c r="CC127" s="71">
        <f t="shared" ref="CC127" si="1157">AG127</f>
        <v>199</v>
      </c>
      <c r="CD127" s="72">
        <f t="shared" ref="CD127" si="1158">AK127</f>
        <v>204</v>
      </c>
      <c r="CE127" s="71">
        <f t="shared" ref="CE127" si="1159">AO127</f>
        <v>282</v>
      </c>
      <c r="CF127" s="72">
        <f t="shared" ref="CF127" si="1160">AS127</f>
        <v>321</v>
      </c>
      <c r="CG127" s="71">
        <f t="shared" ref="CG127" si="1161">AW127</f>
        <v>346</v>
      </c>
      <c r="CH127" s="70">
        <f t="shared" ref="CH127" si="1162">G127</f>
        <v>69</v>
      </c>
      <c r="CI127" s="71">
        <f t="shared" ref="CI127" si="1163">K127</f>
        <v>73</v>
      </c>
      <c r="CJ127" s="72">
        <f t="shared" ref="CJ127" si="1164">O127</f>
        <v>105</v>
      </c>
      <c r="CK127" s="72">
        <f t="shared" ref="CK127" si="1165">S127</f>
        <v>109</v>
      </c>
      <c r="CL127" s="72">
        <f t="shared" ref="CL127" si="1166">W127</f>
        <v>145</v>
      </c>
      <c r="CM127" s="72">
        <f t="shared" ref="CM127" si="1167">AA127</f>
        <v>153</v>
      </c>
      <c r="CN127" s="72">
        <f t="shared" ref="CN127" si="1168">AE127</f>
        <v>180</v>
      </c>
      <c r="CO127" s="72">
        <f t="shared" ref="CO127" si="1169">AI127</f>
        <v>201</v>
      </c>
      <c r="CP127" s="72">
        <f t="shared" ref="CP127" si="1170">AM127</f>
        <v>273</v>
      </c>
      <c r="CQ127" s="72">
        <f t="shared" ref="CQ127" si="1171">AQ127</f>
        <v>316</v>
      </c>
      <c r="CR127" s="72">
        <f t="shared" ref="CR127" si="1172">AU127</f>
        <v>344</v>
      </c>
      <c r="CS127" s="72">
        <f t="shared" ref="CS127" si="1173">AY127</f>
        <v>357</v>
      </c>
      <c r="CT127" s="23">
        <f t="shared" ref="CT127" si="1174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s="12" customFormat="1" x14ac:dyDescent="0.2">
      <c r="A128" s="9" t="str">
        <f t="shared" ref="A128" si="1175">CONCATENATE(B128,"_",C128)</f>
        <v>adrb1_melga_6TKO</v>
      </c>
      <c r="B128" s="9" t="s">
        <v>907</v>
      </c>
      <c r="C128" s="9" t="s">
        <v>1680</v>
      </c>
      <c r="D128" s="9" t="str">
        <f>IFERROR(MID(VLOOKUP($B128,Seqs!$A:$B,2,0),E128,1),"")</f>
        <v>M</v>
      </c>
      <c r="E128" s="9">
        <v>44</v>
      </c>
      <c r="F128" s="9" t="str">
        <f>IFERROR(MID(VLOOKUP($B128,Seqs!$A:$B,2,0),G128,1),"")</f>
        <v>T</v>
      </c>
      <c r="G128" s="9">
        <v>69</v>
      </c>
      <c r="H128" s="9" t="str">
        <f>IFERROR(MID(VLOOKUP($B128,Seqs!$A:$B,2,0),I128,1),"")</f>
        <v>Q</v>
      </c>
      <c r="I128" s="109">
        <v>70</v>
      </c>
      <c r="J128" s="9" t="str">
        <f>IFERROR(MID(VLOOKUP($B128,Seqs!$A:$B,2,0),K128,1),"")</f>
        <v>Q</v>
      </c>
      <c r="K128" s="109">
        <v>73</v>
      </c>
      <c r="L128" s="9" t="str">
        <f>IFERROR(MID(VLOOKUP($B128,Seqs!$A:$B,2,0),M128,1),"")</f>
        <v>T</v>
      </c>
      <c r="M128" s="9">
        <v>74</v>
      </c>
      <c r="N128" s="9" t="str">
        <f>IFERROR(MID(VLOOKUP($B128,Seqs!$A:$B,2,0),O128,1),"")</f>
        <v>G</v>
      </c>
      <c r="O128" s="9">
        <v>105</v>
      </c>
      <c r="P128" s="9" t="str">
        <f>IFERROR(MID(VLOOKUP($B128,Seqs!$A:$B,2,0),Q128,1),"")</f>
        <v>T</v>
      </c>
      <c r="Q128" s="9">
        <v>106</v>
      </c>
      <c r="R128" s="9" t="str">
        <f>IFERROR(MID(VLOOKUP($B128,Seqs!$A:$B,2,0),S128,1),"")</f>
        <v>W</v>
      </c>
      <c r="S128" s="9">
        <v>109</v>
      </c>
      <c r="T128" s="9" t="str">
        <f>IFERROR(MID(VLOOKUP($B128,Seqs!$A:$B,2,0),U128,1),"")</f>
        <v>G</v>
      </c>
      <c r="U128" s="9">
        <v>110</v>
      </c>
      <c r="V128" s="9" t="str">
        <f>IFERROR(MID(VLOOKUP($B128,Seqs!$A:$B,2,0),W128,1),"")</f>
        <v>S</v>
      </c>
      <c r="W128" s="9">
        <v>145</v>
      </c>
      <c r="X128" s="9" t="str">
        <f>IFERROR(MID(VLOOKUP($B128,Seqs!$A:$B,2,0),Y128,1),"")</f>
        <v>P</v>
      </c>
      <c r="Y128" s="9">
        <v>146</v>
      </c>
      <c r="Z128" s="9" t="str">
        <f>IFERROR(MID(VLOOKUP($B128,Seqs!$A:$B,2,0),AA128,1),"")</f>
        <v>M</v>
      </c>
      <c r="AA128" s="9">
        <v>153</v>
      </c>
      <c r="AB128" s="9" t="str">
        <f>IFERROR(MID(VLOOKUP($B128,Seqs!$A:$B,2,0),AC128,1),"")</f>
        <v>T</v>
      </c>
      <c r="AC128" s="9">
        <v>154</v>
      </c>
      <c r="AD128" s="9" t="str">
        <f>IFERROR(MID(VLOOKUP($B128,Seqs!$A:$B,2,0),AE128,1),"")</f>
        <v>H</v>
      </c>
      <c r="AE128" s="9">
        <v>180</v>
      </c>
      <c r="AF128" s="9" t="str">
        <f>IFERROR(MID(VLOOKUP($B128,Seqs!$A:$B,2,0),AG128,1),"")</f>
        <v>C</v>
      </c>
      <c r="AG128" s="9">
        <v>199</v>
      </c>
      <c r="AH128" s="9" t="str">
        <f>IFERROR(MID(VLOOKUP($B128,Seqs!$A:$B,2,0),AI128,1),"")</f>
        <v>F</v>
      </c>
      <c r="AI128" s="9">
        <v>201</v>
      </c>
      <c r="AJ128" s="9" t="str">
        <f>IFERROR(MID(VLOOKUP($B128,Seqs!$A:$B,2,0),AK128,1),"")</f>
        <v>N</v>
      </c>
      <c r="AK128" s="9">
        <v>204</v>
      </c>
      <c r="AL128" s="9" t="str">
        <f>IFERROR(MID(VLOOKUP($B128,Seqs!$A:$B,2,0),AM128,1),"")</f>
        <v>D</v>
      </c>
      <c r="AM128" s="9">
        <v>242</v>
      </c>
      <c r="AN128" s="9" t="str">
        <f>IFERROR(MID(VLOOKUP($B128,Seqs!$A:$B,2,0),AO128,1),"")</f>
        <v>V</v>
      </c>
      <c r="AO128" s="9">
        <v>280</v>
      </c>
      <c r="AP128" s="9" t="str">
        <f>IFERROR(MID(VLOOKUP($B128,Seqs!$A:$B,2,0),AQ128,1),"")</f>
        <v>N</v>
      </c>
      <c r="AQ128" s="9">
        <v>316</v>
      </c>
      <c r="AR128" s="9" t="str">
        <f>IFERROR(MID(VLOOKUP($B128,Seqs!$A:$B,2,0),AS128,1),"")</f>
        <v>P</v>
      </c>
      <c r="AS128" s="9">
        <v>321</v>
      </c>
      <c r="AT128" s="9" t="str">
        <f>IFERROR(MID(VLOOKUP($B128,Seqs!$A:$B,2,0),AU128,1),"")</f>
        <v>Y</v>
      </c>
      <c r="AU128" s="9">
        <v>343</v>
      </c>
      <c r="AV128" s="9" t="str">
        <f>IFERROR(MID(VLOOKUP($B128,Seqs!$A:$B,2,0),AW128,1),"")</f>
        <v>S</v>
      </c>
      <c r="AW128" s="9">
        <v>346</v>
      </c>
      <c r="AX128" s="9" t="str">
        <f>IFERROR(MID(VLOOKUP($B128,Seqs!$A:$B,2,0),AY128,1),"")</f>
        <v>C</v>
      </c>
      <c r="AY128" s="9">
        <v>358</v>
      </c>
      <c r="AZ128" s="110" t="str">
        <f>VLOOKUP(B128,Classification!A:D,2,0)</f>
        <v>A</v>
      </c>
      <c r="BA128" s="98" t="str">
        <f>VLOOKUP(B128,Classification!A:D,4,0)</f>
        <v>Adrenoceptors</v>
      </c>
      <c r="BB128" s="36" t="b">
        <f t="shared" ref="BB128" si="1176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09">
        <f t="shared" ref="BC128" si="1177">_xlfn.AGGREGATE(9,6,CH128:CS128)-_xlfn.AGGREGATE(9,6,BV128:CG128)+12</f>
        <v>252</v>
      </c>
      <c r="BD128" s="13" t="s">
        <v>23</v>
      </c>
      <c r="BE128" s="9" t="s">
        <v>1287</v>
      </c>
      <c r="BF128" s="119">
        <v>3.3</v>
      </c>
      <c r="BG128" s="51" t="s">
        <v>1</v>
      </c>
      <c r="BH128" s="51" t="s">
        <v>1</v>
      </c>
      <c r="BJ128" s="111" t="s">
        <v>1283</v>
      </c>
      <c r="BK128" s="112" t="s">
        <v>1283</v>
      </c>
      <c r="BL128" s="112" t="s">
        <v>1283</v>
      </c>
      <c r="BM128" s="112" t="s">
        <v>1283</v>
      </c>
      <c r="BN128" s="112" t="s">
        <v>1283</v>
      </c>
      <c r="BO128" s="112" t="s">
        <v>1283</v>
      </c>
      <c r="BP128" s="112" t="s">
        <v>1283</v>
      </c>
      <c r="BQ128" s="112" t="s">
        <v>1283</v>
      </c>
      <c r="BR128" s="112" t="s">
        <v>1283</v>
      </c>
      <c r="BS128" s="112" t="s">
        <v>1283</v>
      </c>
      <c r="BT128" s="112" t="s">
        <v>1283</v>
      </c>
      <c r="BU128" s="112" t="s">
        <v>1283</v>
      </c>
      <c r="BV128" s="111">
        <f t="shared" ref="BV128" si="1178">E128</f>
        <v>44</v>
      </c>
      <c r="BW128" s="113">
        <f t="shared" ref="BW128" si="1179">I128</f>
        <v>70</v>
      </c>
      <c r="BX128" s="114">
        <f t="shared" ref="BX128" si="1180">M128</f>
        <v>74</v>
      </c>
      <c r="BY128" s="113">
        <f t="shared" ref="BY128" si="1181">Q128</f>
        <v>106</v>
      </c>
      <c r="BZ128" s="114">
        <f t="shared" ref="BZ128" si="1182">U128</f>
        <v>110</v>
      </c>
      <c r="CA128" s="113">
        <f t="shared" ref="CA128" si="1183">Y128</f>
        <v>146</v>
      </c>
      <c r="CB128" s="114">
        <f t="shared" ref="CB128" si="1184">AC128</f>
        <v>154</v>
      </c>
      <c r="CC128" s="113">
        <f t="shared" ref="CC128" si="1185">AG128</f>
        <v>199</v>
      </c>
      <c r="CD128" s="114">
        <f t="shared" ref="CD128" si="1186">AK128</f>
        <v>204</v>
      </c>
      <c r="CE128" s="113">
        <f t="shared" ref="CE128" si="1187">AO128</f>
        <v>280</v>
      </c>
      <c r="CF128" s="114">
        <f t="shared" ref="CF128" si="1188">AS128</f>
        <v>321</v>
      </c>
      <c r="CG128" s="113">
        <f t="shared" ref="CG128" si="1189">AW128</f>
        <v>346</v>
      </c>
      <c r="CH128" s="111">
        <f t="shared" ref="CH128" si="1190">G128</f>
        <v>69</v>
      </c>
      <c r="CI128" s="113">
        <f t="shared" ref="CI128" si="1191">K128</f>
        <v>73</v>
      </c>
      <c r="CJ128" s="114">
        <f t="shared" ref="CJ128" si="1192">O128</f>
        <v>105</v>
      </c>
      <c r="CK128" s="114">
        <f t="shared" ref="CK128" si="1193">S128</f>
        <v>109</v>
      </c>
      <c r="CL128" s="114">
        <f t="shared" ref="CL128" si="1194">W128</f>
        <v>145</v>
      </c>
      <c r="CM128" s="114">
        <f t="shared" ref="CM128" si="1195">AA128</f>
        <v>153</v>
      </c>
      <c r="CN128" s="114">
        <f t="shared" ref="CN128" si="1196">AE128</f>
        <v>180</v>
      </c>
      <c r="CO128" s="114">
        <f t="shared" ref="CO128" si="1197">AI128</f>
        <v>201</v>
      </c>
      <c r="CP128" s="114">
        <f t="shared" ref="CP128" si="1198">AM128</f>
        <v>242</v>
      </c>
      <c r="CQ128" s="114">
        <f t="shared" ref="CQ128" si="1199">AQ128</f>
        <v>316</v>
      </c>
      <c r="CR128" s="114">
        <f t="shared" ref="CR128" si="1200">AU128</f>
        <v>343</v>
      </c>
      <c r="CS128" s="114">
        <f t="shared" ref="CS128" si="1201">AY128</f>
        <v>358</v>
      </c>
      <c r="CT128" s="109">
        <f t="shared" ref="CT128" si="1202">M128-K128</f>
        <v>1</v>
      </c>
    </row>
    <row r="129" spans="1:1029" x14ac:dyDescent="0.2">
      <c r="A129" s="3" t="str">
        <f t="shared" si="559"/>
        <v>adrb2_human__wt</v>
      </c>
      <c r="B129" s="3" t="s">
        <v>126</v>
      </c>
      <c r="C129" s="3" t="s">
        <v>100</v>
      </c>
      <c r="D129" s="3" t="str">
        <f>IFERROR(MID(VLOOKUP($B129,Seqs!$A:$B,2,0),E129,1),"")</f>
        <v>Q</v>
      </c>
      <c r="E129" s="3">
        <v>26</v>
      </c>
      <c r="F129" s="3" t="str">
        <f>IFERROR(MID(VLOOKUP($B129,Seqs!$A:$B,2,0),G129,1),"")</f>
        <v>F</v>
      </c>
      <c r="G129" s="3">
        <v>61</v>
      </c>
      <c r="H129" s="3" t="str">
        <f>IFERROR(MID(VLOOKUP($B129,Seqs!$A:$B,2,0),I129,1),"")</f>
        <v>E</v>
      </c>
      <c r="I129" s="23">
        <v>62</v>
      </c>
      <c r="J129" s="3" t="str">
        <f>IFERROR(MID(VLOOKUP($B129,Seqs!$A:$B,2,0),K129,1),"")</f>
        <v>Q</v>
      </c>
      <c r="K129" s="23">
        <v>65</v>
      </c>
      <c r="L129" s="3" t="str">
        <f>IFERROR(MID(VLOOKUP($B129,Seqs!$A:$B,2,0),M129,1),"")</f>
        <v>T</v>
      </c>
      <c r="M129" s="3">
        <v>66</v>
      </c>
      <c r="N129" s="3" t="str">
        <f>IFERROR(MID(VLOOKUP($B129,Seqs!$A:$B,2,0),O129,1),"")</f>
        <v>K</v>
      </c>
      <c r="O129" s="105">
        <v>97</v>
      </c>
      <c r="P129" s="3" t="str">
        <f>IFERROR(MID(VLOOKUP($B129,Seqs!$A:$B,2,0),Q129,1),"")</f>
        <v>M</v>
      </c>
      <c r="Q129" s="3">
        <v>98</v>
      </c>
      <c r="R129" s="3" t="str">
        <f>IFERROR(MID(VLOOKUP($B129,Seqs!$A:$B,2,0),S129,1),"")</f>
        <v>F</v>
      </c>
      <c r="S129" s="3">
        <v>101</v>
      </c>
      <c r="T129" s="3" t="str">
        <f>IFERROR(MID(VLOOKUP($B129,Seqs!$A:$B,2,0),U129,1),"")</f>
        <v>G</v>
      </c>
      <c r="U129" s="3">
        <v>102</v>
      </c>
      <c r="V129" s="3" t="str">
        <f>IFERROR(MID(VLOOKUP($B129,Seqs!$A:$B,2,0),W129,1),"")</f>
        <v>S</v>
      </c>
      <c r="W129" s="3">
        <v>137</v>
      </c>
      <c r="X129" s="3" t="str">
        <f>IFERROR(MID(VLOOKUP($B129,Seqs!$A:$B,2,0),Y129,1),"")</f>
        <v>P</v>
      </c>
      <c r="Y129" s="3">
        <v>138</v>
      </c>
      <c r="Z129" s="3" t="str">
        <f>IFERROR(MID(VLOOKUP($B129,Seqs!$A:$B,2,0),AA129,1),"")</f>
        <v>L</v>
      </c>
      <c r="AA129" s="3">
        <v>145</v>
      </c>
      <c r="AB129" s="3" t="str">
        <f>IFERROR(MID(VLOOKUP($B129,Seqs!$A:$B,2,0),AC129,1),"")</f>
        <v>T</v>
      </c>
      <c r="AC129" s="9">
        <v>146</v>
      </c>
      <c r="AD129" s="3" t="str">
        <f>IFERROR(MID(VLOOKUP($B129,Seqs!$A:$B,2,0),AE129,1),"")</f>
        <v>H</v>
      </c>
      <c r="AE129" s="3">
        <v>172</v>
      </c>
      <c r="AF129" s="3" t="str">
        <f>IFERROR(MID(VLOOKUP($B129,Seqs!$A:$B,2,0),AG129,1),"")</f>
        <v>C</v>
      </c>
      <c r="AG129" s="3">
        <v>191</v>
      </c>
      <c r="AH129" s="3" t="str">
        <f>IFERROR(MID(VLOOKUP($B129,Seqs!$A:$B,2,0),AI129,1),"")</f>
        <v>F</v>
      </c>
      <c r="AI129" s="3">
        <v>193</v>
      </c>
      <c r="AJ129" s="3" t="str">
        <f>IFERROR(MID(VLOOKUP($B129,Seqs!$A:$B,2,0),AK129,1),"")</f>
        <v>N</v>
      </c>
      <c r="AK129" s="3">
        <v>196</v>
      </c>
      <c r="AL129" s="3" t="str">
        <f>IFERROR(MID(VLOOKUP($B129,Seqs!$A:$B,2,0),AM129,1),"")</f>
        <v>E</v>
      </c>
      <c r="AM129" s="3">
        <v>237</v>
      </c>
      <c r="AN129" s="3" t="str">
        <f>IFERROR(MID(VLOOKUP($B129,Seqs!$A:$B,2,0),AO129,1),"")</f>
        <v>S</v>
      </c>
      <c r="AO129" s="3">
        <v>262</v>
      </c>
      <c r="AP129" s="3" t="str">
        <f>IFERROR(MID(VLOOKUP($B129,Seqs!$A:$B,2,0),AQ129,1),"")</f>
        <v>Q</v>
      </c>
      <c r="AQ129" s="3">
        <v>299</v>
      </c>
      <c r="AR129" s="3" t="str">
        <f>IFERROR(MID(VLOOKUP($B129,Seqs!$A:$B,2,0),AS129,1),"")</f>
        <v>R</v>
      </c>
      <c r="AS129" s="3">
        <v>304</v>
      </c>
      <c r="AT129" s="3" t="str">
        <f>IFERROR(MID(VLOOKUP($B129,Seqs!$A:$B,2,0),AU129,1),"")</f>
        <v>R</v>
      </c>
      <c r="AU129" s="3">
        <v>328</v>
      </c>
      <c r="AV129" s="3" t="str">
        <f>IFERROR(MID(VLOOKUP($B129,Seqs!$A:$B,2,0),AW129,1),"")</f>
        <v>S</v>
      </c>
      <c r="AW129" s="3">
        <v>329</v>
      </c>
      <c r="AX129" s="3" t="str">
        <f>IFERROR(MID(VLOOKUP($B129,Seqs!$A:$B,2,0),AY129,1),"")</f>
        <v>C</v>
      </c>
      <c r="AY129" s="3">
        <v>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si="560"/>
        <v>1</v>
      </c>
      <c r="BC129" s="23">
        <f t="shared" si="981"/>
        <v>268</v>
      </c>
      <c r="BD129" s="56" t="s">
        <v>23</v>
      </c>
      <c r="BE129" s="3" t="s">
        <v>23</v>
      </c>
      <c r="BF129" s="118" t="s">
        <v>23</v>
      </c>
      <c r="BG129" s="49" t="s">
        <v>1368</v>
      </c>
      <c r="BH129" s="49" t="s">
        <v>1373</v>
      </c>
      <c r="BI129" s="3" t="s">
        <v>1161</v>
      </c>
      <c r="BJ129" s="70" t="s">
        <v>1283</v>
      </c>
      <c r="BK129" s="57" t="s">
        <v>1283</v>
      </c>
      <c r="BL129" s="57" t="s">
        <v>1283</v>
      </c>
      <c r="BM129" s="57" t="s">
        <v>1283</v>
      </c>
      <c r="BN129" s="57" t="s">
        <v>1283</v>
      </c>
      <c r="BO129" s="57" t="s">
        <v>1283</v>
      </c>
      <c r="BP129" s="57" t="s">
        <v>1283</v>
      </c>
      <c r="BQ129" s="57" t="s">
        <v>1283</v>
      </c>
      <c r="BR129" s="57" t="s">
        <v>1283</v>
      </c>
      <c r="BS129" s="57" t="s">
        <v>1283</v>
      </c>
      <c r="BT129" s="57" t="s">
        <v>1283</v>
      </c>
      <c r="BU129" s="57" t="s">
        <v>1283</v>
      </c>
      <c r="BV129" s="70">
        <f t="shared" si="982"/>
        <v>26</v>
      </c>
      <c r="BW129" s="71">
        <f t="shared" si="983"/>
        <v>62</v>
      </c>
      <c r="BX129" s="72">
        <f t="shared" si="984"/>
        <v>66</v>
      </c>
      <c r="BY129" s="71">
        <f t="shared" si="985"/>
        <v>98</v>
      </c>
      <c r="BZ129" s="72">
        <f t="shared" si="986"/>
        <v>102</v>
      </c>
      <c r="CA129" s="71">
        <f t="shared" si="987"/>
        <v>138</v>
      </c>
      <c r="CB129" s="72">
        <f t="shared" si="988"/>
        <v>146</v>
      </c>
      <c r="CC129" s="71">
        <f t="shared" si="989"/>
        <v>191</v>
      </c>
      <c r="CD129" s="72">
        <f t="shared" si="990"/>
        <v>196</v>
      </c>
      <c r="CE129" s="71">
        <f t="shared" si="991"/>
        <v>262</v>
      </c>
      <c r="CF129" s="72">
        <f t="shared" si="992"/>
        <v>304</v>
      </c>
      <c r="CG129" s="71">
        <f t="shared" si="993"/>
        <v>329</v>
      </c>
      <c r="CH129" s="70">
        <f t="shared" si="994"/>
        <v>61</v>
      </c>
      <c r="CI129" s="71">
        <f t="shared" si="995"/>
        <v>65</v>
      </c>
      <c r="CJ129" s="72">
        <f t="shared" si="996"/>
        <v>97</v>
      </c>
      <c r="CK129" s="72">
        <f t="shared" si="997"/>
        <v>101</v>
      </c>
      <c r="CL129" s="72">
        <f t="shared" si="998"/>
        <v>137</v>
      </c>
      <c r="CM129" s="72">
        <f t="shared" si="999"/>
        <v>145</v>
      </c>
      <c r="CN129" s="72">
        <f t="shared" si="1000"/>
        <v>172</v>
      </c>
      <c r="CO129" s="72">
        <f t="shared" si="1001"/>
        <v>193</v>
      </c>
      <c r="CP129" s="72">
        <f t="shared" si="1002"/>
        <v>237</v>
      </c>
      <c r="CQ129" s="72">
        <f t="shared" si="1003"/>
        <v>299</v>
      </c>
      <c r="CR129" s="72">
        <f t="shared" si="1004"/>
        <v>328</v>
      </c>
      <c r="CS129" s="72">
        <f t="shared" si="1005"/>
        <v>341</v>
      </c>
      <c r="CT129" s="23">
        <f t="shared" si="1006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559"/>
        <v>adrb2_human_2RH1</v>
      </c>
      <c r="B130" s="3" t="s">
        <v>126</v>
      </c>
      <c r="C130" s="3" t="s">
        <v>75</v>
      </c>
      <c r="D130" s="3" t="str">
        <f>IFERROR(MID(VLOOKUP($B130,Seqs!$A:$B,2,0),E130,1),"")</f>
        <v>D</v>
      </c>
      <c r="E130" s="3">
        <v>29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M</v>
      </c>
      <c r="O130" s="3">
        <v>96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Q</v>
      </c>
      <c r="AM130" s="3">
        <v>229</v>
      </c>
      <c r="AN130" s="3" t="str">
        <f>IFERROR(MID(VLOOKUP($B130,Seqs!$A:$B,2,0),AO130,1),"")</f>
        <v>K</v>
      </c>
      <c r="AO130" s="3">
        <v>267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560"/>
        <v>1</v>
      </c>
      <c r="BC130" s="23">
        <f t="shared" si="981"/>
        <v>244</v>
      </c>
      <c r="BD130" s="4" t="s">
        <v>23</v>
      </c>
      <c r="BE130" s="3" t="s">
        <v>1370</v>
      </c>
      <c r="BF130" s="118">
        <v>2.4</v>
      </c>
      <c r="BG130" s="49" t="s">
        <v>1373</v>
      </c>
      <c r="BH130" s="49" t="s">
        <v>1373</v>
      </c>
      <c r="BI130" s="1"/>
      <c r="BJ130" s="70" t="s">
        <v>1283</v>
      </c>
      <c r="BK130" s="57" t="s">
        <v>1283</v>
      </c>
      <c r="BL130" s="57" t="s">
        <v>1283</v>
      </c>
      <c r="BM130" s="57" t="s">
        <v>1283</v>
      </c>
      <c r="BN130" s="57" t="s">
        <v>1283</v>
      </c>
      <c r="BO130" s="57" t="s">
        <v>1283</v>
      </c>
      <c r="BP130" s="57" t="s">
        <v>1283</v>
      </c>
      <c r="BQ130" s="57" t="s">
        <v>1283</v>
      </c>
      <c r="BR130" s="57" t="s">
        <v>1283</v>
      </c>
      <c r="BS130" s="57" t="s">
        <v>1283</v>
      </c>
      <c r="BT130" s="57" t="s">
        <v>1283</v>
      </c>
      <c r="BU130" s="57" t="s">
        <v>1283</v>
      </c>
      <c r="BV130" s="70">
        <f t="shared" si="982"/>
        <v>29</v>
      </c>
      <c r="BW130" s="71">
        <f t="shared" si="983"/>
        <v>62</v>
      </c>
      <c r="BX130" s="72">
        <f t="shared" si="984"/>
        <v>66</v>
      </c>
      <c r="BY130" s="71">
        <f t="shared" si="985"/>
        <v>98</v>
      </c>
      <c r="BZ130" s="72">
        <f t="shared" si="986"/>
        <v>102</v>
      </c>
      <c r="CA130" s="71" t="str">
        <f t="shared" si="987"/>
        <v>-</v>
      </c>
      <c r="CB130" s="72">
        <f t="shared" si="988"/>
        <v>146</v>
      </c>
      <c r="CC130" s="71">
        <f t="shared" si="989"/>
        <v>191</v>
      </c>
      <c r="CD130" s="72">
        <f t="shared" si="990"/>
        <v>196</v>
      </c>
      <c r="CE130" s="71">
        <f t="shared" si="991"/>
        <v>267</v>
      </c>
      <c r="CF130" s="72">
        <f t="shared" si="992"/>
        <v>304</v>
      </c>
      <c r="CG130" s="71">
        <f t="shared" si="993"/>
        <v>329</v>
      </c>
      <c r="CH130" s="70">
        <f t="shared" si="994"/>
        <v>61</v>
      </c>
      <c r="CI130" s="71">
        <f t="shared" si="995"/>
        <v>65</v>
      </c>
      <c r="CJ130" s="72">
        <f t="shared" si="996"/>
        <v>96</v>
      </c>
      <c r="CK130" s="72">
        <f t="shared" si="997"/>
        <v>101</v>
      </c>
      <c r="CL130" s="72">
        <f t="shared" si="998"/>
        <v>137</v>
      </c>
      <c r="CM130" s="72" t="str">
        <f t="shared" si="999"/>
        <v>-</v>
      </c>
      <c r="CN130" s="72">
        <f t="shared" si="1000"/>
        <v>172</v>
      </c>
      <c r="CO130" s="72">
        <f t="shared" si="1001"/>
        <v>193</v>
      </c>
      <c r="CP130" s="72">
        <f t="shared" si="1002"/>
        <v>229</v>
      </c>
      <c r="CQ130" s="72">
        <f t="shared" si="1003"/>
        <v>299</v>
      </c>
      <c r="CR130" s="72">
        <f t="shared" si="1004"/>
        <v>328</v>
      </c>
      <c r="CS130" s="72">
        <f t="shared" si="1005"/>
        <v>341</v>
      </c>
      <c r="CT130" s="23">
        <f t="shared" si="1006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559"/>
        <v>adrb2_human_3D4S</v>
      </c>
      <c r="B131" s="3" t="s">
        <v>126</v>
      </c>
      <c r="C131" s="3" t="s">
        <v>76</v>
      </c>
      <c r="D131" s="3" t="str">
        <f>IFERROR(MID(VLOOKUP($B131,Seqs!$A:$B,2,0),E131,1),"")</f>
        <v>W</v>
      </c>
      <c r="E131" s="3">
        <v>32</v>
      </c>
      <c r="F131" s="3" t="str">
        <f>IFERROR(MID(VLOOKUP($B131,Seqs!$A:$B,2,0),G131,1),"")</f>
        <v>F</v>
      </c>
      <c r="G131" s="3">
        <v>61</v>
      </c>
      <c r="H131" s="3" t="str">
        <f>IFERROR(MID(VLOOKUP($B131,Seqs!$A:$B,2,0),I131,1),"")</f>
        <v>E</v>
      </c>
      <c r="I131" s="23">
        <v>62</v>
      </c>
      <c r="J131" s="3" t="str">
        <f>IFERROR(MID(VLOOKUP($B131,Seqs!$A:$B,2,0),K131,1),"")</f>
        <v>Q</v>
      </c>
      <c r="K131" s="23">
        <v>65</v>
      </c>
      <c r="L131" s="3" t="str">
        <f>IFERROR(MID(VLOOKUP($B131,Seqs!$A:$B,2,0),M131,1),"")</f>
        <v>T</v>
      </c>
      <c r="M131" s="3">
        <v>66</v>
      </c>
      <c r="N131" s="3" t="str">
        <f>IFERROR(MID(VLOOKUP($B131,Seqs!$A:$B,2,0),O131,1),"")</f>
        <v>M</v>
      </c>
      <c r="O131" s="3">
        <v>96</v>
      </c>
      <c r="P131" s="3" t="str">
        <f>IFERROR(MID(VLOOKUP($B131,Seqs!$A:$B,2,0),Q131,1),"")</f>
        <v>M</v>
      </c>
      <c r="Q131" s="3">
        <v>98</v>
      </c>
      <c r="R131" s="3" t="str">
        <f>IFERROR(MID(VLOOKUP($B131,Seqs!$A:$B,2,0),S131,1),"")</f>
        <v>F</v>
      </c>
      <c r="S131" s="3">
        <v>101</v>
      </c>
      <c r="T131" s="3" t="str">
        <f>IFERROR(MID(VLOOKUP($B131,Seqs!$A:$B,2,0),U131,1),"")</f>
        <v>G</v>
      </c>
      <c r="U131" s="3">
        <v>102</v>
      </c>
      <c r="V131" s="3" t="str">
        <f>IFERROR(MID(VLOOKUP($B131,Seqs!$A:$B,2,0),W131,1),"")</f>
        <v>S</v>
      </c>
      <c r="W131" s="3">
        <v>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T</v>
      </c>
      <c r="AC131" s="9">
        <v>146</v>
      </c>
      <c r="AD131" s="3" t="str">
        <f>IFERROR(MID(VLOOKUP($B131,Seqs!$A:$B,2,0),AE131,1),"")</f>
        <v>H</v>
      </c>
      <c r="AE131" s="3">
        <v>172</v>
      </c>
      <c r="AF131" s="3" t="str">
        <f>IFERROR(MID(VLOOKUP($B131,Seqs!$A:$B,2,0),AG131,1),"")</f>
        <v>C</v>
      </c>
      <c r="AG131" s="3">
        <v>191</v>
      </c>
      <c r="AH131" s="3" t="str">
        <f>IFERROR(MID(VLOOKUP($B131,Seqs!$A:$B,2,0),AI131,1),"")</f>
        <v>F</v>
      </c>
      <c r="AI131" s="3">
        <v>193</v>
      </c>
      <c r="AJ131" s="3" t="str">
        <f>IFERROR(MID(VLOOKUP($B131,Seqs!$A:$B,2,0),AK131,1),"")</f>
        <v>N</v>
      </c>
      <c r="AK131" s="3">
        <v>196</v>
      </c>
      <c r="AL131" s="3" t="str">
        <f>IFERROR(MID(VLOOKUP($B131,Seqs!$A:$B,2,0),AM131,1),"")</f>
        <v>Q</v>
      </c>
      <c r="AM131" s="3">
        <v>229</v>
      </c>
      <c r="AN131" s="3" t="str">
        <f>IFERROR(MID(VLOOKUP($B131,Seqs!$A:$B,2,0),AO131,1),"")</f>
        <v>K</v>
      </c>
      <c r="AO131" s="3">
        <v>267</v>
      </c>
      <c r="AP131" s="3" t="str">
        <f>IFERROR(MID(VLOOKUP($B131,Seqs!$A:$B,2,0),AQ131,1),"")</f>
        <v>Q</v>
      </c>
      <c r="AQ131" s="3">
        <v>299</v>
      </c>
      <c r="AR131" s="3" t="str">
        <f>IFERROR(MID(VLOOKUP($B131,Seqs!$A:$B,2,0),AS131,1),"")</f>
        <v>R</v>
      </c>
      <c r="AS131" s="3">
        <v>304</v>
      </c>
      <c r="AT131" s="3" t="str">
        <f>IFERROR(MID(VLOOKUP($B131,Seqs!$A:$B,2,0),AU131,1),"")</f>
        <v>R</v>
      </c>
      <c r="AU131" s="3">
        <v>328</v>
      </c>
      <c r="AV131" s="3" t="str">
        <f>IFERROR(MID(VLOOKUP($B131,Seqs!$A:$B,2,0),AW131,1),"")</f>
        <v>S</v>
      </c>
      <c r="AW131" s="3">
        <v>329</v>
      </c>
      <c r="AX131" s="3" t="str">
        <f>IFERROR(MID(VLOOKUP($B131,Seqs!$A:$B,2,0),AY131,1),"")</f>
        <v>C</v>
      </c>
      <c r="AY131" s="3">
        <v>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560"/>
        <v>1</v>
      </c>
      <c r="BC131" s="23">
        <f t="shared" si="981"/>
        <v>241</v>
      </c>
      <c r="BD131" s="4" t="s">
        <v>23</v>
      </c>
      <c r="BE131" s="3" t="s">
        <v>1370</v>
      </c>
      <c r="BF131" s="118">
        <v>2.8</v>
      </c>
      <c r="BG131" s="49" t="s">
        <v>1373</v>
      </c>
      <c r="BH131" s="49" t="s">
        <v>1373</v>
      </c>
      <c r="BI131" s="1"/>
      <c r="BJ131" s="70" t="s">
        <v>1283</v>
      </c>
      <c r="BK131" s="57" t="s">
        <v>1283</v>
      </c>
      <c r="BL131" s="57" t="s">
        <v>1283</v>
      </c>
      <c r="BM131" s="57" t="s">
        <v>1283</v>
      </c>
      <c r="BN131" s="57" t="s">
        <v>1283</v>
      </c>
      <c r="BO131" s="57" t="s">
        <v>1283</v>
      </c>
      <c r="BP131" s="57" t="s">
        <v>1283</v>
      </c>
      <c r="BQ131" s="57" t="s">
        <v>1283</v>
      </c>
      <c r="BR131" s="57" t="s">
        <v>1283</v>
      </c>
      <c r="BS131" s="57" t="s">
        <v>1283</v>
      </c>
      <c r="BT131" s="57" t="s">
        <v>1283</v>
      </c>
      <c r="BU131" s="57" t="s">
        <v>1283</v>
      </c>
      <c r="BV131" s="70">
        <f t="shared" si="982"/>
        <v>32</v>
      </c>
      <c r="BW131" s="71">
        <f t="shared" si="983"/>
        <v>62</v>
      </c>
      <c r="BX131" s="72">
        <f t="shared" si="984"/>
        <v>66</v>
      </c>
      <c r="BY131" s="71">
        <f t="shared" si="985"/>
        <v>98</v>
      </c>
      <c r="BZ131" s="72">
        <f t="shared" si="986"/>
        <v>102</v>
      </c>
      <c r="CA131" s="71" t="str">
        <f t="shared" si="987"/>
        <v>-</v>
      </c>
      <c r="CB131" s="72">
        <f t="shared" si="988"/>
        <v>146</v>
      </c>
      <c r="CC131" s="71">
        <f t="shared" si="989"/>
        <v>191</v>
      </c>
      <c r="CD131" s="72">
        <f t="shared" si="990"/>
        <v>196</v>
      </c>
      <c r="CE131" s="71">
        <f t="shared" si="991"/>
        <v>267</v>
      </c>
      <c r="CF131" s="72">
        <f t="shared" si="992"/>
        <v>304</v>
      </c>
      <c r="CG131" s="71">
        <f t="shared" si="993"/>
        <v>329</v>
      </c>
      <c r="CH131" s="70">
        <f t="shared" si="994"/>
        <v>61</v>
      </c>
      <c r="CI131" s="71">
        <f t="shared" si="995"/>
        <v>65</v>
      </c>
      <c r="CJ131" s="72">
        <f t="shared" si="996"/>
        <v>96</v>
      </c>
      <c r="CK131" s="72">
        <f t="shared" si="997"/>
        <v>101</v>
      </c>
      <c r="CL131" s="72">
        <f t="shared" si="998"/>
        <v>137</v>
      </c>
      <c r="CM131" s="72" t="str">
        <f t="shared" si="999"/>
        <v>-</v>
      </c>
      <c r="CN131" s="72">
        <f t="shared" si="1000"/>
        <v>172</v>
      </c>
      <c r="CO131" s="72">
        <f t="shared" si="1001"/>
        <v>193</v>
      </c>
      <c r="CP131" s="72">
        <f t="shared" si="1002"/>
        <v>229</v>
      </c>
      <c r="CQ131" s="72">
        <f t="shared" si="1003"/>
        <v>299</v>
      </c>
      <c r="CR131" s="72">
        <f t="shared" si="1004"/>
        <v>328</v>
      </c>
      <c r="CS131" s="72">
        <f t="shared" si="1005"/>
        <v>341</v>
      </c>
      <c r="CT131" s="23">
        <f t="shared" si="1006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559"/>
        <v>adrb2_human_3NY8</v>
      </c>
      <c r="B132" s="3" t="s">
        <v>126</v>
      </c>
      <c r="C132" s="3" t="s">
        <v>1329</v>
      </c>
      <c r="D132" s="3" t="str">
        <f>IFERROR(MID(VLOOKUP($B132,Seqs!$A:$B,2,0),E132,1),"")</f>
        <v>W</v>
      </c>
      <c r="E132" s="3">
        <v>32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K</v>
      </c>
      <c r="O132" s="3">
        <v>97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si="560"/>
        <v>1</v>
      </c>
      <c r="BC132" s="23">
        <f t="shared" si="981"/>
        <v>242</v>
      </c>
      <c r="BD132" s="4" t="s">
        <v>23</v>
      </c>
      <c r="BE132" s="3" t="s">
        <v>1370</v>
      </c>
      <c r="BF132" s="118">
        <v>2.84</v>
      </c>
      <c r="BG132" s="49" t="s">
        <v>1373</v>
      </c>
      <c r="BH132" s="49" t="s">
        <v>1373</v>
      </c>
      <c r="BI132" s="1"/>
      <c r="BJ132" s="70" t="s">
        <v>1283</v>
      </c>
      <c r="BK132" s="57" t="s">
        <v>1283</v>
      </c>
      <c r="BL132" s="57" t="s">
        <v>1283</v>
      </c>
      <c r="BM132" s="57" t="s">
        <v>1283</v>
      </c>
      <c r="BN132" s="57" t="s">
        <v>1283</v>
      </c>
      <c r="BO132" s="57" t="s">
        <v>1283</v>
      </c>
      <c r="BP132" s="57" t="s">
        <v>1283</v>
      </c>
      <c r="BQ132" s="57" t="s">
        <v>1283</v>
      </c>
      <c r="BR132" s="57" t="s">
        <v>1283</v>
      </c>
      <c r="BS132" s="57" t="s">
        <v>1283</v>
      </c>
      <c r="BT132" s="57" t="s">
        <v>1283</v>
      </c>
      <c r="BU132" s="57" t="s">
        <v>1283</v>
      </c>
      <c r="BV132" s="70">
        <f t="shared" si="982"/>
        <v>32</v>
      </c>
      <c r="BW132" s="71">
        <f t="shared" si="983"/>
        <v>62</v>
      </c>
      <c r="BX132" s="72">
        <f t="shared" si="984"/>
        <v>66</v>
      </c>
      <c r="BY132" s="71">
        <f t="shared" si="985"/>
        <v>98</v>
      </c>
      <c r="BZ132" s="72">
        <f t="shared" si="986"/>
        <v>102</v>
      </c>
      <c r="CA132" s="71" t="str">
        <f t="shared" si="987"/>
        <v>-</v>
      </c>
      <c r="CB132" s="72">
        <f t="shared" si="988"/>
        <v>146</v>
      </c>
      <c r="CC132" s="71">
        <f t="shared" si="989"/>
        <v>191</v>
      </c>
      <c r="CD132" s="72">
        <f t="shared" si="990"/>
        <v>196</v>
      </c>
      <c r="CE132" s="71">
        <f t="shared" si="991"/>
        <v>267</v>
      </c>
      <c r="CF132" s="72">
        <f t="shared" si="992"/>
        <v>304</v>
      </c>
      <c r="CG132" s="71">
        <f t="shared" si="993"/>
        <v>329</v>
      </c>
      <c r="CH132" s="70">
        <f t="shared" si="994"/>
        <v>61</v>
      </c>
      <c r="CI132" s="71">
        <f t="shared" si="995"/>
        <v>65</v>
      </c>
      <c r="CJ132" s="72">
        <f t="shared" si="996"/>
        <v>97</v>
      </c>
      <c r="CK132" s="72">
        <f t="shared" si="997"/>
        <v>101</v>
      </c>
      <c r="CL132" s="72">
        <f t="shared" si="998"/>
        <v>137</v>
      </c>
      <c r="CM132" s="72" t="str">
        <f t="shared" si="999"/>
        <v>-</v>
      </c>
      <c r="CN132" s="72">
        <f t="shared" si="1000"/>
        <v>172</v>
      </c>
      <c r="CO132" s="72">
        <f t="shared" si="1001"/>
        <v>193</v>
      </c>
      <c r="CP132" s="72">
        <f t="shared" si="1002"/>
        <v>229</v>
      </c>
      <c r="CQ132" s="72">
        <f t="shared" si="1003"/>
        <v>299</v>
      </c>
      <c r="CR132" s="72">
        <f t="shared" si="1004"/>
        <v>328</v>
      </c>
      <c r="CS132" s="72">
        <f t="shared" si="1005"/>
        <v>341</v>
      </c>
      <c r="CT132" s="23">
        <f t="shared" si="1006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559"/>
        <v>adrb2_human_3NY9</v>
      </c>
      <c r="B133" s="3" t="s">
        <v>126</v>
      </c>
      <c r="C133" s="3" t="s">
        <v>1025</v>
      </c>
      <c r="D133" s="3" t="str">
        <f>IFERROR(MID(VLOOKUP($B133,Seqs!$A:$B,2,0),E133,1),"")</f>
        <v>W</v>
      </c>
      <c r="E133" s="3">
        <v>32</v>
      </c>
      <c r="F133" s="3" t="str">
        <f>IFERROR(MID(VLOOKUP($B133,Seqs!$A:$B,2,0),G133,1),"")</f>
        <v>F</v>
      </c>
      <c r="G133" s="3">
        <v>61</v>
      </c>
      <c r="H133" s="3" t="str">
        <f>IFERROR(MID(VLOOKUP($B133,Seqs!$A:$B,2,0),I133,1),"")</f>
        <v>E</v>
      </c>
      <c r="I133" s="23">
        <v>62</v>
      </c>
      <c r="J133" s="3" t="str">
        <f>IFERROR(MID(VLOOKUP($B133,Seqs!$A:$B,2,0),K133,1),"")</f>
        <v>Q</v>
      </c>
      <c r="K133" s="23">
        <v>65</v>
      </c>
      <c r="L133" s="3" t="str">
        <f>IFERROR(MID(VLOOKUP($B133,Seqs!$A:$B,2,0),M133,1),"")</f>
        <v>T</v>
      </c>
      <c r="M133" s="3">
        <v>66</v>
      </c>
      <c r="N133" s="3" t="str">
        <f>IFERROR(MID(VLOOKUP($B133,Seqs!$A:$B,2,0),O133,1),"")</f>
        <v>K</v>
      </c>
      <c r="O133" s="3">
        <v>97</v>
      </c>
      <c r="P133" s="3" t="str">
        <f>IFERROR(MID(VLOOKUP($B133,Seqs!$A:$B,2,0),Q133,1),"")</f>
        <v>M</v>
      </c>
      <c r="Q133" s="3">
        <v>98</v>
      </c>
      <c r="R133" s="3" t="str">
        <f>IFERROR(MID(VLOOKUP($B133,Seqs!$A:$B,2,0),S133,1),"")</f>
        <v>F</v>
      </c>
      <c r="S133" s="3">
        <v>101</v>
      </c>
      <c r="T133" s="3" t="str">
        <f>IFERROR(MID(VLOOKUP($B133,Seqs!$A:$B,2,0),U133,1),"")</f>
        <v>G</v>
      </c>
      <c r="U133" s="3">
        <v>102</v>
      </c>
      <c r="V133" s="3" t="str">
        <f>IFERROR(MID(VLOOKUP($B133,Seqs!$A:$B,2,0),W133,1),"")</f>
        <v>S</v>
      </c>
      <c r="W133" s="3">
        <v>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146</v>
      </c>
      <c r="AD133" s="3" t="str">
        <f>IFERROR(MID(VLOOKUP($B133,Seqs!$A:$B,2,0),AE133,1),"")</f>
        <v>H</v>
      </c>
      <c r="AE133" s="3">
        <v>172</v>
      </c>
      <c r="AF133" s="3" t="str">
        <f>IFERROR(MID(VLOOKUP($B133,Seqs!$A:$B,2,0),AG133,1),"")</f>
        <v>C</v>
      </c>
      <c r="AG133" s="3">
        <v>191</v>
      </c>
      <c r="AH133" s="3" t="str">
        <f>IFERROR(MID(VLOOKUP($B133,Seqs!$A:$B,2,0),AI133,1),"")</f>
        <v>F</v>
      </c>
      <c r="AI133" s="3">
        <v>193</v>
      </c>
      <c r="AJ133" s="3" t="str">
        <f>IFERROR(MID(VLOOKUP($B133,Seqs!$A:$B,2,0),AK133,1),"")</f>
        <v>N</v>
      </c>
      <c r="AK133" s="3">
        <v>196</v>
      </c>
      <c r="AL133" s="3" t="str">
        <f>IFERROR(MID(VLOOKUP($B133,Seqs!$A:$B,2,0),AM133,1),"")</f>
        <v>Q</v>
      </c>
      <c r="AM133" s="3">
        <v>229</v>
      </c>
      <c r="AN133" s="3" t="str">
        <f>IFERROR(MID(VLOOKUP($B133,Seqs!$A:$B,2,0),AO133,1),"")</f>
        <v>K</v>
      </c>
      <c r="AO133" s="3">
        <v>267</v>
      </c>
      <c r="AP133" s="3" t="str">
        <f>IFERROR(MID(VLOOKUP($B133,Seqs!$A:$B,2,0),AQ133,1),"")</f>
        <v>Q</v>
      </c>
      <c r="AQ133" s="3">
        <v>299</v>
      </c>
      <c r="AR133" s="3" t="str">
        <f>IFERROR(MID(VLOOKUP($B133,Seqs!$A:$B,2,0),AS133,1),"")</f>
        <v>R</v>
      </c>
      <c r="AS133" s="3">
        <v>304</v>
      </c>
      <c r="AT133" s="3" t="str">
        <f>IFERROR(MID(VLOOKUP($B133,Seqs!$A:$B,2,0),AU133,1),"")</f>
        <v>R</v>
      </c>
      <c r="AU133" s="3">
        <v>328</v>
      </c>
      <c r="AV133" s="3" t="str">
        <f>IFERROR(MID(VLOOKUP($B133,Seqs!$A:$B,2,0),AW133,1),"")</f>
        <v>S</v>
      </c>
      <c r="AW133" s="3">
        <v>329</v>
      </c>
      <c r="AX133" s="3" t="str">
        <f>IFERROR(MID(VLOOKUP($B133,Seqs!$A:$B,2,0),AY133,1),"")</f>
        <v>C</v>
      </c>
      <c r="AY133" s="3">
        <v>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560"/>
        <v>1</v>
      </c>
      <c r="BC133" s="23">
        <f t="shared" si="981"/>
        <v>242</v>
      </c>
      <c r="BD133" s="4" t="s">
        <v>23</v>
      </c>
      <c r="BE133" s="3" t="s">
        <v>1370</v>
      </c>
      <c r="BF133" s="118">
        <v>2.84</v>
      </c>
      <c r="BG133" s="49" t="s">
        <v>1373</v>
      </c>
      <c r="BH133" s="49" t="s">
        <v>1373</v>
      </c>
      <c r="BI133" s="1"/>
      <c r="BJ133" s="70" t="s">
        <v>1283</v>
      </c>
      <c r="BK133" s="57" t="s">
        <v>1283</v>
      </c>
      <c r="BL133" s="57" t="s">
        <v>1283</v>
      </c>
      <c r="BM133" s="57" t="s">
        <v>1283</v>
      </c>
      <c r="BN133" s="57" t="s">
        <v>1283</v>
      </c>
      <c r="BO133" s="57" t="s">
        <v>1283</v>
      </c>
      <c r="BP133" s="57" t="s">
        <v>1283</v>
      </c>
      <c r="BQ133" s="57" t="s">
        <v>1283</v>
      </c>
      <c r="BR133" s="57" t="s">
        <v>1283</v>
      </c>
      <c r="BS133" s="57" t="s">
        <v>1283</v>
      </c>
      <c r="BT133" s="57" t="s">
        <v>1283</v>
      </c>
      <c r="BU133" s="57" t="s">
        <v>1283</v>
      </c>
      <c r="BV133" s="70">
        <f t="shared" si="982"/>
        <v>32</v>
      </c>
      <c r="BW133" s="71">
        <f t="shared" si="983"/>
        <v>62</v>
      </c>
      <c r="BX133" s="72">
        <f t="shared" si="984"/>
        <v>66</v>
      </c>
      <c r="BY133" s="71">
        <f t="shared" si="985"/>
        <v>98</v>
      </c>
      <c r="BZ133" s="72">
        <f t="shared" si="986"/>
        <v>102</v>
      </c>
      <c r="CA133" s="71" t="str">
        <f t="shared" si="987"/>
        <v>-</v>
      </c>
      <c r="CB133" s="72">
        <f t="shared" si="988"/>
        <v>146</v>
      </c>
      <c r="CC133" s="71">
        <f t="shared" si="989"/>
        <v>191</v>
      </c>
      <c r="CD133" s="72">
        <f t="shared" si="990"/>
        <v>196</v>
      </c>
      <c r="CE133" s="71">
        <f t="shared" si="991"/>
        <v>267</v>
      </c>
      <c r="CF133" s="72">
        <f t="shared" si="992"/>
        <v>304</v>
      </c>
      <c r="CG133" s="71">
        <f t="shared" si="993"/>
        <v>329</v>
      </c>
      <c r="CH133" s="70">
        <f t="shared" si="994"/>
        <v>61</v>
      </c>
      <c r="CI133" s="71">
        <f t="shared" si="995"/>
        <v>65</v>
      </c>
      <c r="CJ133" s="72">
        <f t="shared" si="996"/>
        <v>97</v>
      </c>
      <c r="CK133" s="72">
        <f t="shared" si="997"/>
        <v>101</v>
      </c>
      <c r="CL133" s="72">
        <f t="shared" si="998"/>
        <v>137</v>
      </c>
      <c r="CM133" s="72" t="str">
        <f t="shared" si="999"/>
        <v>-</v>
      </c>
      <c r="CN133" s="72">
        <f t="shared" si="1000"/>
        <v>172</v>
      </c>
      <c r="CO133" s="72">
        <f t="shared" si="1001"/>
        <v>193</v>
      </c>
      <c r="CP133" s="72">
        <f t="shared" si="1002"/>
        <v>229</v>
      </c>
      <c r="CQ133" s="72">
        <f t="shared" si="1003"/>
        <v>299</v>
      </c>
      <c r="CR133" s="72">
        <f t="shared" si="1004"/>
        <v>328</v>
      </c>
      <c r="CS133" s="72">
        <f t="shared" si="1005"/>
        <v>341</v>
      </c>
      <c r="CT133" s="23">
        <f t="shared" si="1006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si="559"/>
        <v>adrb2_human_3NYA</v>
      </c>
      <c r="B134" s="3" t="s">
        <v>126</v>
      </c>
      <c r="C134" s="3" t="s">
        <v>1330</v>
      </c>
      <c r="D134" s="3" t="str">
        <f>IFERROR(MID(VLOOKUP($B134,Seqs!$A:$B,2,0),E134,1),"")</f>
        <v>W</v>
      </c>
      <c r="E134" s="3">
        <v>32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K</v>
      </c>
      <c r="O134" s="3">
        <v>97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S</v>
      </c>
      <c r="W134" s="3">
        <v>137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9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Q</v>
      </c>
      <c r="AM134" s="3">
        <v>229</v>
      </c>
      <c r="AN134" s="3" t="str">
        <f>IFERROR(MID(VLOOKUP($B134,Seqs!$A:$B,2,0),AO134,1),"")</f>
        <v>K</v>
      </c>
      <c r="AO134" s="3">
        <v>267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si="560"/>
        <v>1</v>
      </c>
      <c r="BC134" s="23">
        <f t="shared" si="981"/>
        <v>242</v>
      </c>
      <c r="BD134" s="4" t="s">
        <v>23</v>
      </c>
      <c r="BE134" s="3" t="s">
        <v>1370</v>
      </c>
      <c r="BF134" s="118">
        <v>3.16</v>
      </c>
      <c r="BG134" s="49" t="s">
        <v>1373</v>
      </c>
      <c r="BH134" s="49" t="s">
        <v>1373</v>
      </c>
      <c r="BI134" s="1"/>
      <c r="BJ134" s="70" t="s">
        <v>1283</v>
      </c>
      <c r="BK134" s="57" t="s">
        <v>1283</v>
      </c>
      <c r="BL134" s="57" t="s">
        <v>1283</v>
      </c>
      <c r="BM134" s="57" t="s">
        <v>1283</v>
      </c>
      <c r="BN134" s="57" t="s">
        <v>1283</v>
      </c>
      <c r="BO134" s="57" t="s">
        <v>1283</v>
      </c>
      <c r="BP134" s="57" t="s">
        <v>1283</v>
      </c>
      <c r="BQ134" s="57" t="s">
        <v>1283</v>
      </c>
      <c r="BR134" s="57" t="s">
        <v>1283</v>
      </c>
      <c r="BS134" s="57" t="s">
        <v>1283</v>
      </c>
      <c r="BT134" s="57" t="s">
        <v>1283</v>
      </c>
      <c r="BU134" s="57" t="s">
        <v>1283</v>
      </c>
      <c r="BV134" s="70">
        <f t="shared" si="982"/>
        <v>32</v>
      </c>
      <c r="BW134" s="71">
        <f t="shared" si="983"/>
        <v>62</v>
      </c>
      <c r="BX134" s="72">
        <f t="shared" si="984"/>
        <v>66</v>
      </c>
      <c r="BY134" s="71">
        <f t="shared" si="985"/>
        <v>98</v>
      </c>
      <c r="BZ134" s="72">
        <f t="shared" si="986"/>
        <v>102</v>
      </c>
      <c r="CA134" s="71" t="str">
        <f t="shared" si="987"/>
        <v>-</v>
      </c>
      <c r="CB134" s="72">
        <f t="shared" si="988"/>
        <v>146</v>
      </c>
      <c r="CC134" s="71">
        <f t="shared" si="989"/>
        <v>191</v>
      </c>
      <c r="CD134" s="72">
        <f t="shared" si="990"/>
        <v>196</v>
      </c>
      <c r="CE134" s="71">
        <f t="shared" si="991"/>
        <v>267</v>
      </c>
      <c r="CF134" s="72">
        <f t="shared" si="992"/>
        <v>304</v>
      </c>
      <c r="CG134" s="71">
        <f t="shared" si="993"/>
        <v>329</v>
      </c>
      <c r="CH134" s="70">
        <f t="shared" si="994"/>
        <v>61</v>
      </c>
      <c r="CI134" s="71">
        <f t="shared" si="995"/>
        <v>65</v>
      </c>
      <c r="CJ134" s="72">
        <f t="shared" si="996"/>
        <v>97</v>
      </c>
      <c r="CK134" s="72">
        <f t="shared" si="997"/>
        <v>101</v>
      </c>
      <c r="CL134" s="72">
        <f t="shared" si="998"/>
        <v>137</v>
      </c>
      <c r="CM134" s="72" t="str">
        <f t="shared" si="999"/>
        <v>-</v>
      </c>
      <c r="CN134" s="72">
        <f t="shared" si="1000"/>
        <v>172</v>
      </c>
      <c r="CO134" s="72">
        <f t="shared" si="1001"/>
        <v>193</v>
      </c>
      <c r="CP134" s="72">
        <f t="shared" si="1002"/>
        <v>229</v>
      </c>
      <c r="CQ134" s="72">
        <f t="shared" si="1003"/>
        <v>299</v>
      </c>
      <c r="CR134" s="72">
        <f t="shared" si="1004"/>
        <v>328</v>
      </c>
      <c r="CS134" s="72">
        <f t="shared" si="1005"/>
        <v>341</v>
      </c>
      <c r="CT134" s="23">
        <f t="shared" si="100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559"/>
        <v>adrb2_human_3P0G</v>
      </c>
      <c r="B135" s="3" t="s">
        <v>126</v>
      </c>
      <c r="C135" s="3" t="s">
        <v>66</v>
      </c>
      <c r="D135" s="3" t="str">
        <f>IFERROR(MID(VLOOKUP($B135,Seqs!$A:$B,2,0),E135,1),"")</f>
        <v>Q</v>
      </c>
      <c r="E135" s="3">
        <v>26</v>
      </c>
      <c r="F135" s="3" t="str">
        <f>IFERROR(MID(VLOOKUP($B135,Seqs!$A:$B,2,0),G135,1),"")</f>
        <v>F</v>
      </c>
      <c r="G135" s="3">
        <v>61</v>
      </c>
      <c r="H135" s="3" t="str">
        <f>IFERROR(MID(VLOOKUP($B135,Seqs!$A:$B,2,0),I135,1),"")</f>
        <v>E</v>
      </c>
      <c r="I135" s="23">
        <v>62</v>
      </c>
      <c r="J135" s="3" t="str">
        <f>IFERROR(MID(VLOOKUP($B135,Seqs!$A:$B,2,0),K135,1),"")</f>
        <v>Q</v>
      </c>
      <c r="K135" s="23">
        <v>65</v>
      </c>
      <c r="L135" s="3" t="str">
        <f>IFERROR(MID(VLOOKUP($B135,Seqs!$A:$B,2,0),M135,1),"")</f>
        <v>T</v>
      </c>
      <c r="M135" s="3">
        <v>66</v>
      </c>
      <c r="N135" s="3" t="str">
        <f>IFERROR(MID(VLOOKUP($B135,Seqs!$A:$B,2,0),O135,1),"")</f>
        <v>K</v>
      </c>
      <c r="O135" s="3">
        <v>97</v>
      </c>
      <c r="P135" s="3" t="str">
        <f>IFERROR(MID(VLOOKUP($B135,Seqs!$A:$B,2,0),Q135,1),"")</f>
        <v>M</v>
      </c>
      <c r="Q135" s="3">
        <v>98</v>
      </c>
      <c r="R135" s="3" t="str">
        <f>IFERROR(MID(VLOOKUP($B135,Seqs!$A:$B,2,0),S135,1),"")</f>
        <v>F</v>
      </c>
      <c r="S135" s="3">
        <v>101</v>
      </c>
      <c r="T135" s="3" t="str">
        <f>IFERROR(MID(VLOOKUP($B135,Seqs!$A:$B,2,0),U135,1),"")</f>
        <v>G</v>
      </c>
      <c r="U135" s="3">
        <v>102</v>
      </c>
      <c r="V135" s="3" t="str">
        <f>IFERROR(MID(VLOOKUP($B135,Seqs!$A:$B,2,0),W135,1),"")</f>
        <v>S</v>
      </c>
      <c r="W135" s="3">
        <v>137</v>
      </c>
      <c r="X135" s="3" t="str">
        <f>IFERROR(MID(VLOOKUP($B135,Seqs!$A:$B,2,0),Y135,1),"")</f>
        <v>P</v>
      </c>
      <c r="Y135" s="3">
        <v>138</v>
      </c>
      <c r="Z135" s="3" t="str">
        <f>IFERROR(MID(VLOOKUP($B135,Seqs!$A:$B,2,0),AA135,1),"")</f>
        <v>L</v>
      </c>
      <c r="AA135" s="3">
        <v>145</v>
      </c>
      <c r="AB135" s="3" t="str">
        <f>IFERROR(MID(VLOOKUP($B135,Seqs!$A:$B,2,0),AC135,1),"")</f>
        <v>T</v>
      </c>
      <c r="AC135" s="9">
        <v>146</v>
      </c>
      <c r="AD135" s="3" t="str">
        <f>IFERROR(MID(VLOOKUP($B135,Seqs!$A:$B,2,0),AE135,1),"")</f>
        <v>H</v>
      </c>
      <c r="AE135" s="3">
        <v>172</v>
      </c>
      <c r="AF135" s="3" t="str">
        <f>IFERROR(MID(VLOOKUP($B135,Seqs!$A:$B,2,0),AG135,1),"")</f>
        <v>C</v>
      </c>
      <c r="AG135" s="3">
        <v>191</v>
      </c>
      <c r="AH135" s="3" t="str">
        <f>IFERROR(MID(VLOOKUP($B135,Seqs!$A:$B,2,0),AI135,1),"")</f>
        <v>F</v>
      </c>
      <c r="AI135" s="3">
        <v>193</v>
      </c>
      <c r="AJ135" s="3" t="str">
        <f>IFERROR(MID(VLOOKUP($B135,Seqs!$A:$B,2,0),AK135,1),"")</f>
        <v>N</v>
      </c>
      <c r="AK135" s="3">
        <v>196</v>
      </c>
      <c r="AL135" s="3" t="str">
        <f>IFERROR(MID(VLOOKUP($B135,Seqs!$A:$B,2,0),AM135,1),"")</f>
        <v>A</v>
      </c>
      <c r="AM135" s="3">
        <v>226</v>
      </c>
      <c r="AN135" s="3" t="str">
        <f>IFERROR(MID(VLOOKUP($B135,Seqs!$A:$B,2,0),AO135,1),"")</f>
        <v>H</v>
      </c>
      <c r="AO135" s="3">
        <v>269</v>
      </c>
      <c r="AP135" s="3" t="str">
        <f>IFERROR(MID(VLOOKUP($B135,Seqs!$A:$B,2,0),AQ135,1),"")</f>
        <v>Q</v>
      </c>
      <c r="AQ135" s="3">
        <v>299</v>
      </c>
      <c r="AR135" s="3" t="str">
        <f>IFERROR(MID(VLOOKUP($B135,Seqs!$A:$B,2,0),AS135,1),"")</f>
        <v>R</v>
      </c>
      <c r="AS135" s="3">
        <v>304</v>
      </c>
      <c r="AT135" s="3" t="str">
        <f>IFERROR(MID(VLOOKUP($B135,Seqs!$A:$B,2,0),AU135,1),"")</f>
        <v>R</v>
      </c>
      <c r="AU135" s="3">
        <v>328</v>
      </c>
      <c r="AV135" s="3" t="str">
        <f>IFERROR(MID(VLOOKUP($B135,Seqs!$A:$B,2,0),AW135,1),"")</f>
        <v>S</v>
      </c>
      <c r="AW135" s="3">
        <v>329</v>
      </c>
      <c r="AX135" s="3" t="str">
        <f>IFERROR(MID(VLOOKUP($B135,Seqs!$A:$B,2,0),AY135,1),"")</f>
        <v>C</v>
      </c>
      <c r="AY135" s="3">
        <v>341</v>
      </c>
      <c r="AZ135" s="77" t="str">
        <f>VLOOKUP(B135,Classification!A:D,2,0)</f>
        <v>A</v>
      </c>
      <c r="BA135" s="94" t="str">
        <f>VLOOKUP(B135,Classification!A:D,4,0)</f>
        <v>Adrenoceptors</v>
      </c>
      <c r="BB135" s="27" t="b">
        <f t="shared" si="560"/>
        <v>1</v>
      </c>
      <c r="BC135" s="23">
        <f t="shared" si="981"/>
        <v>250</v>
      </c>
      <c r="BD135" s="16" t="s">
        <v>23</v>
      </c>
      <c r="BE135" s="3" t="s">
        <v>1287</v>
      </c>
      <c r="BF135" s="118">
        <v>3.5</v>
      </c>
      <c r="BG135" s="49" t="s">
        <v>1373</v>
      </c>
      <c r="BH135" s="49" t="s">
        <v>1373</v>
      </c>
      <c r="BI135" s="1"/>
      <c r="BJ135" s="70" t="s">
        <v>1283</v>
      </c>
      <c r="BK135" s="57" t="s">
        <v>1283</v>
      </c>
      <c r="BL135" s="57" t="s">
        <v>1283</v>
      </c>
      <c r="BM135" s="57" t="s">
        <v>1283</v>
      </c>
      <c r="BN135" s="57" t="s">
        <v>1283</v>
      </c>
      <c r="BO135" s="57" t="s">
        <v>1283</v>
      </c>
      <c r="BP135" s="57" t="s">
        <v>1283</v>
      </c>
      <c r="BQ135" s="57" t="s">
        <v>1283</v>
      </c>
      <c r="BR135" s="57" t="s">
        <v>1283</v>
      </c>
      <c r="BS135" s="57" t="s">
        <v>1283</v>
      </c>
      <c r="BT135" s="57" t="s">
        <v>1283</v>
      </c>
      <c r="BU135" s="57" t="s">
        <v>1283</v>
      </c>
      <c r="BV135" s="70">
        <f t="shared" si="982"/>
        <v>26</v>
      </c>
      <c r="BW135" s="71">
        <f t="shared" si="983"/>
        <v>62</v>
      </c>
      <c r="BX135" s="72">
        <f t="shared" si="984"/>
        <v>66</v>
      </c>
      <c r="BY135" s="71">
        <f t="shared" si="985"/>
        <v>98</v>
      </c>
      <c r="BZ135" s="72">
        <f t="shared" si="986"/>
        <v>102</v>
      </c>
      <c r="CA135" s="71">
        <f t="shared" si="987"/>
        <v>138</v>
      </c>
      <c r="CB135" s="72">
        <f t="shared" si="988"/>
        <v>146</v>
      </c>
      <c r="CC135" s="71">
        <f t="shared" si="989"/>
        <v>191</v>
      </c>
      <c r="CD135" s="72">
        <f t="shared" si="990"/>
        <v>196</v>
      </c>
      <c r="CE135" s="71">
        <f t="shared" si="991"/>
        <v>269</v>
      </c>
      <c r="CF135" s="72">
        <f t="shared" si="992"/>
        <v>304</v>
      </c>
      <c r="CG135" s="71">
        <f t="shared" si="993"/>
        <v>329</v>
      </c>
      <c r="CH135" s="70">
        <f t="shared" si="994"/>
        <v>61</v>
      </c>
      <c r="CI135" s="71">
        <f t="shared" si="995"/>
        <v>65</v>
      </c>
      <c r="CJ135" s="72">
        <f t="shared" si="996"/>
        <v>97</v>
      </c>
      <c r="CK135" s="72">
        <f t="shared" si="997"/>
        <v>101</v>
      </c>
      <c r="CL135" s="72">
        <f t="shared" si="998"/>
        <v>137</v>
      </c>
      <c r="CM135" s="72">
        <f t="shared" si="999"/>
        <v>145</v>
      </c>
      <c r="CN135" s="72">
        <f t="shared" si="1000"/>
        <v>172</v>
      </c>
      <c r="CO135" s="72">
        <f t="shared" si="1001"/>
        <v>193</v>
      </c>
      <c r="CP135" s="72">
        <f t="shared" si="1002"/>
        <v>226</v>
      </c>
      <c r="CQ135" s="72">
        <f t="shared" si="1003"/>
        <v>299</v>
      </c>
      <c r="CR135" s="72">
        <f t="shared" si="1004"/>
        <v>328</v>
      </c>
      <c r="CS135" s="72">
        <f t="shared" si="1005"/>
        <v>341</v>
      </c>
      <c r="CT135" s="23">
        <f t="shared" si="100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559"/>
        <v>adrb2_human_3PDS</v>
      </c>
      <c r="B136" s="3" t="s">
        <v>126</v>
      </c>
      <c r="C136" s="3" t="s">
        <v>1331</v>
      </c>
      <c r="D136" s="3" t="str">
        <f>IFERROR(MID(VLOOKUP($B136,Seqs!$A:$B,2,0),E136,1),"")</f>
        <v>D</v>
      </c>
      <c r="E136" s="3">
        <v>29</v>
      </c>
      <c r="F136" s="3" t="str">
        <f>IFERROR(MID(VLOOKUP($B136,Seqs!$A:$B,2,0),G136,1),"")</f>
        <v>F</v>
      </c>
      <c r="G136" s="3">
        <v>61</v>
      </c>
      <c r="H136" s="3" t="str">
        <f>IFERROR(MID(VLOOKUP($B136,Seqs!$A:$B,2,0),I136,1),"")</f>
        <v>E</v>
      </c>
      <c r="I136" s="23">
        <v>62</v>
      </c>
      <c r="J136" s="3" t="str">
        <f>IFERROR(MID(VLOOKUP($B136,Seqs!$A:$B,2,0),K136,1),"")</f>
        <v>Q</v>
      </c>
      <c r="K136" s="23">
        <v>65</v>
      </c>
      <c r="L136" s="3" t="str">
        <f>IFERROR(MID(VLOOKUP($B136,Seqs!$A:$B,2,0),M136,1),"")</f>
        <v>T</v>
      </c>
      <c r="M136" s="3">
        <v>66</v>
      </c>
      <c r="N136" s="3" t="str">
        <f>IFERROR(MID(VLOOKUP($B136,Seqs!$A:$B,2,0),O136,1),"")</f>
        <v>M</v>
      </c>
      <c r="O136" s="3">
        <v>96</v>
      </c>
      <c r="P136" s="3" t="str">
        <f>IFERROR(MID(VLOOKUP($B136,Seqs!$A:$B,2,0),Q136,1),"")</f>
        <v>M</v>
      </c>
      <c r="Q136" s="3">
        <v>98</v>
      </c>
      <c r="R136" s="3" t="str">
        <f>IFERROR(MID(VLOOKUP($B136,Seqs!$A:$B,2,0),S136,1),"")</f>
        <v>F</v>
      </c>
      <c r="S136" s="3">
        <v>101</v>
      </c>
      <c r="T136" s="3" t="str">
        <f>IFERROR(MID(VLOOKUP($B136,Seqs!$A:$B,2,0),U136,1),"")</f>
        <v>G</v>
      </c>
      <c r="U136" s="3">
        <v>102</v>
      </c>
      <c r="V136" s="3" t="str">
        <f>IFERROR(MID(VLOOKUP($B136,Seqs!$A:$B,2,0),W136,1),"")</f>
        <v>S</v>
      </c>
      <c r="W136" s="3">
        <v>137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T</v>
      </c>
      <c r="AC136" s="9">
        <v>146</v>
      </c>
      <c r="AD136" s="3" t="str">
        <f>IFERROR(MID(VLOOKUP($B136,Seqs!$A:$B,2,0),AE136,1),"")</f>
        <v>H</v>
      </c>
      <c r="AE136" s="3">
        <v>172</v>
      </c>
      <c r="AF136" s="3" t="str">
        <f>IFERROR(MID(VLOOKUP($B136,Seqs!$A:$B,2,0),AG136,1),"")</f>
        <v>C</v>
      </c>
      <c r="AG136" s="3">
        <v>191</v>
      </c>
      <c r="AH136" s="3" t="str">
        <f>IFERROR(MID(VLOOKUP($B136,Seqs!$A:$B,2,0),AI136,1),"")</f>
        <v>F</v>
      </c>
      <c r="AI136" s="3">
        <v>193</v>
      </c>
      <c r="AJ136" s="3" t="str">
        <f>IFERROR(MID(VLOOKUP($B136,Seqs!$A:$B,2,0),AK136,1),"")</f>
        <v>N</v>
      </c>
      <c r="AK136" s="3">
        <v>196</v>
      </c>
      <c r="AL136" s="3" t="str">
        <f>IFERROR(MID(VLOOKUP($B136,Seqs!$A:$B,2,0),AM136,1),"")</f>
        <v>Q</v>
      </c>
      <c r="AM136" s="3">
        <v>229</v>
      </c>
      <c r="AN136" s="3" t="str">
        <f>IFERROR(MID(VLOOKUP($B136,Seqs!$A:$B,2,0),AO136,1),"")</f>
        <v>L</v>
      </c>
      <c r="AO136" s="3">
        <v>266</v>
      </c>
      <c r="AP136" s="3" t="str">
        <f>IFERROR(MID(VLOOKUP($B136,Seqs!$A:$B,2,0),AQ136,1),"")</f>
        <v>Q</v>
      </c>
      <c r="AQ136" s="3">
        <v>299</v>
      </c>
      <c r="AR136" s="3" t="str">
        <f>IFERROR(MID(VLOOKUP($B136,Seqs!$A:$B,2,0),AS136,1),"")</f>
        <v>R</v>
      </c>
      <c r="AS136" s="3">
        <v>304</v>
      </c>
      <c r="AT136" s="3" t="str">
        <f>IFERROR(MID(VLOOKUP($B136,Seqs!$A:$B,2,0),AU136,1),"")</f>
        <v>R</v>
      </c>
      <c r="AU136" s="3">
        <v>328</v>
      </c>
      <c r="AV136" s="3" t="str">
        <f>IFERROR(MID(VLOOKUP($B136,Seqs!$A:$B,2,0),AW136,1),"")</f>
        <v>S</v>
      </c>
      <c r="AW136" s="3">
        <v>329</v>
      </c>
      <c r="AX136" s="3" t="str">
        <f>IFERROR(MID(VLOOKUP($B136,Seqs!$A:$B,2,0),AY136,1),"")</f>
        <v>C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Adrenoceptors</v>
      </c>
      <c r="BB136" s="27" t="b">
        <f t="shared" si="560"/>
        <v>1</v>
      </c>
      <c r="BC136" s="23">
        <f t="shared" si="981"/>
        <v>245</v>
      </c>
      <c r="BD136" s="5" t="s">
        <v>23</v>
      </c>
      <c r="BE136" s="3" t="s">
        <v>1370</v>
      </c>
      <c r="BF136" s="118">
        <v>3.5</v>
      </c>
      <c r="BG136" s="49" t="s">
        <v>1373</v>
      </c>
      <c r="BH136" s="49" t="s">
        <v>1373</v>
      </c>
      <c r="BI136" s="1"/>
      <c r="BJ136" s="70" t="s">
        <v>1283</v>
      </c>
      <c r="BK136" s="57" t="s">
        <v>1283</v>
      </c>
      <c r="BL136" s="57" t="s">
        <v>1283</v>
      </c>
      <c r="BM136" s="57" t="s">
        <v>1283</v>
      </c>
      <c r="BN136" s="57" t="s">
        <v>1283</v>
      </c>
      <c r="BO136" s="57" t="s">
        <v>1283</v>
      </c>
      <c r="BP136" s="57" t="s">
        <v>1283</v>
      </c>
      <c r="BQ136" s="57" t="s">
        <v>1283</v>
      </c>
      <c r="BR136" s="57" t="s">
        <v>1283</v>
      </c>
      <c r="BS136" s="57" t="s">
        <v>1283</v>
      </c>
      <c r="BT136" s="57" t="s">
        <v>1283</v>
      </c>
      <c r="BU136" s="57" t="s">
        <v>1283</v>
      </c>
      <c r="BV136" s="70">
        <f t="shared" si="982"/>
        <v>29</v>
      </c>
      <c r="BW136" s="71">
        <f t="shared" si="983"/>
        <v>62</v>
      </c>
      <c r="BX136" s="72">
        <f t="shared" si="984"/>
        <v>66</v>
      </c>
      <c r="BY136" s="71">
        <f t="shared" si="985"/>
        <v>98</v>
      </c>
      <c r="BZ136" s="72">
        <f t="shared" si="986"/>
        <v>102</v>
      </c>
      <c r="CA136" s="71" t="str">
        <f t="shared" si="987"/>
        <v>-</v>
      </c>
      <c r="CB136" s="72">
        <f t="shared" si="988"/>
        <v>146</v>
      </c>
      <c r="CC136" s="71">
        <f t="shared" si="989"/>
        <v>191</v>
      </c>
      <c r="CD136" s="72">
        <f t="shared" si="990"/>
        <v>196</v>
      </c>
      <c r="CE136" s="71">
        <f t="shared" si="991"/>
        <v>266</v>
      </c>
      <c r="CF136" s="72">
        <f t="shared" si="992"/>
        <v>304</v>
      </c>
      <c r="CG136" s="71">
        <f t="shared" si="993"/>
        <v>329</v>
      </c>
      <c r="CH136" s="70">
        <f t="shared" si="994"/>
        <v>61</v>
      </c>
      <c r="CI136" s="71">
        <f t="shared" si="995"/>
        <v>65</v>
      </c>
      <c r="CJ136" s="72">
        <f t="shared" si="996"/>
        <v>96</v>
      </c>
      <c r="CK136" s="72">
        <f t="shared" si="997"/>
        <v>101</v>
      </c>
      <c r="CL136" s="72">
        <f t="shared" si="998"/>
        <v>137</v>
      </c>
      <c r="CM136" s="72" t="str">
        <f t="shared" si="999"/>
        <v>-</v>
      </c>
      <c r="CN136" s="72">
        <f t="shared" si="1000"/>
        <v>172</v>
      </c>
      <c r="CO136" s="72">
        <f t="shared" si="1001"/>
        <v>193</v>
      </c>
      <c r="CP136" s="72">
        <f t="shared" si="1002"/>
        <v>229</v>
      </c>
      <c r="CQ136" s="72">
        <f t="shared" si="1003"/>
        <v>299</v>
      </c>
      <c r="CR136" s="72">
        <f t="shared" si="1004"/>
        <v>328</v>
      </c>
      <c r="CS136" s="72">
        <f t="shared" si="1005"/>
        <v>341</v>
      </c>
      <c r="CT136" s="23">
        <f t="shared" si="100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ht="17" customHeight="1" x14ac:dyDescent="0.2">
      <c r="A137" s="3" t="str">
        <f t="shared" si="559"/>
        <v>adrb2_human_3SN6</v>
      </c>
      <c r="B137" s="3" t="s">
        <v>126</v>
      </c>
      <c r="C137" s="3" t="s">
        <v>85</v>
      </c>
      <c r="D137" s="3" t="str">
        <f>IFERROR(MID(VLOOKUP($B137,Seqs!$A:$B,2,0),E137,1),"")</f>
        <v>D</v>
      </c>
      <c r="E137" s="3">
        <v>29</v>
      </c>
      <c r="F137" s="3" t="str">
        <f>IFERROR(MID(VLOOKUP($B137,Seqs!$A:$B,2,0),G137,1),"")</f>
        <v>F</v>
      </c>
      <c r="G137" s="3">
        <v>61</v>
      </c>
      <c r="H137" s="3" t="str">
        <f>IFERROR(MID(VLOOKUP($B137,Seqs!$A:$B,2,0),I137,1),"")</f>
        <v>E</v>
      </c>
      <c r="I137" s="23">
        <v>62</v>
      </c>
      <c r="J137" s="3" t="str">
        <f>IFERROR(MID(VLOOKUP($B137,Seqs!$A:$B,2,0),K137,1),"")</f>
        <v>Q</v>
      </c>
      <c r="K137" s="23">
        <v>65</v>
      </c>
      <c r="L137" s="3" t="str">
        <f>IFERROR(MID(VLOOKUP($B137,Seqs!$A:$B,2,0),M137,1),"")</f>
        <v>T</v>
      </c>
      <c r="M137" s="3">
        <v>66</v>
      </c>
      <c r="N137" s="3" t="str">
        <f>IFERROR(MID(VLOOKUP($B137,Seqs!$A:$B,2,0),O137,1),"")</f>
        <v>M</v>
      </c>
      <c r="O137" s="3">
        <v>96</v>
      </c>
      <c r="P137" s="3" t="str">
        <f>IFERROR(MID(VLOOKUP($B137,Seqs!$A:$B,2,0),Q137,1),"")</f>
        <v>M</v>
      </c>
      <c r="Q137" s="3">
        <v>98</v>
      </c>
      <c r="R137" s="3" t="str">
        <f>IFERROR(MID(VLOOKUP($B137,Seqs!$A:$B,2,0),S137,1),"")</f>
        <v>F</v>
      </c>
      <c r="S137" s="3">
        <v>101</v>
      </c>
      <c r="T137" s="3" t="str">
        <f>IFERROR(MID(VLOOKUP($B137,Seqs!$A:$B,2,0),U137,1),"")</f>
        <v>G</v>
      </c>
      <c r="U137" s="3">
        <v>102</v>
      </c>
      <c r="V137" s="3" t="str">
        <f>IFERROR(MID(VLOOKUP($B137,Seqs!$A:$B,2,0),W137,1),"")</f>
        <v>S</v>
      </c>
      <c r="W137" s="3">
        <v>137</v>
      </c>
      <c r="X137" s="3" t="str">
        <f>IFERROR(MID(VLOOKUP($B137,Seqs!$A:$B,2,0),Y137,1),"")</f>
        <v>P</v>
      </c>
      <c r="Y137" s="3">
        <v>138</v>
      </c>
      <c r="Z137" s="3" t="str">
        <f>IFERROR(MID(VLOOKUP($B137,Seqs!$A:$B,2,0),AA137,1),"")</f>
        <v>L</v>
      </c>
      <c r="AA137" s="3">
        <v>145</v>
      </c>
      <c r="AB137" s="3" t="str">
        <f>IFERROR(MID(VLOOKUP($B137,Seqs!$A:$B,2,0),AC137,1),"")</f>
        <v>T</v>
      </c>
      <c r="AC137" s="9">
        <v>146</v>
      </c>
      <c r="AD137" s="3" t="str">
        <f>IFERROR(MID(VLOOKUP($B137,Seqs!$A:$B,2,0),AE137,1),"")</f>
        <v>H</v>
      </c>
      <c r="AE137" s="3">
        <v>172</v>
      </c>
      <c r="AF137" s="3" t="str">
        <f>IFERROR(MID(VLOOKUP($B137,Seqs!$A:$B,2,0),AG137,1),"")</f>
        <v>C</v>
      </c>
      <c r="AG137" s="3">
        <v>191</v>
      </c>
      <c r="AH137" s="3" t="str">
        <f>IFERROR(MID(VLOOKUP($B137,Seqs!$A:$B,2,0),AI137,1),"")</f>
        <v>F</v>
      </c>
      <c r="AI137" s="3">
        <v>193</v>
      </c>
      <c r="AJ137" s="3" t="str">
        <f>IFERROR(MID(VLOOKUP($B137,Seqs!$A:$B,2,0),AK137,1),"")</f>
        <v>N</v>
      </c>
      <c r="AK137" s="3">
        <v>196</v>
      </c>
      <c r="AL137" s="3" t="str">
        <f>IFERROR(MID(VLOOKUP($B137,Seqs!$A:$B,2,0),AM137,1),"")</f>
        <v>E</v>
      </c>
      <c r="AM137" s="3">
        <v>237</v>
      </c>
      <c r="AN137" s="3" t="str">
        <f>IFERROR(MID(VLOOKUP($B137,Seqs!$A:$B,2,0),AO137,1),"")</f>
        <v>C</v>
      </c>
      <c r="AO137" s="3">
        <v>265</v>
      </c>
      <c r="AP137" s="3" t="str">
        <f>IFERROR(MID(VLOOKUP($B137,Seqs!$A:$B,2,0),AQ137,1),"")</f>
        <v>Q</v>
      </c>
      <c r="AQ137" s="3">
        <v>299</v>
      </c>
      <c r="AR137" s="3" t="str">
        <f>IFERROR(MID(VLOOKUP($B137,Seqs!$A:$B,2,0),AS137,1),"")</f>
        <v>R</v>
      </c>
      <c r="AS137" s="3">
        <v>304</v>
      </c>
      <c r="AT137" s="3" t="str">
        <f>IFERROR(MID(VLOOKUP($B137,Seqs!$A:$B,2,0),AU137,1),"")</f>
        <v>R</v>
      </c>
      <c r="AU137" s="3">
        <v>328</v>
      </c>
      <c r="AV137" s="3" t="str">
        <f>IFERROR(MID(VLOOKUP($B137,Seqs!$A:$B,2,0),AW137,1),"")</f>
        <v>S</v>
      </c>
      <c r="AW137" s="3">
        <v>329</v>
      </c>
      <c r="AX137" s="3" t="str">
        <f>IFERROR(MID(VLOOKUP($B137,Seqs!$A:$B,2,0),AY137,1),"")</f>
        <v>C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Adrenoceptors</v>
      </c>
      <c r="BB137" s="27" t="b">
        <f t="shared" si="560"/>
        <v>1</v>
      </c>
      <c r="BC137" s="23">
        <f t="shared" si="981"/>
        <v>261</v>
      </c>
      <c r="BD137" s="4" t="s">
        <v>1371</v>
      </c>
      <c r="BE137" s="3" t="s">
        <v>1287</v>
      </c>
      <c r="BF137" s="118">
        <v>3.2</v>
      </c>
      <c r="BG137" s="49" t="s">
        <v>1373</v>
      </c>
      <c r="BH137" s="49" t="s">
        <v>1373</v>
      </c>
      <c r="BI137" s="1"/>
      <c r="BJ137" s="70" t="s">
        <v>1283</v>
      </c>
      <c r="BK137" s="57" t="s">
        <v>1283</v>
      </c>
      <c r="BL137" s="57" t="s">
        <v>1283</v>
      </c>
      <c r="BM137" s="57" t="s">
        <v>1283</v>
      </c>
      <c r="BN137" s="57" t="s">
        <v>1283</v>
      </c>
      <c r="BO137" s="57" t="s">
        <v>1283</v>
      </c>
      <c r="BP137" s="57" t="s">
        <v>1283</v>
      </c>
      <c r="BQ137" s="57" t="s">
        <v>1283</v>
      </c>
      <c r="BR137" s="57" t="s">
        <v>1283</v>
      </c>
      <c r="BS137" s="57" t="s">
        <v>1283</v>
      </c>
      <c r="BT137" s="57" t="s">
        <v>1283</v>
      </c>
      <c r="BU137" s="57" t="s">
        <v>1283</v>
      </c>
      <c r="BV137" s="70">
        <f t="shared" si="982"/>
        <v>29</v>
      </c>
      <c r="BW137" s="71">
        <f t="shared" si="983"/>
        <v>62</v>
      </c>
      <c r="BX137" s="72">
        <f t="shared" si="984"/>
        <v>66</v>
      </c>
      <c r="BY137" s="71">
        <f t="shared" si="985"/>
        <v>98</v>
      </c>
      <c r="BZ137" s="72">
        <f t="shared" si="986"/>
        <v>102</v>
      </c>
      <c r="CA137" s="71">
        <f t="shared" si="987"/>
        <v>138</v>
      </c>
      <c r="CB137" s="72">
        <f t="shared" si="988"/>
        <v>146</v>
      </c>
      <c r="CC137" s="71">
        <f t="shared" si="989"/>
        <v>191</v>
      </c>
      <c r="CD137" s="72">
        <f t="shared" si="990"/>
        <v>196</v>
      </c>
      <c r="CE137" s="71">
        <f t="shared" si="991"/>
        <v>265</v>
      </c>
      <c r="CF137" s="72">
        <f t="shared" si="992"/>
        <v>304</v>
      </c>
      <c r="CG137" s="71">
        <f t="shared" si="993"/>
        <v>329</v>
      </c>
      <c r="CH137" s="70">
        <f t="shared" si="994"/>
        <v>61</v>
      </c>
      <c r="CI137" s="71">
        <f t="shared" si="995"/>
        <v>65</v>
      </c>
      <c r="CJ137" s="72">
        <f t="shared" si="996"/>
        <v>96</v>
      </c>
      <c r="CK137" s="72">
        <f t="shared" si="997"/>
        <v>101</v>
      </c>
      <c r="CL137" s="72">
        <f t="shared" si="998"/>
        <v>137</v>
      </c>
      <c r="CM137" s="72">
        <f t="shared" si="999"/>
        <v>145</v>
      </c>
      <c r="CN137" s="72">
        <f t="shared" si="1000"/>
        <v>172</v>
      </c>
      <c r="CO137" s="72">
        <f t="shared" si="1001"/>
        <v>193</v>
      </c>
      <c r="CP137" s="72">
        <f t="shared" si="1002"/>
        <v>237</v>
      </c>
      <c r="CQ137" s="72">
        <f t="shared" si="1003"/>
        <v>299</v>
      </c>
      <c r="CR137" s="72">
        <f t="shared" si="1004"/>
        <v>328</v>
      </c>
      <c r="CS137" s="72">
        <f t="shared" si="1005"/>
        <v>341</v>
      </c>
      <c r="CT137" s="23">
        <f t="shared" si="100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ht="17" customHeight="1" x14ac:dyDescent="0.2">
      <c r="A138" s="3" t="str">
        <f t="shared" ref="A138" si="1203">CONCATENATE(B138,"_",C138)</f>
        <v>adrb2_human_4GBR</v>
      </c>
      <c r="B138" s="3" t="s">
        <v>126</v>
      </c>
      <c r="C138" s="3" t="s">
        <v>1102</v>
      </c>
      <c r="D138" s="3" t="str">
        <f>IFERROR(MID(VLOOKUP($B138,Seqs!$A:$B,2,0),E138,1),"")</f>
        <v>D</v>
      </c>
      <c r="E138" s="3">
        <v>29</v>
      </c>
      <c r="F138" s="3" t="str">
        <f>IFERROR(MID(VLOOKUP($B138,Seqs!$A:$B,2,0),G138,1),"")</f>
        <v>F</v>
      </c>
      <c r="G138" s="3">
        <v>61</v>
      </c>
      <c r="H138" s="3" t="str">
        <f>IFERROR(MID(VLOOKUP($B138,Seqs!$A:$B,2,0),I138,1),"")</f>
        <v>E</v>
      </c>
      <c r="I138" s="23">
        <v>62</v>
      </c>
      <c r="J138" s="3" t="str">
        <f>IFERROR(MID(VLOOKUP($B138,Seqs!$A:$B,2,0),K138,1),"")</f>
        <v>Q</v>
      </c>
      <c r="K138" s="23">
        <v>65</v>
      </c>
      <c r="L138" s="3" t="str">
        <f>IFERROR(MID(VLOOKUP($B138,Seqs!$A:$B,2,0),M138,1),"")</f>
        <v>T</v>
      </c>
      <c r="M138" s="3">
        <v>66</v>
      </c>
      <c r="N138" s="3" t="str">
        <f>IFERROR(MID(VLOOKUP($B138,Seqs!$A:$B,2,0),O138,1),"")</f>
        <v>M</v>
      </c>
      <c r="O138" s="3">
        <v>96</v>
      </c>
      <c r="P138" s="3" t="str">
        <f>IFERROR(MID(VLOOKUP($B138,Seqs!$A:$B,2,0),Q138,1),"")</f>
        <v>M</v>
      </c>
      <c r="Q138" s="3">
        <v>98</v>
      </c>
      <c r="R138" s="3" t="str">
        <f>IFERROR(MID(VLOOKUP($B138,Seqs!$A:$B,2,0),S138,1),"")</f>
        <v>F</v>
      </c>
      <c r="S138" s="3">
        <v>101</v>
      </c>
      <c r="T138" s="3" t="str">
        <f>IFERROR(MID(VLOOKUP($B138,Seqs!$A:$B,2,0),U138,1),"")</f>
        <v>G</v>
      </c>
      <c r="U138" s="3">
        <v>102</v>
      </c>
      <c r="V138" s="3" t="str">
        <f>IFERROR(MID(VLOOKUP($B138,Seqs!$A:$B,2,0),W138,1),"")</f>
        <v>T</v>
      </c>
      <c r="W138" s="3">
        <v>136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3">
        <v>146</v>
      </c>
      <c r="AD138" s="3" t="str">
        <f>IFERROR(MID(VLOOKUP($B138,Seqs!$A:$B,2,0),AE138,1),"")</f>
        <v>H</v>
      </c>
      <c r="AE138" s="3">
        <v>172</v>
      </c>
      <c r="AF138" s="3" t="str">
        <f>IFERROR(MID(VLOOKUP($B138,Seqs!$A:$B,2,0),AG138,1),"")</f>
        <v>C</v>
      </c>
      <c r="AG138" s="3">
        <v>191</v>
      </c>
      <c r="AH138" s="3" t="str">
        <f>IFERROR(MID(VLOOKUP($B138,Seqs!$A:$B,2,0),AI138,1),"")</f>
        <v>F</v>
      </c>
      <c r="AI138" s="3">
        <v>193</v>
      </c>
      <c r="AJ138" s="3" t="str">
        <f>IFERROR(MID(VLOOKUP($B138,Seqs!$A:$B,2,0),AK138,1),"")</f>
        <v>N</v>
      </c>
      <c r="AK138" s="3">
        <v>196</v>
      </c>
      <c r="AL138" s="3" t="str">
        <f>IFERROR(MID(VLOOKUP($B138,Seqs!$A:$B,2,0),AM138,1),"")</f>
        <v>K</v>
      </c>
      <c r="AM138" s="3">
        <v>232</v>
      </c>
      <c r="AN138" s="3" t="str">
        <f>IFERROR(MID(VLOOKUP($B138,Seqs!$A:$B,2,0),AO138,1),"")</f>
        <v>E</v>
      </c>
      <c r="AO138" s="3">
        <v>237</v>
      </c>
      <c r="AP138" s="3" t="str">
        <f>IFERROR(MID(VLOOKUP($B138,Seqs!$A:$B,2,0),AQ138,1),"")</f>
        <v>A</v>
      </c>
      <c r="AQ138" s="3">
        <v>271</v>
      </c>
      <c r="AR138" s="3" t="str">
        <f>IFERROR(MID(VLOOKUP($B138,Seqs!$A:$B,2,0),AS138,1),"")</f>
        <v>G</v>
      </c>
      <c r="AS138" s="3">
        <v>276</v>
      </c>
      <c r="AT138" s="3" t="str">
        <f>IFERROR(MID(VLOOKUP($B138,Seqs!$A:$B,2,0),AU138,1),"")</f>
        <v>D</v>
      </c>
      <c r="AU138" s="3">
        <v>300</v>
      </c>
      <c r="AV138" s="3" t="str">
        <f>IFERROR(MID(VLOOKUP($B138,Seqs!$A:$B,2,0),AW138,1),"")</f>
        <v>N</v>
      </c>
      <c r="AW138" s="3">
        <v>301</v>
      </c>
      <c r="AX138" s="3" t="str">
        <f>IFERROR(MID(VLOOKUP($B138,Seqs!$A:$B,2,0),AY138,1),"")</f>
        <v>W</v>
      </c>
      <c r="AY138" s="3">
        <v>313</v>
      </c>
      <c r="AZ138" s="77" t="str">
        <f>VLOOKUP(B138,Classification!A:D,2,0)</f>
        <v>A</v>
      </c>
      <c r="BA138" s="94" t="str">
        <f>VLOOKUP(B138,Classification!A:D,4,0)</f>
        <v>Adrenoceptors</v>
      </c>
      <c r="BB138" s="27" t="b">
        <f t="shared" ref="BB138" si="1204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" si="1205">_xlfn.AGGREGATE(9,6,CH138:CS138)-_xlfn.AGGREGATE(9,6,BV138:CG138)+12</f>
        <v>248</v>
      </c>
      <c r="BD138" s="4" t="s">
        <v>23</v>
      </c>
      <c r="BE138" s="3" t="s">
        <v>1370</v>
      </c>
      <c r="BF138" s="118">
        <v>3.99</v>
      </c>
      <c r="BG138" s="49" t="s">
        <v>1</v>
      </c>
      <c r="BH138" s="49" t="s">
        <v>1</v>
      </c>
      <c r="BI138" s="1"/>
      <c r="BJ138" s="70" t="s">
        <v>1283</v>
      </c>
      <c r="BK138" s="57" t="s">
        <v>1283</v>
      </c>
      <c r="BL138" s="57" t="s">
        <v>1283</v>
      </c>
      <c r="BM138" s="57" t="s">
        <v>1283</v>
      </c>
      <c r="BN138" s="57" t="s">
        <v>1283</v>
      </c>
      <c r="BO138" s="57" t="s">
        <v>1283</v>
      </c>
      <c r="BP138" s="57" t="s">
        <v>1283</v>
      </c>
      <c r="BQ138" s="57" t="s">
        <v>1283</v>
      </c>
      <c r="BR138" s="57" t="s">
        <v>1283</v>
      </c>
      <c r="BS138" s="57" t="s">
        <v>1283</v>
      </c>
      <c r="BT138" s="57" t="s">
        <v>1283</v>
      </c>
      <c r="BU138" s="57" t="s">
        <v>1283</v>
      </c>
      <c r="BV138" s="70">
        <f t="shared" ref="BV138" si="1206">E138</f>
        <v>29</v>
      </c>
      <c r="BW138" s="71">
        <f t="shared" ref="BW138" si="1207">I138</f>
        <v>62</v>
      </c>
      <c r="BX138" s="72">
        <f t="shared" ref="BX138" si="1208">M138</f>
        <v>66</v>
      </c>
      <c r="BY138" s="71">
        <f t="shared" ref="BY138" si="1209">Q138</f>
        <v>98</v>
      </c>
      <c r="BZ138" s="72">
        <f t="shared" ref="BZ138" si="1210">U138</f>
        <v>102</v>
      </c>
      <c r="CA138" s="71" t="str">
        <f t="shared" ref="CA138" si="1211">Y138</f>
        <v>-</v>
      </c>
      <c r="CB138" s="72">
        <f t="shared" ref="CB138" si="1212">AC138</f>
        <v>146</v>
      </c>
      <c r="CC138" s="71">
        <f t="shared" ref="CC138" si="1213">AG138</f>
        <v>191</v>
      </c>
      <c r="CD138" s="72">
        <f t="shared" ref="CD138" si="1214">AK138</f>
        <v>196</v>
      </c>
      <c r="CE138" s="71">
        <f t="shared" ref="CE138" si="1215">AO138</f>
        <v>237</v>
      </c>
      <c r="CF138" s="72">
        <f t="shared" ref="CF138" si="1216">AS138</f>
        <v>276</v>
      </c>
      <c r="CG138" s="71">
        <f t="shared" ref="CG138" si="1217">AW138</f>
        <v>301</v>
      </c>
      <c r="CH138" s="70">
        <f t="shared" ref="CH138" si="1218">G138</f>
        <v>61</v>
      </c>
      <c r="CI138" s="71">
        <f t="shared" ref="CI138" si="1219">K138</f>
        <v>65</v>
      </c>
      <c r="CJ138" s="72">
        <f t="shared" ref="CJ138" si="1220">O138</f>
        <v>96</v>
      </c>
      <c r="CK138" s="72">
        <f t="shared" ref="CK138" si="1221">S138</f>
        <v>101</v>
      </c>
      <c r="CL138" s="72">
        <f t="shared" ref="CL138" si="1222">W138</f>
        <v>136</v>
      </c>
      <c r="CM138" s="72" t="str">
        <f t="shared" ref="CM138" si="1223">AA138</f>
        <v>-</v>
      </c>
      <c r="CN138" s="72">
        <f t="shared" ref="CN138" si="1224">AE138</f>
        <v>172</v>
      </c>
      <c r="CO138" s="72">
        <f t="shared" ref="CO138" si="1225">AI138</f>
        <v>193</v>
      </c>
      <c r="CP138" s="72">
        <f t="shared" ref="CP138" si="1226">AM138</f>
        <v>232</v>
      </c>
      <c r="CQ138" s="72">
        <f t="shared" ref="CQ138" si="1227">AQ138</f>
        <v>271</v>
      </c>
      <c r="CR138" s="72">
        <f t="shared" ref="CR138" si="1228">AU138</f>
        <v>300</v>
      </c>
      <c r="CS138" s="72">
        <f t="shared" ref="CS138" si="1229">AY138</f>
        <v>313</v>
      </c>
      <c r="CT138" s="23">
        <f t="shared" ref="CT138" si="1230"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ref="A139:A257" si="1231">CONCATENATE(B139,"_",C139)</f>
        <v>adrb2_human_4LDE</v>
      </c>
      <c r="B139" s="3" t="s">
        <v>126</v>
      </c>
      <c r="C139" s="3" t="s">
        <v>77</v>
      </c>
      <c r="D139" s="3" t="str">
        <f>IFERROR(MID(VLOOKUP($B139,Seqs!$A:$B,2,0),E139,1),"")</f>
        <v/>
      </c>
      <c r="E139" s="3">
        <v>1029</v>
      </c>
      <c r="F139" s="3" t="str">
        <f>IFERROR(MID(VLOOKUP($B139,Seqs!$A:$B,2,0),G139,1),"")</f>
        <v/>
      </c>
      <c r="G139" s="3">
        <v>1061</v>
      </c>
      <c r="H139" s="3" t="str">
        <f>IFERROR(MID(VLOOKUP($B139,Seqs!$A:$B,2,0),I139,1),"")</f>
        <v/>
      </c>
      <c r="I139" s="23">
        <v>1062</v>
      </c>
      <c r="J139" s="3" t="str">
        <f>IFERROR(MID(VLOOKUP($B139,Seqs!$A:$B,2,0),K139,1),"")</f>
        <v/>
      </c>
      <c r="K139" s="23">
        <v>1065</v>
      </c>
      <c r="L139" s="3" t="str">
        <f>IFERROR(MID(VLOOKUP($B139,Seqs!$A:$B,2,0),M139,1),"")</f>
        <v/>
      </c>
      <c r="M139" s="3">
        <v>1066</v>
      </c>
      <c r="N139" s="3" t="str">
        <f>IFERROR(MID(VLOOKUP($B139,Seqs!$A:$B,2,0),O139,1),"")</f>
        <v/>
      </c>
      <c r="O139" s="3">
        <v>1097</v>
      </c>
      <c r="P139" s="3" t="str">
        <f>IFERROR(MID(VLOOKUP($B139,Seqs!$A:$B,2,0),Q139,1),"")</f>
        <v/>
      </c>
      <c r="Q139" s="3">
        <v>1098</v>
      </c>
      <c r="R139" s="3" t="str">
        <f>IFERROR(MID(VLOOKUP($B139,Seqs!$A:$B,2,0),S139,1),"")</f>
        <v/>
      </c>
      <c r="S139" s="3">
        <v>1101</v>
      </c>
      <c r="T139" s="3" t="str">
        <f>IFERROR(MID(VLOOKUP($B139,Seqs!$A:$B,2,0),U139,1),"")</f>
        <v/>
      </c>
      <c r="U139" s="3">
        <v>1102</v>
      </c>
      <c r="V139" s="3" t="str">
        <f>IFERROR(MID(VLOOKUP($B139,Seqs!$A:$B,2,0),W139,1),"")</f>
        <v/>
      </c>
      <c r="W139" s="3">
        <v>1137</v>
      </c>
      <c r="X139" s="3" t="str">
        <f>IFERROR(MID(VLOOKUP($B139,Seqs!$A:$B,2,0),Y139,1),"")</f>
        <v/>
      </c>
      <c r="Y139" s="3">
        <v>1138</v>
      </c>
      <c r="Z139" s="3" t="str">
        <f>IFERROR(MID(VLOOKUP($B139,Seqs!$A:$B,2,0),AA139,1),"")</f>
        <v/>
      </c>
      <c r="AA139" s="3">
        <v>1145</v>
      </c>
      <c r="AB139" s="3" t="str">
        <f>IFERROR(MID(VLOOKUP($B139,Seqs!$A:$B,2,0),AC139,1),"")</f>
        <v/>
      </c>
      <c r="AC139" s="9">
        <v>1146</v>
      </c>
      <c r="AD139" s="3" t="str">
        <f>IFERROR(MID(VLOOKUP($B139,Seqs!$A:$B,2,0),AE139,1),"")</f>
        <v/>
      </c>
      <c r="AE139" s="3">
        <v>1172</v>
      </c>
      <c r="AF139" s="3" t="str">
        <f>IFERROR(MID(VLOOKUP($B139,Seqs!$A:$B,2,0),AG139,1),"")</f>
        <v/>
      </c>
      <c r="AG139" s="3">
        <v>1191</v>
      </c>
      <c r="AH139" s="3" t="str">
        <f>IFERROR(MID(VLOOKUP($B139,Seqs!$A:$B,2,0),AI139,1),"")</f>
        <v/>
      </c>
      <c r="AI139" s="3">
        <v>1193</v>
      </c>
      <c r="AJ139" s="3" t="str">
        <f>IFERROR(MID(VLOOKUP($B139,Seqs!$A:$B,2,0),AK139,1),"")</f>
        <v/>
      </c>
      <c r="AK139" s="3">
        <v>1196</v>
      </c>
      <c r="AL139" s="3" t="str">
        <f>IFERROR(MID(VLOOKUP($B139,Seqs!$A:$B,2,0),AM139,1),"")</f>
        <v/>
      </c>
      <c r="AM139" s="3">
        <v>1225</v>
      </c>
      <c r="AN139" s="3" t="str">
        <f>IFERROR(MID(VLOOKUP($B139,Seqs!$A:$B,2,0),AO139,1),"")</f>
        <v/>
      </c>
      <c r="AO139" s="3">
        <v>1266</v>
      </c>
      <c r="AP139" s="3" t="str">
        <f>IFERROR(MID(VLOOKUP($B139,Seqs!$A:$B,2,0),AQ139,1),"")</f>
        <v/>
      </c>
      <c r="AQ139" s="3">
        <v>1299</v>
      </c>
      <c r="AR139" s="3" t="str">
        <f>IFERROR(MID(VLOOKUP($B139,Seqs!$A:$B,2,0),AS139,1),"")</f>
        <v/>
      </c>
      <c r="AS139" s="3">
        <v>1304</v>
      </c>
      <c r="AT139" s="3" t="str">
        <f>IFERROR(MID(VLOOKUP($B139,Seqs!$A:$B,2,0),AU139,1),"")</f>
        <v/>
      </c>
      <c r="AU139" s="3">
        <v>1328</v>
      </c>
      <c r="AV139" s="3" t="str">
        <f>IFERROR(MID(VLOOKUP($B139,Seqs!$A:$B,2,0),AW139,1),"")</f>
        <v/>
      </c>
      <c r="AW139" s="3">
        <v>1329</v>
      </c>
      <c r="AX139" s="3" t="str">
        <f>IFERROR(MID(VLOOKUP($B139,Seqs!$A:$B,2,0),AY139,1),"")</f>
        <v/>
      </c>
      <c r="AY139" s="3">
        <v>1341</v>
      </c>
      <c r="AZ139" s="77" t="str">
        <f>VLOOKUP(B139,Classification!A:D,2,0)</f>
        <v>A</v>
      </c>
      <c r="BA139" s="94" t="str">
        <f>VLOOKUP(B139,Classification!A:D,4,0)</f>
        <v>Adrenoceptors</v>
      </c>
      <c r="BB139" s="27" t="b">
        <f t="shared" ref="BB139:BB257" si="1232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si="981"/>
        <v>249</v>
      </c>
      <c r="BD139" s="4" t="s">
        <v>23</v>
      </c>
      <c r="BE139" s="3" t="s">
        <v>1287</v>
      </c>
      <c r="BF139" s="118">
        <v>2.79</v>
      </c>
      <c r="BG139" s="49" t="s">
        <v>1373</v>
      </c>
      <c r="BH139" s="49" t="s">
        <v>1373</v>
      </c>
      <c r="BI139" s="1"/>
      <c r="BJ139" s="70" t="s">
        <v>1283</v>
      </c>
      <c r="BK139" s="57" t="s">
        <v>1283</v>
      </c>
      <c r="BL139" s="57" t="s">
        <v>1283</v>
      </c>
      <c r="BM139" s="57" t="s">
        <v>1283</v>
      </c>
      <c r="BN139" s="57" t="s">
        <v>1283</v>
      </c>
      <c r="BO139" s="57" t="s">
        <v>1283</v>
      </c>
      <c r="BP139" s="57" t="s">
        <v>1283</v>
      </c>
      <c r="BQ139" s="57" t="s">
        <v>1283</v>
      </c>
      <c r="BR139" s="57" t="s">
        <v>1283</v>
      </c>
      <c r="BS139" s="57" t="s">
        <v>1283</v>
      </c>
      <c r="BT139" s="57" t="s">
        <v>1283</v>
      </c>
      <c r="BU139" s="57" t="s">
        <v>1283</v>
      </c>
      <c r="BV139" s="70">
        <f t="shared" si="982"/>
        <v>1029</v>
      </c>
      <c r="BW139" s="71">
        <f t="shared" si="983"/>
        <v>1062</v>
      </c>
      <c r="BX139" s="72">
        <f t="shared" si="984"/>
        <v>1066</v>
      </c>
      <c r="BY139" s="71">
        <f t="shared" si="985"/>
        <v>1098</v>
      </c>
      <c r="BZ139" s="72">
        <f t="shared" si="986"/>
        <v>1102</v>
      </c>
      <c r="CA139" s="71">
        <f t="shared" si="987"/>
        <v>1138</v>
      </c>
      <c r="CB139" s="72">
        <f t="shared" si="988"/>
        <v>1146</v>
      </c>
      <c r="CC139" s="71">
        <f t="shared" si="989"/>
        <v>1191</v>
      </c>
      <c r="CD139" s="72">
        <f t="shared" si="990"/>
        <v>1196</v>
      </c>
      <c r="CE139" s="71">
        <f t="shared" si="991"/>
        <v>1266</v>
      </c>
      <c r="CF139" s="72">
        <f t="shared" si="992"/>
        <v>1304</v>
      </c>
      <c r="CG139" s="71">
        <f t="shared" si="993"/>
        <v>1329</v>
      </c>
      <c r="CH139" s="70">
        <f t="shared" si="994"/>
        <v>1061</v>
      </c>
      <c r="CI139" s="71">
        <f t="shared" si="995"/>
        <v>1065</v>
      </c>
      <c r="CJ139" s="72">
        <f t="shared" si="996"/>
        <v>1097</v>
      </c>
      <c r="CK139" s="72">
        <f t="shared" si="997"/>
        <v>1101</v>
      </c>
      <c r="CL139" s="72">
        <f t="shared" si="998"/>
        <v>1137</v>
      </c>
      <c r="CM139" s="72">
        <f t="shared" si="999"/>
        <v>1145</v>
      </c>
      <c r="CN139" s="72">
        <f t="shared" si="1000"/>
        <v>1172</v>
      </c>
      <c r="CO139" s="72">
        <f t="shared" si="1001"/>
        <v>1193</v>
      </c>
      <c r="CP139" s="72">
        <f t="shared" si="1002"/>
        <v>1225</v>
      </c>
      <c r="CQ139" s="72">
        <f t="shared" si="1003"/>
        <v>1299</v>
      </c>
      <c r="CR139" s="72">
        <f t="shared" si="1004"/>
        <v>1328</v>
      </c>
      <c r="CS139" s="72">
        <f t="shared" si="1005"/>
        <v>1341</v>
      </c>
      <c r="CT139" s="23">
        <f t="shared" si="1006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1231"/>
        <v>adrb2_human_4LDL</v>
      </c>
      <c r="B140" s="3" t="s">
        <v>126</v>
      </c>
      <c r="C140" s="3" t="s">
        <v>1040</v>
      </c>
      <c r="D140" s="3" t="str">
        <f>IFERROR(MID(VLOOKUP($B140,Seqs!$A:$B,2,0),E140,1),"")</f>
        <v/>
      </c>
      <c r="E140" s="3">
        <v>1029</v>
      </c>
      <c r="F140" s="3" t="str">
        <f>IFERROR(MID(VLOOKUP($B140,Seqs!$A:$B,2,0),G140,1),"")</f>
        <v/>
      </c>
      <c r="G140" s="3">
        <v>1061</v>
      </c>
      <c r="H140" s="3" t="str">
        <f>IFERROR(MID(VLOOKUP($B140,Seqs!$A:$B,2,0),I140,1),"")</f>
        <v/>
      </c>
      <c r="I140" s="23">
        <v>1062</v>
      </c>
      <c r="J140" s="3" t="str">
        <f>IFERROR(MID(VLOOKUP($B140,Seqs!$A:$B,2,0),K140,1),"")</f>
        <v/>
      </c>
      <c r="K140" s="23">
        <v>1065</v>
      </c>
      <c r="L140" s="3" t="str">
        <f>IFERROR(MID(VLOOKUP($B140,Seqs!$A:$B,2,0),M140,1),"")</f>
        <v/>
      </c>
      <c r="M140" s="3">
        <v>1066</v>
      </c>
      <c r="N140" s="3" t="str">
        <f>IFERROR(MID(VLOOKUP($B140,Seqs!$A:$B,2,0),O140,1),"")</f>
        <v/>
      </c>
      <c r="O140" s="3">
        <v>1097</v>
      </c>
      <c r="P140" s="3" t="str">
        <f>IFERROR(MID(VLOOKUP($B140,Seqs!$A:$B,2,0),Q140,1),"")</f>
        <v/>
      </c>
      <c r="Q140" s="3">
        <v>1098</v>
      </c>
      <c r="R140" s="3" t="str">
        <f>IFERROR(MID(VLOOKUP($B140,Seqs!$A:$B,2,0),S140,1),"")</f>
        <v/>
      </c>
      <c r="S140" s="3">
        <v>1101</v>
      </c>
      <c r="T140" s="3" t="str">
        <f>IFERROR(MID(VLOOKUP($B140,Seqs!$A:$B,2,0),U140,1),"")</f>
        <v/>
      </c>
      <c r="U140" s="3">
        <v>1102</v>
      </c>
      <c r="V140" s="3" t="str">
        <f>IFERROR(MID(VLOOKUP($B140,Seqs!$A:$B,2,0),W140,1),"")</f>
        <v/>
      </c>
      <c r="W140" s="3">
        <v>1137</v>
      </c>
      <c r="X140" s="3" t="str">
        <f>IFERROR(MID(VLOOKUP($B140,Seqs!$A:$B,2,0),Y140,1),"")</f>
        <v/>
      </c>
      <c r="Y140" s="3">
        <v>1138</v>
      </c>
      <c r="Z140" s="3" t="str">
        <f>IFERROR(MID(VLOOKUP($B140,Seqs!$A:$B,2,0),AA140,1),"")</f>
        <v/>
      </c>
      <c r="AA140" s="3">
        <v>1145</v>
      </c>
      <c r="AB140" s="3" t="str">
        <f>IFERROR(MID(VLOOKUP($B140,Seqs!$A:$B,2,0),AC140,1),"")</f>
        <v/>
      </c>
      <c r="AC140" s="9">
        <v>1146</v>
      </c>
      <c r="AD140" s="3" t="str">
        <f>IFERROR(MID(VLOOKUP($B140,Seqs!$A:$B,2,0),AE140,1),"")</f>
        <v/>
      </c>
      <c r="AE140" s="3">
        <v>1172</v>
      </c>
      <c r="AF140" s="3" t="str">
        <f>IFERROR(MID(VLOOKUP($B140,Seqs!$A:$B,2,0),AG140,1),"")</f>
        <v/>
      </c>
      <c r="AG140" s="3">
        <v>1191</v>
      </c>
      <c r="AH140" s="3" t="str">
        <f>IFERROR(MID(VLOOKUP($B140,Seqs!$A:$B,2,0),AI140,1),"")</f>
        <v/>
      </c>
      <c r="AI140" s="3">
        <v>1193</v>
      </c>
      <c r="AJ140" s="3" t="str">
        <f>IFERROR(MID(VLOOKUP($B140,Seqs!$A:$B,2,0),AK140,1),"")</f>
        <v/>
      </c>
      <c r="AK140" s="3">
        <v>1196</v>
      </c>
      <c r="AL140" s="3" t="str">
        <f>IFERROR(MID(VLOOKUP($B140,Seqs!$A:$B,2,0),AM140,1),"")</f>
        <v/>
      </c>
      <c r="AM140" s="3">
        <v>1225</v>
      </c>
      <c r="AN140" s="3" t="str">
        <f>IFERROR(MID(VLOOKUP($B140,Seqs!$A:$B,2,0),AO140,1),"")</f>
        <v/>
      </c>
      <c r="AO140" s="3">
        <v>1266</v>
      </c>
      <c r="AP140" s="3" t="str">
        <f>IFERROR(MID(VLOOKUP($B140,Seqs!$A:$B,2,0),AQ140,1),"")</f>
        <v/>
      </c>
      <c r="AQ140" s="3">
        <v>1299</v>
      </c>
      <c r="AR140" s="3" t="str">
        <f>IFERROR(MID(VLOOKUP($B140,Seqs!$A:$B,2,0),AS140,1),"")</f>
        <v/>
      </c>
      <c r="AS140" s="3">
        <v>1304</v>
      </c>
      <c r="AT140" s="3" t="str">
        <f>IFERROR(MID(VLOOKUP($B140,Seqs!$A:$B,2,0),AU140,1),"")</f>
        <v/>
      </c>
      <c r="AU140" s="3">
        <v>1328</v>
      </c>
      <c r="AV140" s="3" t="str">
        <f>IFERROR(MID(VLOOKUP($B140,Seqs!$A:$B,2,0),AW140,1),"")</f>
        <v/>
      </c>
      <c r="AW140" s="3">
        <v>1329</v>
      </c>
      <c r="AX140" s="3" t="str">
        <f>IFERROR(MID(VLOOKUP($B140,Seqs!$A:$B,2,0),AY140,1),"")</f>
        <v/>
      </c>
      <c r="AY140" s="3">
        <v>1341</v>
      </c>
      <c r="AZ140" s="77" t="str">
        <f>VLOOKUP(B140,Classification!A:D,2,0)</f>
        <v>A</v>
      </c>
      <c r="BA140" s="94" t="str">
        <f>VLOOKUP(B140,Classification!A:D,4,0)</f>
        <v>Adrenoceptors</v>
      </c>
      <c r="BB140" s="27" t="b">
        <f t="shared" si="1232"/>
        <v>1</v>
      </c>
      <c r="BC140" s="23">
        <f t="shared" si="981"/>
        <v>249</v>
      </c>
      <c r="BD140" s="4" t="s">
        <v>23</v>
      </c>
      <c r="BE140" s="3" t="s">
        <v>1287</v>
      </c>
      <c r="BF140" s="118">
        <v>3.1</v>
      </c>
      <c r="BG140" s="49" t="s">
        <v>1373</v>
      </c>
      <c r="BH140" s="49" t="s">
        <v>1373</v>
      </c>
      <c r="BI140" s="1"/>
      <c r="BJ140" s="70" t="s">
        <v>1283</v>
      </c>
      <c r="BK140" s="57" t="s">
        <v>1283</v>
      </c>
      <c r="BL140" s="57" t="s">
        <v>1283</v>
      </c>
      <c r="BM140" s="57" t="s">
        <v>1283</v>
      </c>
      <c r="BN140" s="57" t="s">
        <v>1283</v>
      </c>
      <c r="BO140" s="57" t="s">
        <v>1283</v>
      </c>
      <c r="BP140" s="57" t="s">
        <v>1283</v>
      </c>
      <c r="BQ140" s="57" t="s">
        <v>1283</v>
      </c>
      <c r="BR140" s="57" t="s">
        <v>1283</v>
      </c>
      <c r="BS140" s="57" t="s">
        <v>1283</v>
      </c>
      <c r="BT140" s="57" t="s">
        <v>1283</v>
      </c>
      <c r="BU140" s="57" t="s">
        <v>1283</v>
      </c>
      <c r="BV140" s="70">
        <f t="shared" si="982"/>
        <v>1029</v>
      </c>
      <c r="BW140" s="71">
        <f t="shared" si="983"/>
        <v>1062</v>
      </c>
      <c r="BX140" s="72">
        <f t="shared" si="984"/>
        <v>1066</v>
      </c>
      <c r="BY140" s="71">
        <f t="shared" si="985"/>
        <v>1098</v>
      </c>
      <c r="BZ140" s="72">
        <f t="shared" si="986"/>
        <v>1102</v>
      </c>
      <c r="CA140" s="71">
        <f t="shared" si="987"/>
        <v>1138</v>
      </c>
      <c r="CB140" s="72">
        <f t="shared" si="988"/>
        <v>1146</v>
      </c>
      <c r="CC140" s="71">
        <f t="shared" si="989"/>
        <v>1191</v>
      </c>
      <c r="CD140" s="72">
        <f t="shared" si="990"/>
        <v>1196</v>
      </c>
      <c r="CE140" s="71">
        <f t="shared" si="991"/>
        <v>1266</v>
      </c>
      <c r="CF140" s="72">
        <f t="shared" si="992"/>
        <v>1304</v>
      </c>
      <c r="CG140" s="71">
        <f t="shared" si="993"/>
        <v>1329</v>
      </c>
      <c r="CH140" s="70">
        <f t="shared" si="994"/>
        <v>1061</v>
      </c>
      <c r="CI140" s="71">
        <f t="shared" si="995"/>
        <v>1065</v>
      </c>
      <c r="CJ140" s="72">
        <f t="shared" si="996"/>
        <v>1097</v>
      </c>
      <c r="CK140" s="72">
        <f t="shared" si="997"/>
        <v>1101</v>
      </c>
      <c r="CL140" s="72">
        <f t="shared" si="998"/>
        <v>1137</v>
      </c>
      <c r="CM140" s="72">
        <f t="shared" si="999"/>
        <v>1145</v>
      </c>
      <c r="CN140" s="72">
        <f t="shared" si="1000"/>
        <v>1172</v>
      </c>
      <c r="CO140" s="72">
        <f t="shared" si="1001"/>
        <v>1193</v>
      </c>
      <c r="CP140" s="72">
        <f t="shared" si="1002"/>
        <v>1225</v>
      </c>
      <c r="CQ140" s="72">
        <f t="shared" si="1003"/>
        <v>1299</v>
      </c>
      <c r="CR140" s="72">
        <f t="shared" si="1004"/>
        <v>1328</v>
      </c>
      <c r="CS140" s="72">
        <f t="shared" si="1005"/>
        <v>1341</v>
      </c>
      <c r="CT140" s="23">
        <f t="shared" si="100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ht="17" customHeight="1" x14ac:dyDescent="0.2">
      <c r="A141" s="3" t="str">
        <f t="shared" si="1231"/>
        <v>adrb2_human_4LDO</v>
      </c>
      <c r="B141" s="3" t="s">
        <v>126</v>
      </c>
      <c r="C141" s="3" t="s">
        <v>1041</v>
      </c>
      <c r="D141" s="3" t="str">
        <f>IFERROR(MID(VLOOKUP($B141,Seqs!$A:$B,2,0),E141,1),"")</f>
        <v/>
      </c>
      <c r="E141" s="3">
        <v>1029</v>
      </c>
      <c r="F141" s="3" t="str">
        <f>IFERROR(MID(VLOOKUP($B141,Seqs!$A:$B,2,0),G141,1),"")</f>
        <v/>
      </c>
      <c r="G141" s="3">
        <v>1061</v>
      </c>
      <c r="H141" s="3" t="str">
        <f>IFERROR(MID(VLOOKUP($B141,Seqs!$A:$B,2,0),I141,1),"")</f>
        <v/>
      </c>
      <c r="I141" s="23">
        <v>1062</v>
      </c>
      <c r="J141" s="3" t="str">
        <f>IFERROR(MID(VLOOKUP($B141,Seqs!$A:$B,2,0),K141,1),"")</f>
        <v/>
      </c>
      <c r="K141" s="23">
        <v>1065</v>
      </c>
      <c r="L141" s="3" t="str">
        <f>IFERROR(MID(VLOOKUP($B141,Seqs!$A:$B,2,0),M141,1),"")</f>
        <v/>
      </c>
      <c r="M141" s="3">
        <v>1066</v>
      </c>
      <c r="N141" s="3" t="str">
        <f>IFERROR(MID(VLOOKUP($B141,Seqs!$A:$B,2,0),O141,1),"")</f>
        <v/>
      </c>
      <c r="O141" s="3">
        <v>1097</v>
      </c>
      <c r="P141" s="3" t="str">
        <f>IFERROR(MID(VLOOKUP($B141,Seqs!$A:$B,2,0),Q141,1),"")</f>
        <v/>
      </c>
      <c r="Q141" s="3">
        <v>1098</v>
      </c>
      <c r="R141" s="3" t="str">
        <f>IFERROR(MID(VLOOKUP($B141,Seqs!$A:$B,2,0),S141,1),"")</f>
        <v/>
      </c>
      <c r="S141" s="3">
        <v>1101</v>
      </c>
      <c r="T141" s="3" t="str">
        <f>IFERROR(MID(VLOOKUP($B141,Seqs!$A:$B,2,0),U141,1),"")</f>
        <v/>
      </c>
      <c r="U141" s="3">
        <v>1102</v>
      </c>
      <c r="V141" s="3" t="str">
        <f>IFERROR(MID(VLOOKUP($B141,Seqs!$A:$B,2,0),W141,1),"")</f>
        <v/>
      </c>
      <c r="W141" s="3">
        <v>1137</v>
      </c>
      <c r="X141" s="3" t="str">
        <f>IFERROR(MID(VLOOKUP($B141,Seqs!$A:$B,2,0),Y141,1),"")</f>
        <v/>
      </c>
      <c r="Y141" s="3">
        <v>1138</v>
      </c>
      <c r="Z141" s="3" t="str">
        <f>IFERROR(MID(VLOOKUP($B141,Seqs!$A:$B,2,0),AA141,1),"")</f>
        <v/>
      </c>
      <c r="AA141" s="3">
        <v>1145</v>
      </c>
      <c r="AB141" s="3" t="str">
        <f>IFERROR(MID(VLOOKUP($B141,Seqs!$A:$B,2,0),AC141,1),"")</f>
        <v/>
      </c>
      <c r="AC141" s="9">
        <v>1146</v>
      </c>
      <c r="AD141" s="3" t="str">
        <f>IFERROR(MID(VLOOKUP($B141,Seqs!$A:$B,2,0),AE141,1),"")</f>
        <v/>
      </c>
      <c r="AE141" s="3">
        <v>1172</v>
      </c>
      <c r="AF141" s="3" t="str">
        <f>IFERROR(MID(VLOOKUP($B141,Seqs!$A:$B,2,0),AG141,1),"")</f>
        <v/>
      </c>
      <c r="AG141" s="3">
        <v>1191</v>
      </c>
      <c r="AH141" s="3" t="str">
        <f>IFERROR(MID(VLOOKUP($B141,Seqs!$A:$B,2,0),AI141,1),"")</f>
        <v/>
      </c>
      <c r="AI141" s="3">
        <v>1193</v>
      </c>
      <c r="AJ141" s="3" t="str">
        <f>IFERROR(MID(VLOOKUP($B141,Seqs!$A:$B,2,0),AK141,1),"")</f>
        <v/>
      </c>
      <c r="AK141" s="3">
        <v>1196</v>
      </c>
      <c r="AL141" s="3" t="str">
        <f>IFERROR(MID(VLOOKUP($B141,Seqs!$A:$B,2,0),AM141,1),"")</f>
        <v/>
      </c>
      <c r="AM141" s="3">
        <v>1225</v>
      </c>
      <c r="AN141" s="3" t="str">
        <f>IFERROR(MID(VLOOKUP($B141,Seqs!$A:$B,2,0),AO141,1),"")</f>
        <v/>
      </c>
      <c r="AO141" s="3">
        <v>1266</v>
      </c>
      <c r="AP141" s="3" t="str">
        <f>IFERROR(MID(VLOOKUP($B141,Seqs!$A:$B,2,0),AQ141,1),"")</f>
        <v/>
      </c>
      <c r="AQ141" s="3">
        <v>1299</v>
      </c>
      <c r="AR141" s="3" t="str">
        <f>IFERROR(MID(VLOOKUP($B141,Seqs!$A:$B,2,0),AS141,1),"")</f>
        <v/>
      </c>
      <c r="AS141" s="3">
        <v>1304</v>
      </c>
      <c r="AT141" s="3" t="str">
        <f>IFERROR(MID(VLOOKUP($B141,Seqs!$A:$B,2,0),AU141,1),"")</f>
        <v/>
      </c>
      <c r="AU141" s="3">
        <v>1328</v>
      </c>
      <c r="AV141" s="3" t="str">
        <f>IFERROR(MID(VLOOKUP($B141,Seqs!$A:$B,2,0),AW141,1),"")</f>
        <v/>
      </c>
      <c r="AW141" s="3">
        <v>1329</v>
      </c>
      <c r="AX141" s="3" t="str">
        <f>IFERROR(MID(VLOOKUP($B141,Seqs!$A:$B,2,0),AY141,1),"")</f>
        <v/>
      </c>
      <c r="AY141" s="3">
        <v>1341</v>
      </c>
      <c r="AZ141" s="77" t="str">
        <f>VLOOKUP(B141,Classification!A:D,2,0)</f>
        <v>A</v>
      </c>
      <c r="BA141" s="94" t="str">
        <f>VLOOKUP(B141,Classification!A:D,4,0)</f>
        <v>Adrenoceptors</v>
      </c>
      <c r="BB141" s="27" t="b">
        <f t="shared" si="1232"/>
        <v>1</v>
      </c>
      <c r="BC141" s="23">
        <f t="shared" si="981"/>
        <v>249</v>
      </c>
      <c r="BD141" s="4" t="s">
        <v>23</v>
      </c>
      <c r="BE141" s="3" t="s">
        <v>1287</v>
      </c>
      <c r="BF141" s="118">
        <v>3.2</v>
      </c>
      <c r="BG141" s="49" t="s">
        <v>1373</v>
      </c>
      <c r="BH141" s="49" t="s">
        <v>1373</v>
      </c>
      <c r="BI141" s="1"/>
      <c r="BJ141" s="70" t="s">
        <v>1283</v>
      </c>
      <c r="BK141" s="57" t="s">
        <v>1283</v>
      </c>
      <c r="BL141" s="57" t="s">
        <v>1283</v>
      </c>
      <c r="BM141" s="57" t="s">
        <v>1283</v>
      </c>
      <c r="BN141" s="57" t="s">
        <v>1283</v>
      </c>
      <c r="BO141" s="57" t="s">
        <v>1283</v>
      </c>
      <c r="BP141" s="57" t="s">
        <v>1283</v>
      </c>
      <c r="BQ141" s="57" t="s">
        <v>1283</v>
      </c>
      <c r="BR141" s="57" t="s">
        <v>1283</v>
      </c>
      <c r="BS141" s="57" t="s">
        <v>1283</v>
      </c>
      <c r="BT141" s="57" t="s">
        <v>1283</v>
      </c>
      <c r="BU141" s="57" t="s">
        <v>1283</v>
      </c>
      <c r="BV141" s="70">
        <f t="shared" si="982"/>
        <v>1029</v>
      </c>
      <c r="BW141" s="71">
        <f t="shared" si="983"/>
        <v>1062</v>
      </c>
      <c r="BX141" s="72">
        <f t="shared" si="984"/>
        <v>1066</v>
      </c>
      <c r="BY141" s="71">
        <f t="shared" si="985"/>
        <v>1098</v>
      </c>
      <c r="BZ141" s="72">
        <f t="shared" si="986"/>
        <v>1102</v>
      </c>
      <c r="CA141" s="71">
        <f t="shared" si="987"/>
        <v>1138</v>
      </c>
      <c r="CB141" s="72">
        <f t="shared" si="988"/>
        <v>1146</v>
      </c>
      <c r="CC141" s="71">
        <f t="shared" si="989"/>
        <v>1191</v>
      </c>
      <c r="CD141" s="72">
        <f t="shared" si="990"/>
        <v>1196</v>
      </c>
      <c r="CE141" s="71">
        <f t="shared" si="991"/>
        <v>1266</v>
      </c>
      <c r="CF141" s="72">
        <f t="shared" si="992"/>
        <v>1304</v>
      </c>
      <c r="CG141" s="71">
        <f t="shared" si="993"/>
        <v>1329</v>
      </c>
      <c r="CH141" s="70">
        <f t="shared" si="994"/>
        <v>1061</v>
      </c>
      <c r="CI141" s="71">
        <f t="shared" si="995"/>
        <v>1065</v>
      </c>
      <c r="CJ141" s="72">
        <f t="shared" si="996"/>
        <v>1097</v>
      </c>
      <c r="CK141" s="72">
        <f t="shared" si="997"/>
        <v>1101</v>
      </c>
      <c r="CL141" s="72">
        <f t="shared" si="998"/>
        <v>1137</v>
      </c>
      <c r="CM141" s="72">
        <f t="shared" si="999"/>
        <v>1145</v>
      </c>
      <c r="CN141" s="72">
        <f t="shared" si="1000"/>
        <v>1172</v>
      </c>
      <c r="CO141" s="72">
        <f t="shared" si="1001"/>
        <v>1193</v>
      </c>
      <c r="CP141" s="72">
        <f t="shared" si="1002"/>
        <v>1225</v>
      </c>
      <c r="CQ141" s="72">
        <f t="shared" si="1003"/>
        <v>1299</v>
      </c>
      <c r="CR141" s="72">
        <f t="shared" si="1004"/>
        <v>1328</v>
      </c>
      <c r="CS141" s="72">
        <f t="shared" si="1005"/>
        <v>1341</v>
      </c>
      <c r="CT141" s="23">
        <f t="shared" si="100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1231"/>
        <v>adrb2_human_4QKX</v>
      </c>
      <c r="B142" s="3" t="s">
        <v>126</v>
      </c>
      <c r="C142" s="3" t="s">
        <v>78</v>
      </c>
      <c r="D142" s="3" t="str">
        <f>IFERROR(MID(VLOOKUP($B142,Seqs!$A:$B,2,0),E142,1),"")</f>
        <v/>
      </c>
      <c r="E142" s="3">
        <v>1029</v>
      </c>
      <c r="F142" s="3" t="str">
        <f>IFERROR(MID(VLOOKUP($B142,Seqs!$A:$B,2,0),G142,1),"")</f>
        <v/>
      </c>
      <c r="G142" s="3">
        <v>1061</v>
      </c>
      <c r="H142" s="3" t="str">
        <f>IFERROR(MID(VLOOKUP($B142,Seqs!$A:$B,2,0),I142,1),"")</f>
        <v/>
      </c>
      <c r="I142" s="23">
        <v>1062</v>
      </c>
      <c r="J142" s="3" t="str">
        <f>IFERROR(MID(VLOOKUP($B142,Seqs!$A:$B,2,0),K142,1),"")</f>
        <v/>
      </c>
      <c r="K142" s="23">
        <v>1065</v>
      </c>
      <c r="L142" s="3" t="str">
        <f>IFERROR(MID(VLOOKUP($B142,Seqs!$A:$B,2,0),M142,1),"")</f>
        <v/>
      </c>
      <c r="M142" s="3">
        <v>1066</v>
      </c>
      <c r="N142" s="3" t="str">
        <f>IFERROR(MID(VLOOKUP($B142,Seqs!$A:$B,2,0),O142,1),"")</f>
        <v/>
      </c>
      <c r="O142" s="3">
        <v>1096</v>
      </c>
      <c r="P142" s="3" t="str">
        <f>IFERROR(MID(VLOOKUP($B142,Seqs!$A:$B,2,0),Q142,1),"")</f>
        <v/>
      </c>
      <c r="Q142" s="3">
        <v>1098</v>
      </c>
      <c r="R142" s="3" t="str">
        <f>IFERROR(MID(VLOOKUP($B142,Seqs!$A:$B,2,0),S142,1),"")</f>
        <v/>
      </c>
      <c r="S142" s="3">
        <v>1101</v>
      </c>
      <c r="T142" s="3" t="str">
        <f>IFERROR(MID(VLOOKUP($B142,Seqs!$A:$B,2,0),U142,1),"")</f>
        <v/>
      </c>
      <c r="U142" s="3">
        <v>1102</v>
      </c>
      <c r="V142" s="3" t="str">
        <f>IFERROR(MID(VLOOKUP($B142,Seqs!$A:$B,2,0),W142,1),"")</f>
        <v/>
      </c>
      <c r="W142" s="3">
        <v>1137</v>
      </c>
      <c r="X142" s="3" t="str">
        <f>IFERROR(MID(VLOOKUP($B142,Seqs!$A:$B,2,0),Y142,1),"")</f>
        <v/>
      </c>
      <c r="Y142" s="3">
        <v>1138</v>
      </c>
      <c r="Z142" s="3" t="str">
        <f>IFERROR(MID(VLOOKUP($B142,Seqs!$A:$B,2,0),AA142,1),"")</f>
        <v/>
      </c>
      <c r="AA142" s="3">
        <v>1145</v>
      </c>
      <c r="AB142" s="3" t="str">
        <f>IFERROR(MID(VLOOKUP($B142,Seqs!$A:$B,2,0),AC142,1),"")</f>
        <v/>
      </c>
      <c r="AC142" s="9">
        <v>1146</v>
      </c>
      <c r="AD142" s="3" t="str">
        <f>IFERROR(MID(VLOOKUP($B142,Seqs!$A:$B,2,0),AE142,1),"")</f>
        <v/>
      </c>
      <c r="AE142" s="3">
        <v>1172</v>
      </c>
      <c r="AF142" s="3" t="str">
        <f>IFERROR(MID(VLOOKUP($B142,Seqs!$A:$B,2,0),AG142,1),"")</f>
        <v/>
      </c>
      <c r="AG142" s="3">
        <v>1191</v>
      </c>
      <c r="AH142" s="3" t="str">
        <f>IFERROR(MID(VLOOKUP($B142,Seqs!$A:$B,2,0),AI142,1),"")</f>
        <v/>
      </c>
      <c r="AI142" s="3">
        <v>1193</v>
      </c>
      <c r="AJ142" s="3" t="str">
        <f>IFERROR(MID(VLOOKUP($B142,Seqs!$A:$B,2,0),AK142,1),"")</f>
        <v/>
      </c>
      <c r="AK142" s="3">
        <v>1196</v>
      </c>
      <c r="AL142" s="3" t="str">
        <f>IFERROR(MID(VLOOKUP($B142,Seqs!$A:$B,2,0),AM142,1),"")</f>
        <v/>
      </c>
      <c r="AM142" s="3">
        <v>1225</v>
      </c>
      <c r="AN142" s="3" t="str">
        <f>IFERROR(MID(VLOOKUP($B142,Seqs!$A:$B,2,0),AO142,1),"")</f>
        <v/>
      </c>
      <c r="AO142" s="3">
        <v>1266</v>
      </c>
      <c r="AP142" s="3" t="str">
        <f>IFERROR(MID(VLOOKUP($B142,Seqs!$A:$B,2,0),AQ142,1),"")</f>
        <v/>
      </c>
      <c r="AQ142" s="3">
        <v>1299</v>
      </c>
      <c r="AR142" s="3" t="str">
        <f>IFERROR(MID(VLOOKUP($B142,Seqs!$A:$B,2,0),AS142,1),"")</f>
        <v/>
      </c>
      <c r="AS142" s="3">
        <v>1304</v>
      </c>
      <c r="AT142" s="3" t="str">
        <f>IFERROR(MID(VLOOKUP($B142,Seqs!$A:$B,2,0),AU142,1),"")</f>
        <v/>
      </c>
      <c r="AU142" s="3">
        <v>1328</v>
      </c>
      <c r="AV142" s="3" t="str">
        <f>IFERROR(MID(VLOOKUP($B142,Seqs!$A:$B,2,0),AW142,1),"")</f>
        <v/>
      </c>
      <c r="AW142" s="3">
        <v>1329</v>
      </c>
      <c r="AX142" s="3" t="str">
        <f>IFERROR(MID(VLOOKUP($B142,Seqs!$A:$B,2,0),AY142,1),"")</f>
        <v/>
      </c>
      <c r="AY142" s="3">
        <v>1341</v>
      </c>
      <c r="AZ142" s="77" t="str">
        <f>VLOOKUP(B142,Classification!A:D,2,0)</f>
        <v>A</v>
      </c>
      <c r="BA142" s="94" t="str">
        <f>VLOOKUP(B142,Classification!A:D,4,0)</f>
        <v>Adrenoceptors</v>
      </c>
      <c r="BB142" s="27" t="b">
        <f t="shared" si="1232"/>
        <v>1</v>
      </c>
      <c r="BC142" s="23">
        <f t="shared" si="981"/>
        <v>248</v>
      </c>
      <c r="BD142" s="4" t="s">
        <v>23</v>
      </c>
      <c r="BE142" s="3" t="s">
        <v>1287</v>
      </c>
      <c r="BF142" s="118">
        <v>3.3</v>
      </c>
      <c r="BG142" s="49" t="s">
        <v>1373</v>
      </c>
      <c r="BH142" s="49" t="s">
        <v>1373</v>
      </c>
      <c r="BI142" s="1"/>
      <c r="BJ142" s="70" t="s">
        <v>1283</v>
      </c>
      <c r="BK142" s="57" t="s">
        <v>1283</v>
      </c>
      <c r="BL142" s="57" t="s">
        <v>1283</v>
      </c>
      <c r="BM142" s="57" t="s">
        <v>1283</v>
      </c>
      <c r="BN142" s="57" t="s">
        <v>1283</v>
      </c>
      <c r="BO142" s="57" t="s">
        <v>1283</v>
      </c>
      <c r="BP142" s="57" t="s">
        <v>1283</v>
      </c>
      <c r="BQ142" s="57" t="s">
        <v>1283</v>
      </c>
      <c r="BR142" s="57" t="s">
        <v>1283</v>
      </c>
      <c r="BS142" s="57" t="s">
        <v>1283</v>
      </c>
      <c r="BT142" s="57" t="s">
        <v>1283</v>
      </c>
      <c r="BU142" s="57" t="s">
        <v>1283</v>
      </c>
      <c r="BV142" s="70">
        <f t="shared" si="982"/>
        <v>1029</v>
      </c>
      <c r="BW142" s="71">
        <f t="shared" si="983"/>
        <v>1062</v>
      </c>
      <c r="BX142" s="72">
        <f t="shared" si="984"/>
        <v>1066</v>
      </c>
      <c r="BY142" s="71">
        <f t="shared" si="985"/>
        <v>1098</v>
      </c>
      <c r="BZ142" s="72">
        <f t="shared" si="986"/>
        <v>1102</v>
      </c>
      <c r="CA142" s="71">
        <f t="shared" si="987"/>
        <v>1138</v>
      </c>
      <c r="CB142" s="72">
        <f t="shared" si="988"/>
        <v>1146</v>
      </c>
      <c r="CC142" s="71">
        <f t="shared" si="989"/>
        <v>1191</v>
      </c>
      <c r="CD142" s="72">
        <f t="shared" si="990"/>
        <v>1196</v>
      </c>
      <c r="CE142" s="71">
        <f t="shared" si="991"/>
        <v>1266</v>
      </c>
      <c r="CF142" s="72">
        <f t="shared" si="992"/>
        <v>1304</v>
      </c>
      <c r="CG142" s="71">
        <f t="shared" si="993"/>
        <v>1329</v>
      </c>
      <c r="CH142" s="70">
        <f t="shared" si="994"/>
        <v>1061</v>
      </c>
      <c r="CI142" s="71">
        <f t="shared" si="995"/>
        <v>1065</v>
      </c>
      <c r="CJ142" s="72">
        <f t="shared" si="996"/>
        <v>1096</v>
      </c>
      <c r="CK142" s="72">
        <f t="shared" si="997"/>
        <v>1101</v>
      </c>
      <c r="CL142" s="72">
        <f t="shared" si="998"/>
        <v>1137</v>
      </c>
      <c r="CM142" s="72">
        <f t="shared" si="999"/>
        <v>1145</v>
      </c>
      <c r="CN142" s="72">
        <f t="shared" si="1000"/>
        <v>1172</v>
      </c>
      <c r="CO142" s="72">
        <f t="shared" si="1001"/>
        <v>1193</v>
      </c>
      <c r="CP142" s="72">
        <f t="shared" si="1002"/>
        <v>1225</v>
      </c>
      <c r="CQ142" s="72">
        <f t="shared" si="1003"/>
        <v>1299</v>
      </c>
      <c r="CR142" s="72">
        <f t="shared" si="1004"/>
        <v>1328</v>
      </c>
      <c r="CS142" s="72">
        <f t="shared" si="1005"/>
        <v>1341</v>
      </c>
      <c r="CT142" s="23">
        <f t="shared" si="100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1231"/>
        <v>adrb2_human_5D6L</v>
      </c>
      <c r="B143" s="3" t="s">
        <v>126</v>
      </c>
      <c r="C143" s="3" t="s">
        <v>1339</v>
      </c>
      <c r="D143" s="3" t="str">
        <f>IFERROR(MID(VLOOKUP($B143,Seqs!$A:$B,2,0),E143,1),"")</f>
        <v>D</v>
      </c>
      <c r="E143" s="3">
        <v>29</v>
      </c>
      <c r="F143" s="3" t="str">
        <f>IFERROR(MID(VLOOKUP($B143,Seqs!$A:$B,2,0),G143,1),"")</f>
        <v>F</v>
      </c>
      <c r="G143" s="3">
        <v>61</v>
      </c>
      <c r="H143" s="3" t="str">
        <f>IFERROR(MID(VLOOKUP($B143,Seqs!$A:$B,2,0),I143,1),"")</f>
        <v>E</v>
      </c>
      <c r="I143" s="23">
        <v>62</v>
      </c>
      <c r="J143" s="3" t="str">
        <f>IFERROR(MID(VLOOKUP($B143,Seqs!$A:$B,2,0),K143,1),"")</f>
        <v>Q</v>
      </c>
      <c r="K143" s="23">
        <v>65</v>
      </c>
      <c r="L143" s="3" t="str">
        <f>IFERROR(MID(VLOOKUP($B143,Seqs!$A:$B,2,0),M143,1),"")</f>
        <v>T</v>
      </c>
      <c r="M143" s="3">
        <v>66</v>
      </c>
      <c r="N143" s="3" t="str">
        <f>IFERROR(MID(VLOOKUP($B143,Seqs!$A:$B,2,0),O143,1),"")</f>
        <v>M</v>
      </c>
      <c r="O143" s="3">
        <v>96</v>
      </c>
      <c r="P143" s="3" t="str">
        <f>IFERROR(MID(VLOOKUP($B143,Seqs!$A:$B,2,0),Q143,1),"")</f>
        <v>M</v>
      </c>
      <c r="Q143" s="3">
        <v>98</v>
      </c>
      <c r="R143" s="3" t="str">
        <f>IFERROR(MID(VLOOKUP($B143,Seqs!$A:$B,2,0),S143,1),"")</f>
        <v>F</v>
      </c>
      <c r="S143" s="3">
        <v>101</v>
      </c>
      <c r="T143" s="3" t="str">
        <f>IFERROR(MID(VLOOKUP($B143,Seqs!$A:$B,2,0),U143,1),"")</f>
        <v>G</v>
      </c>
      <c r="U143" s="3">
        <v>102</v>
      </c>
      <c r="V143" s="3" t="str">
        <f>IFERROR(MID(VLOOKUP($B143,Seqs!$A:$B,2,0),W143,1),"")</f>
        <v>S</v>
      </c>
      <c r="W143" s="3">
        <v>137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T</v>
      </c>
      <c r="AC143" s="9">
        <v>146</v>
      </c>
      <c r="AD143" s="3" t="str">
        <f>IFERROR(MID(VLOOKUP($B143,Seqs!$A:$B,2,0),AE143,1),"")</f>
        <v>H</v>
      </c>
      <c r="AE143" s="3">
        <v>172</v>
      </c>
      <c r="AF143" s="3" t="str">
        <f>IFERROR(MID(VLOOKUP($B143,Seqs!$A:$B,2,0),AG143,1),"")</f>
        <v>C</v>
      </c>
      <c r="AG143" s="3">
        <v>191</v>
      </c>
      <c r="AH143" s="3" t="str">
        <f>IFERROR(MID(VLOOKUP($B143,Seqs!$A:$B,2,0),AI143,1),"")</f>
        <v>F</v>
      </c>
      <c r="AI143" s="3">
        <v>193</v>
      </c>
      <c r="AJ143" s="3" t="str">
        <f>IFERROR(MID(VLOOKUP($B143,Seqs!$A:$B,2,0),AK143,1),"")</f>
        <v>N</v>
      </c>
      <c r="AK143" s="3">
        <v>196</v>
      </c>
      <c r="AL143" s="3" t="str">
        <f>IFERROR(MID(VLOOKUP($B143,Seqs!$A:$B,2,0),AM143,1),"")</f>
        <v>Q</v>
      </c>
      <c r="AM143" s="3">
        <v>229</v>
      </c>
      <c r="AN143" s="3" t="str">
        <f>IFERROR(MID(VLOOKUP($B143,Seqs!$A:$B,2,0),AO143,1),"")</f>
        <v>K</v>
      </c>
      <c r="AO143" s="3">
        <v>267</v>
      </c>
      <c r="AP143" s="3" t="str">
        <f>IFERROR(MID(VLOOKUP($B143,Seqs!$A:$B,2,0),AQ143,1),"")</f>
        <v>Q</v>
      </c>
      <c r="AQ143" s="3">
        <v>299</v>
      </c>
      <c r="AR143" s="3" t="str">
        <f>IFERROR(MID(VLOOKUP($B143,Seqs!$A:$B,2,0),AS143,1),"")</f>
        <v>R</v>
      </c>
      <c r="AS143" s="3">
        <v>304</v>
      </c>
      <c r="AT143" s="3" t="str">
        <f>IFERROR(MID(VLOOKUP($B143,Seqs!$A:$B,2,0),AU143,1),"")</f>
        <v>R</v>
      </c>
      <c r="AU143" s="3">
        <v>328</v>
      </c>
      <c r="AV143" s="3" t="str">
        <f>IFERROR(MID(VLOOKUP($B143,Seqs!$A:$B,2,0),AW143,1),"")</f>
        <v>S</v>
      </c>
      <c r="AW143" s="3">
        <v>329</v>
      </c>
      <c r="AX143" s="3" t="str">
        <f>IFERROR(MID(VLOOKUP($B143,Seqs!$A:$B,2,0),AY143,1),"")</f>
        <v>C</v>
      </c>
      <c r="AY143" s="3">
        <v>341</v>
      </c>
      <c r="AZ143" s="77" t="str">
        <f>VLOOKUP(B143,Classification!A:D,2,0)</f>
        <v>A</v>
      </c>
      <c r="BA143" s="94" t="str">
        <f>VLOOKUP(B143,Classification!A:D,4,0)</f>
        <v>Adrenoceptors</v>
      </c>
      <c r="BB143" s="27" t="b">
        <f t="shared" si="1232"/>
        <v>1</v>
      </c>
      <c r="BC143" s="23">
        <f t="shared" si="981"/>
        <v>244</v>
      </c>
      <c r="BD143" s="4" t="s">
        <v>23</v>
      </c>
      <c r="BE143" s="3" t="s">
        <v>1370</v>
      </c>
      <c r="BF143" s="118">
        <v>3.2</v>
      </c>
      <c r="BG143" s="49" t="s">
        <v>1</v>
      </c>
      <c r="BH143" s="49" t="s">
        <v>1373</v>
      </c>
      <c r="BI143" s="1"/>
      <c r="BJ143" s="70" t="s">
        <v>1283</v>
      </c>
      <c r="BK143" s="57" t="s">
        <v>1283</v>
      </c>
      <c r="BL143" s="57" t="s">
        <v>1283</v>
      </c>
      <c r="BM143" s="57" t="s">
        <v>1283</v>
      </c>
      <c r="BN143" s="57" t="s">
        <v>1283</v>
      </c>
      <c r="BO143" s="57" t="s">
        <v>1283</v>
      </c>
      <c r="BP143" s="57" t="s">
        <v>1283</v>
      </c>
      <c r="BQ143" s="57" t="s">
        <v>1283</v>
      </c>
      <c r="BR143" s="57" t="s">
        <v>1283</v>
      </c>
      <c r="BS143" s="57" t="s">
        <v>1283</v>
      </c>
      <c r="BT143" s="57" t="s">
        <v>1283</v>
      </c>
      <c r="BU143" s="57" t="s">
        <v>1283</v>
      </c>
      <c r="BV143" s="70">
        <f t="shared" si="982"/>
        <v>29</v>
      </c>
      <c r="BW143" s="71">
        <f t="shared" si="983"/>
        <v>62</v>
      </c>
      <c r="BX143" s="72">
        <f t="shared" si="984"/>
        <v>66</v>
      </c>
      <c r="BY143" s="71">
        <f t="shared" si="985"/>
        <v>98</v>
      </c>
      <c r="BZ143" s="72">
        <f t="shared" si="986"/>
        <v>102</v>
      </c>
      <c r="CA143" s="71" t="str">
        <f t="shared" si="987"/>
        <v>-</v>
      </c>
      <c r="CB143" s="72">
        <f t="shared" si="988"/>
        <v>146</v>
      </c>
      <c r="CC143" s="71">
        <f t="shared" si="989"/>
        <v>191</v>
      </c>
      <c r="CD143" s="72">
        <f t="shared" si="990"/>
        <v>196</v>
      </c>
      <c r="CE143" s="71">
        <f t="shared" si="991"/>
        <v>267</v>
      </c>
      <c r="CF143" s="72">
        <f t="shared" si="992"/>
        <v>304</v>
      </c>
      <c r="CG143" s="71">
        <f t="shared" si="993"/>
        <v>329</v>
      </c>
      <c r="CH143" s="70">
        <f t="shared" si="994"/>
        <v>61</v>
      </c>
      <c r="CI143" s="71">
        <f t="shared" si="995"/>
        <v>65</v>
      </c>
      <c r="CJ143" s="72">
        <f t="shared" si="996"/>
        <v>96</v>
      </c>
      <c r="CK143" s="72">
        <f t="shared" si="997"/>
        <v>101</v>
      </c>
      <c r="CL143" s="72">
        <f t="shared" si="998"/>
        <v>137</v>
      </c>
      <c r="CM143" s="72" t="str">
        <f t="shared" si="999"/>
        <v>-</v>
      </c>
      <c r="CN143" s="72">
        <f t="shared" si="1000"/>
        <v>172</v>
      </c>
      <c r="CO143" s="72">
        <f t="shared" si="1001"/>
        <v>193</v>
      </c>
      <c r="CP143" s="72">
        <f t="shared" si="1002"/>
        <v>229</v>
      </c>
      <c r="CQ143" s="72">
        <f t="shared" si="1003"/>
        <v>299</v>
      </c>
      <c r="CR143" s="72">
        <f t="shared" si="1004"/>
        <v>328</v>
      </c>
      <c r="CS143" s="72">
        <f t="shared" si="1005"/>
        <v>341</v>
      </c>
      <c r="CT143" s="23">
        <f t="shared" si="100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1231"/>
        <v>adrb2_human_5JQH</v>
      </c>
      <c r="B144" s="3" t="s">
        <v>126</v>
      </c>
      <c r="C144" s="3" t="s">
        <v>1340</v>
      </c>
      <c r="D144" s="3" t="str">
        <f>IFERROR(MID(VLOOKUP($B144,Seqs!$A:$B,2,0),E144,1),"")</f>
        <v/>
      </c>
      <c r="E144" s="3">
        <v>1023</v>
      </c>
      <c r="F144" s="3" t="str">
        <f>IFERROR(MID(VLOOKUP($B144,Seqs!$A:$B,2,0),G144,1),"")</f>
        <v/>
      </c>
      <c r="G144" s="3">
        <v>1061</v>
      </c>
      <c r="H144" s="3" t="str">
        <f>IFERROR(MID(VLOOKUP($B144,Seqs!$A:$B,2,0),I144,1),"")</f>
        <v/>
      </c>
      <c r="I144" s="23">
        <v>1062</v>
      </c>
      <c r="J144" s="3" t="str">
        <f>IFERROR(MID(VLOOKUP($B144,Seqs!$A:$B,2,0),K144,1),"")</f>
        <v/>
      </c>
      <c r="K144" s="23">
        <v>1065</v>
      </c>
      <c r="L144" s="3" t="str">
        <f>IFERROR(MID(VLOOKUP($B144,Seqs!$A:$B,2,0),M144,1),"")</f>
        <v/>
      </c>
      <c r="M144" s="3">
        <v>1066</v>
      </c>
      <c r="N144" s="3" t="str">
        <f>IFERROR(MID(VLOOKUP($B144,Seqs!$A:$B,2,0),O144,1),"")</f>
        <v/>
      </c>
      <c r="O144" s="3">
        <v>1096</v>
      </c>
      <c r="P144" s="3" t="str">
        <f>IFERROR(MID(VLOOKUP($B144,Seqs!$A:$B,2,0),Q144,1),"")</f>
        <v/>
      </c>
      <c r="Q144" s="3">
        <v>1098</v>
      </c>
      <c r="R144" s="3" t="str">
        <f>IFERROR(MID(VLOOKUP($B144,Seqs!$A:$B,2,0),S144,1),"")</f>
        <v/>
      </c>
      <c r="S144" s="3">
        <v>1101</v>
      </c>
      <c r="T144" s="3" t="str">
        <f>IFERROR(MID(VLOOKUP($B144,Seqs!$A:$B,2,0),U144,1),"")</f>
        <v/>
      </c>
      <c r="U144" s="3">
        <v>1102</v>
      </c>
      <c r="V144" s="3" t="str">
        <f>IFERROR(MID(VLOOKUP($B144,Seqs!$A:$B,2,0),W144,1),"")</f>
        <v/>
      </c>
      <c r="W144" s="3">
        <v>1137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/>
      </c>
      <c r="AC144" s="9">
        <v>1146</v>
      </c>
      <c r="AD144" s="3" t="str">
        <f>IFERROR(MID(VLOOKUP($B144,Seqs!$A:$B,2,0),AE144,1),"")</f>
        <v/>
      </c>
      <c r="AE144" s="3">
        <v>1172</v>
      </c>
      <c r="AF144" s="3" t="str">
        <f>IFERROR(MID(VLOOKUP($B144,Seqs!$A:$B,2,0),AG144,1),"")</f>
        <v/>
      </c>
      <c r="AG144" s="3">
        <v>1191</v>
      </c>
      <c r="AH144" s="3" t="str">
        <f>IFERROR(MID(VLOOKUP($B144,Seqs!$A:$B,2,0),AI144,1),"")</f>
        <v/>
      </c>
      <c r="AI144" s="3">
        <v>1193</v>
      </c>
      <c r="AJ144" s="3" t="str">
        <f>IFERROR(MID(VLOOKUP($B144,Seqs!$A:$B,2,0),AK144,1),"")</f>
        <v/>
      </c>
      <c r="AK144" s="3">
        <v>1196</v>
      </c>
      <c r="AL144" s="3" t="str">
        <f>IFERROR(MID(VLOOKUP($B144,Seqs!$A:$B,2,0),AM144,1),"")</f>
        <v/>
      </c>
      <c r="AM144" s="3">
        <v>1230</v>
      </c>
      <c r="AN144" s="3" t="str">
        <f>IFERROR(MID(VLOOKUP($B144,Seqs!$A:$B,2,0),AO144,1),"")</f>
        <v/>
      </c>
      <c r="AO144" s="3">
        <v>1271</v>
      </c>
      <c r="AP144" s="3" t="str">
        <f>IFERROR(MID(VLOOKUP($B144,Seqs!$A:$B,2,0),AQ144,1),"")</f>
        <v/>
      </c>
      <c r="AQ144" s="3">
        <v>1299</v>
      </c>
      <c r="AR144" s="3" t="str">
        <f>IFERROR(MID(VLOOKUP($B144,Seqs!$A:$B,2,0),AS144,1),"")</f>
        <v/>
      </c>
      <c r="AS144" s="3">
        <v>1304</v>
      </c>
      <c r="AT144" s="3" t="str">
        <f>IFERROR(MID(VLOOKUP($B144,Seqs!$A:$B,2,0),AU144,1),"")</f>
        <v/>
      </c>
      <c r="AU144" s="3">
        <v>1328</v>
      </c>
      <c r="AV144" s="3" t="str">
        <f>IFERROR(MID(VLOOKUP($B144,Seqs!$A:$B,2,0),AW144,1),"")</f>
        <v/>
      </c>
      <c r="AW144" s="3">
        <v>1329</v>
      </c>
      <c r="AX144" s="3" t="str">
        <f>IFERROR(MID(VLOOKUP($B144,Seqs!$A:$B,2,0),AY144,1),"")</f>
        <v/>
      </c>
      <c r="AY144" s="3">
        <v>1341</v>
      </c>
      <c r="AZ144" s="77" t="str">
        <f>VLOOKUP(B144,Classification!A:D,2,0)</f>
        <v>A</v>
      </c>
      <c r="BA144" s="94" t="str">
        <f>VLOOKUP(B144,Classification!A:D,4,0)</f>
        <v>Adrenoceptors</v>
      </c>
      <c r="BB144" s="27" t="b">
        <f t="shared" si="1232"/>
        <v>1</v>
      </c>
      <c r="BC144" s="23">
        <f t="shared" si="981"/>
        <v>247</v>
      </c>
      <c r="BD144" s="74" t="s">
        <v>1372</v>
      </c>
      <c r="BE144" s="3" t="s">
        <v>1370</v>
      </c>
      <c r="BF144" s="118">
        <v>3.2</v>
      </c>
      <c r="BG144" s="49" t="s">
        <v>1277</v>
      </c>
      <c r="BH144" s="49" t="s">
        <v>1373</v>
      </c>
      <c r="BI144" s="1"/>
      <c r="BJ144" s="70" t="s">
        <v>1283</v>
      </c>
      <c r="BK144" s="57" t="s">
        <v>1283</v>
      </c>
      <c r="BL144" s="57" t="s">
        <v>1283</v>
      </c>
      <c r="BM144" s="57" t="s">
        <v>1283</v>
      </c>
      <c r="BN144" s="57" t="s">
        <v>1283</v>
      </c>
      <c r="BO144" s="57" t="s">
        <v>1283</v>
      </c>
      <c r="BP144" s="57" t="s">
        <v>1283</v>
      </c>
      <c r="BQ144" s="57" t="s">
        <v>1283</v>
      </c>
      <c r="BR144" s="57" t="s">
        <v>1283</v>
      </c>
      <c r="BS144" s="57" t="s">
        <v>1283</v>
      </c>
      <c r="BT144" s="57" t="s">
        <v>1283</v>
      </c>
      <c r="BU144" s="57" t="s">
        <v>1283</v>
      </c>
      <c r="BV144" s="70">
        <f t="shared" si="982"/>
        <v>1023</v>
      </c>
      <c r="BW144" s="71">
        <f t="shared" si="983"/>
        <v>1062</v>
      </c>
      <c r="BX144" s="72">
        <f t="shared" si="984"/>
        <v>1066</v>
      </c>
      <c r="BY144" s="71">
        <f t="shared" si="985"/>
        <v>1098</v>
      </c>
      <c r="BZ144" s="72">
        <f t="shared" si="986"/>
        <v>1102</v>
      </c>
      <c r="CA144" s="71" t="str">
        <f t="shared" si="987"/>
        <v>-</v>
      </c>
      <c r="CB144" s="72">
        <f t="shared" si="988"/>
        <v>1146</v>
      </c>
      <c r="CC144" s="71">
        <f t="shared" si="989"/>
        <v>1191</v>
      </c>
      <c r="CD144" s="72">
        <f t="shared" si="990"/>
        <v>1196</v>
      </c>
      <c r="CE144" s="71">
        <f t="shared" si="991"/>
        <v>1271</v>
      </c>
      <c r="CF144" s="72">
        <f t="shared" si="992"/>
        <v>1304</v>
      </c>
      <c r="CG144" s="71">
        <f t="shared" si="993"/>
        <v>1329</v>
      </c>
      <c r="CH144" s="70">
        <f t="shared" si="994"/>
        <v>1061</v>
      </c>
      <c r="CI144" s="71">
        <f t="shared" si="995"/>
        <v>1065</v>
      </c>
      <c r="CJ144" s="72">
        <f t="shared" si="996"/>
        <v>1096</v>
      </c>
      <c r="CK144" s="72">
        <f t="shared" si="997"/>
        <v>1101</v>
      </c>
      <c r="CL144" s="72">
        <f t="shared" si="998"/>
        <v>1137</v>
      </c>
      <c r="CM144" s="72" t="str">
        <f t="shared" si="999"/>
        <v>-</v>
      </c>
      <c r="CN144" s="72">
        <f t="shared" si="1000"/>
        <v>1172</v>
      </c>
      <c r="CO144" s="72">
        <f t="shared" si="1001"/>
        <v>1193</v>
      </c>
      <c r="CP144" s="72">
        <f t="shared" si="1002"/>
        <v>1230</v>
      </c>
      <c r="CQ144" s="72">
        <f t="shared" si="1003"/>
        <v>1299</v>
      </c>
      <c r="CR144" s="72">
        <f t="shared" si="1004"/>
        <v>1328</v>
      </c>
      <c r="CS144" s="72">
        <f t="shared" si="1005"/>
        <v>1341</v>
      </c>
      <c r="CT144" s="23">
        <f t="shared" si="1006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ref="A145:A157" si="1233">CONCATENATE(B145,"_",C145)</f>
        <v>adrb2_human_5X7D</v>
      </c>
      <c r="B145" s="3" t="s">
        <v>126</v>
      </c>
      <c r="C145" s="3" t="s">
        <v>1433</v>
      </c>
      <c r="D145" s="3" t="str">
        <f>IFERROR(MID(VLOOKUP($B145,Seqs!$A:$B,2,0),E145,1),"")</f>
        <v>V</v>
      </c>
      <c r="E145" s="3">
        <v>33</v>
      </c>
      <c r="F145" s="3" t="str">
        <f>IFERROR(MID(VLOOKUP($B145,Seqs!$A:$B,2,0),G145,1),"")</f>
        <v>F</v>
      </c>
      <c r="G145" s="3">
        <v>61</v>
      </c>
      <c r="H145" s="3" t="str">
        <f>IFERROR(MID(VLOOKUP($B145,Seqs!$A:$B,2,0),I145,1),"")</f>
        <v>E</v>
      </c>
      <c r="I145" s="23">
        <v>62</v>
      </c>
      <c r="J145" s="3" t="str">
        <f>IFERROR(MID(VLOOKUP($B145,Seqs!$A:$B,2,0),K145,1),"")</f>
        <v>Q</v>
      </c>
      <c r="K145" s="23">
        <v>65</v>
      </c>
      <c r="L145" s="3" t="str">
        <f>IFERROR(MID(VLOOKUP($B145,Seqs!$A:$B,2,0),M145,1),"")</f>
        <v>T</v>
      </c>
      <c r="M145" s="3">
        <v>66</v>
      </c>
      <c r="N145" s="3" t="str">
        <f>IFERROR(MID(VLOOKUP($B145,Seqs!$A:$B,2,0),O145,1),"")</f>
        <v>K</v>
      </c>
      <c r="O145" s="3">
        <v>97</v>
      </c>
      <c r="P145" s="3" t="str">
        <f>IFERROR(MID(VLOOKUP($B145,Seqs!$A:$B,2,0),Q145,1),"")</f>
        <v>M</v>
      </c>
      <c r="Q145" s="3">
        <v>98</v>
      </c>
      <c r="R145" s="3" t="str">
        <f>IFERROR(MID(VLOOKUP($B145,Seqs!$A:$B,2,0),S145,1),"")</f>
        <v>F</v>
      </c>
      <c r="S145" s="3">
        <v>101</v>
      </c>
      <c r="T145" s="3" t="str">
        <f>IFERROR(MID(VLOOKUP($B145,Seqs!$A:$B,2,0),U145,1),"")</f>
        <v>G</v>
      </c>
      <c r="U145" s="3">
        <v>102</v>
      </c>
      <c r="V145" s="3" t="str">
        <f>IFERROR(MID(VLOOKUP($B145,Seqs!$A:$B,2,0),W145,1),"")</f>
        <v>T</v>
      </c>
      <c r="W145" s="3">
        <v>136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3">
        <v>146</v>
      </c>
      <c r="AD145" s="3" t="str">
        <f>IFERROR(MID(VLOOKUP($B145,Seqs!$A:$B,2,0),AE145,1),"")</f>
        <v>H</v>
      </c>
      <c r="AE145" s="3">
        <v>172</v>
      </c>
      <c r="AF145" s="3" t="str">
        <f>IFERROR(MID(VLOOKUP($B145,Seqs!$A:$B,2,0),AG145,1),"")</f>
        <v>C</v>
      </c>
      <c r="AG145" s="3">
        <v>191</v>
      </c>
      <c r="AH145" s="3" t="str">
        <f>IFERROR(MID(VLOOKUP($B145,Seqs!$A:$B,2,0),AI145,1),"")</f>
        <v>F</v>
      </c>
      <c r="AI145" s="3">
        <v>193</v>
      </c>
      <c r="AJ145" s="3" t="str">
        <f>IFERROR(MID(VLOOKUP($B145,Seqs!$A:$B,2,0),AK145,1),"")</f>
        <v>N</v>
      </c>
      <c r="AK145" s="3">
        <v>196</v>
      </c>
      <c r="AL145" s="3" t="str">
        <f>IFERROR(MID(VLOOKUP($B145,Seqs!$A:$B,2,0),AM145,1),"")</f>
        <v>L</v>
      </c>
      <c r="AM145" s="3">
        <v>230</v>
      </c>
      <c r="AN145" s="3" t="str">
        <f>IFERROR(MID(VLOOKUP($B145,Seqs!$A:$B,2,0),AO145,1),"")</f>
        <v>A</v>
      </c>
      <c r="AO145" s="3">
        <v>271</v>
      </c>
      <c r="AP145" s="3" t="str">
        <f>IFERROR(MID(VLOOKUP($B145,Seqs!$A:$B,2,0),AQ145,1),"")</f>
        <v>Q</v>
      </c>
      <c r="AQ145" s="3">
        <v>299</v>
      </c>
      <c r="AR145" s="3" t="str">
        <f>IFERROR(MID(VLOOKUP($B145,Seqs!$A:$B,2,0),AS145,1),"")</f>
        <v>R</v>
      </c>
      <c r="AS145" s="3">
        <v>304</v>
      </c>
      <c r="AT145" s="3" t="str">
        <f>IFERROR(MID(VLOOKUP($B145,Seqs!$A:$B,2,0),AU145,1),"")</f>
        <v>R</v>
      </c>
      <c r="AU145" s="3">
        <v>328</v>
      </c>
      <c r="AV145" s="3" t="str">
        <f>IFERROR(MID(VLOOKUP($B145,Seqs!$A:$B,2,0),AW145,1),"")</f>
        <v>S</v>
      </c>
      <c r="AW145" s="3">
        <v>329</v>
      </c>
      <c r="AX145" s="3" t="str">
        <f>IFERROR(MID(VLOOKUP($B145,Seqs!$A:$B,2,0),AY145,1),"")</f>
        <v>C</v>
      </c>
      <c r="AY145" s="3">
        <v>341</v>
      </c>
      <c r="AZ145" s="77" t="str">
        <f>VLOOKUP(B145,Classification!A:D,2,0)</f>
        <v>A</v>
      </c>
      <c r="BA145" s="94" t="str">
        <f>VLOOKUP(B145,Classification!A:D,4,0)</f>
        <v>Adrenoceptors</v>
      </c>
      <c r="BB145" s="27" t="b">
        <f t="shared" ref="BB145:BB158" si="1234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 t="shared" ref="BC145:BC158" si="1235">_xlfn.AGGREGATE(9,6,CH145:CS145)-_xlfn.AGGREGATE(9,6,BV145:CG145)+12</f>
        <v>237</v>
      </c>
      <c r="BD145" s="74" t="s">
        <v>23</v>
      </c>
      <c r="BE145" s="3" t="s">
        <v>1370</v>
      </c>
      <c r="BF145" s="118">
        <v>4.2</v>
      </c>
      <c r="BG145" s="49" t="s">
        <v>1277</v>
      </c>
      <c r="BH145" s="49" t="s">
        <v>1373</v>
      </c>
      <c r="BI145" s="1"/>
      <c r="BJ145" s="70" t="s">
        <v>1283</v>
      </c>
      <c r="BK145" s="57" t="s">
        <v>1283</v>
      </c>
      <c r="BL145" s="57" t="s">
        <v>1283</v>
      </c>
      <c r="BM145" s="57" t="s">
        <v>1283</v>
      </c>
      <c r="BN145" s="57" t="s">
        <v>1283</v>
      </c>
      <c r="BO145" s="57" t="s">
        <v>1283</v>
      </c>
      <c r="BP145" s="57" t="s">
        <v>1283</v>
      </c>
      <c r="BQ145" s="57" t="s">
        <v>1283</v>
      </c>
      <c r="BR145" s="57" t="s">
        <v>1283</v>
      </c>
      <c r="BS145" s="57" t="s">
        <v>1283</v>
      </c>
      <c r="BT145" s="57" t="s">
        <v>1283</v>
      </c>
      <c r="BU145" s="57" t="s">
        <v>1283</v>
      </c>
      <c r="BV145" s="70">
        <f t="shared" ref="BV145:BV158" si="1236">E145</f>
        <v>33</v>
      </c>
      <c r="BW145" s="71">
        <f t="shared" ref="BW145:BW158" si="1237">I145</f>
        <v>62</v>
      </c>
      <c r="BX145" s="72">
        <f t="shared" ref="BX145:BX158" si="1238">M145</f>
        <v>66</v>
      </c>
      <c r="BY145" s="71">
        <f t="shared" ref="BY145:BY158" si="1239">Q145</f>
        <v>98</v>
      </c>
      <c r="BZ145" s="72">
        <f t="shared" ref="BZ145:BZ158" si="1240">U145</f>
        <v>102</v>
      </c>
      <c r="CA145" s="71" t="str">
        <f t="shared" ref="CA145:CA158" si="1241">Y145</f>
        <v>-</v>
      </c>
      <c r="CB145" s="72">
        <f t="shared" ref="CB145:CB158" si="1242">AC145</f>
        <v>146</v>
      </c>
      <c r="CC145" s="71">
        <f t="shared" ref="CC145:CC158" si="1243">AG145</f>
        <v>191</v>
      </c>
      <c r="CD145" s="72">
        <f t="shared" ref="CD145:CD158" si="1244">AK145</f>
        <v>196</v>
      </c>
      <c r="CE145" s="71">
        <f t="shared" ref="CE145:CE158" si="1245">AO145</f>
        <v>271</v>
      </c>
      <c r="CF145" s="72">
        <f t="shared" ref="CF145:CF158" si="1246">AS145</f>
        <v>304</v>
      </c>
      <c r="CG145" s="71">
        <f t="shared" ref="CG145:CG158" si="1247">AW145</f>
        <v>329</v>
      </c>
      <c r="CH145" s="70">
        <f t="shared" ref="CH145:CH158" si="1248">G145</f>
        <v>61</v>
      </c>
      <c r="CI145" s="71">
        <f t="shared" ref="CI145:CI158" si="1249">K145</f>
        <v>65</v>
      </c>
      <c r="CJ145" s="72">
        <f t="shared" ref="CJ145:CJ158" si="1250">O145</f>
        <v>97</v>
      </c>
      <c r="CK145" s="72">
        <f t="shared" ref="CK145:CK158" si="1251">S145</f>
        <v>101</v>
      </c>
      <c r="CL145" s="72">
        <f t="shared" ref="CL145:CL158" si="1252">W145</f>
        <v>136</v>
      </c>
      <c r="CM145" s="72" t="str">
        <f t="shared" ref="CM145:CM158" si="1253">AA145</f>
        <v>-</v>
      </c>
      <c r="CN145" s="72">
        <f t="shared" ref="CN145:CN158" si="1254">AE145</f>
        <v>172</v>
      </c>
      <c r="CO145" s="72">
        <f t="shared" ref="CO145:CO158" si="1255">AI145</f>
        <v>193</v>
      </c>
      <c r="CP145" s="72">
        <f t="shared" ref="CP145:CP158" si="1256">AM145</f>
        <v>230</v>
      </c>
      <c r="CQ145" s="72">
        <f t="shared" ref="CQ145:CQ158" si="1257">AQ145</f>
        <v>299</v>
      </c>
      <c r="CR145" s="72">
        <f t="shared" ref="CR145:CR158" si="1258">AU145</f>
        <v>328</v>
      </c>
      <c r="CS145" s="72">
        <f t="shared" ref="CS145:CS158" si="1259">AY145</f>
        <v>341</v>
      </c>
      <c r="CT145" s="23">
        <f t="shared" ref="CT145:CT158" si="1260">M145-K145</f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si="1233"/>
        <v>adrb2_human_6E67</v>
      </c>
      <c r="B146" s="3" t="s">
        <v>126</v>
      </c>
      <c r="C146" s="130" t="s">
        <v>1575</v>
      </c>
      <c r="D146" s="3" t="str">
        <f>IFERROR(MID(VLOOKUP($B146,Seqs!$A:$B,2,0),E146,1),"")</f>
        <v>D</v>
      </c>
      <c r="E146" s="3">
        <v>29</v>
      </c>
      <c r="F146" s="3" t="str">
        <f>IFERROR(MID(VLOOKUP($B146,Seqs!$A:$B,2,0),G146,1),"")</f>
        <v>K</v>
      </c>
      <c r="G146" s="3">
        <v>60</v>
      </c>
      <c r="H146" s="3" t="str">
        <f>IFERROR(MID(VLOOKUP($B146,Seqs!$A:$B,2,0),I146,1),"")</f>
        <v>E</v>
      </c>
      <c r="I146" s="23">
        <v>62</v>
      </c>
      <c r="J146" s="3" t="str">
        <f>IFERROR(MID(VLOOKUP($B146,Seqs!$A:$B,2,0),K146,1),"")</f>
        <v>Q</v>
      </c>
      <c r="K146" s="23">
        <v>65</v>
      </c>
      <c r="L146" s="3" t="str">
        <f>IFERROR(MID(VLOOKUP($B146,Seqs!$A:$B,2,0),M146,1),"")</f>
        <v>T</v>
      </c>
      <c r="M146" s="3">
        <v>66</v>
      </c>
      <c r="N146" s="3" t="str">
        <f>IFERROR(MID(VLOOKUP($B146,Seqs!$A:$B,2,0),O146,1),"")</f>
        <v>K</v>
      </c>
      <c r="O146" s="3">
        <v>97</v>
      </c>
      <c r="P146" s="3" t="str">
        <f>IFERROR(MID(VLOOKUP($B146,Seqs!$A:$B,2,0),Q146,1),"")</f>
        <v>M</v>
      </c>
      <c r="Q146" s="3">
        <v>98</v>
      </c>
      <c r="R146" s="3" t="str">
        <f>IFERROR(MID(VLOOKUP($B146,Seqs!$A:$B,2,0),S146,1),"")</f>
        <v>F</v>
      </c>
      <c r="S146" s="3">
        <v>101</v>
      </c>
      <c r="T146" s="3" t="str">
        <f>IFERROR(MID(VLOOKUP($B146,Seqs!$A:$B,2,0),U146,1),"")</f>
        <v>G</v>
      </c>
      <c r="U146" s="3">
        <v>102</v>
      </c>
      <c r="V146" s="3" t="str">
        <f>IFERROR(MID(VLOOKUP($B146,Seqs!$A:$B,2,0),W146,1),"")</f>
        <v>S</v>
      </c>
      <c r="W146" s="3">
        <v>137</v>
      </c>
      <c r="X146" s="3" t="str">
        <f>IFERROR(MID(VLOOKUP($B146,Seqs!$A:$B,2,0),Y146,1),"")</f>
        <v>P</v>
      </c>
      <c r="Y146" s="3">
        <v>138</v>
      </c>
      <c r="Z146" s="3" t="str">
        <f>IFERROR(MID(VLOOKUP($B146,Seqs!$A:$B,2,0),AA146,1),"")</f>
        <v>L</v>
      </c>
      <c r="AA146" s="3">
        <v>145</v>
      </c>
      <c r="AB146" s="3" t="str">
        <f>IFERROR(MID(VLOOKUP($B146,Seqs!$A:$B,2,0),AC146,1),"")</f>
        <v>T</v>
      </c>
      <c r="AC146" s="3">
        <v>146</v>
      </c>
      <c r="AD146" s="3" t="str">
        <f>IFERROR(MID(VLOOKUP($B146,Seqs!$A:$B,2,0),AE146,1),"")</f>
        <v>H</v>
      </c>
      <c r="AE146" s="3">
        <v>172</v>
      </c>
      <c r="AF146" s="3" t="str">
        <f>IFERROR(MID(VLOOKUP($B146,Seqs!$A:$B,2,0),AG146,1),"")</f>
        <v>C</v>
      </c>
      <c r="AG146" s="3">
        <v>191</v>
      </c>
      <c r="AH146" s="3" t="str">
        <f>IFERROR(MID(VLOOKUP($B146,Seqs!$A:$B,2,0),AI146,1),"")</f>
        <v>F</v>
      </c>
      <c r="AI146" s="3">
        <v>193</v>
      </c>
      <c r="AJ146" s="3" t="str">
        <f>IFERROR(MID(VLOOKUP($B146,Seqs!$A:$B,2,0),AK146,1),"")</f>
        <v>N</v>
      </c>
      <c r="AK146" s="3">
        <v>196</v>
      </c>
      <c r="AL146" s="3" t="str">
        <f>IFERROR(MID(VLOOKUP($B146,Seqs!$A:$B,2,0),AM146,1),"")</f>
        <v>A</v>
      </c>
      <c r="AM146" s="3">
        <v>226</v>
      </c>
      <c r="AN146" s="3" t="str">
        <f>IFERROR(MID(VLOOKUP($B146,Seqs!$A:$B,2,0),AO146,1),"")</f>
        <v>E</v>
      </c>
      <c r="AO146" s="3">
        <v>268</v>
      </c>
      <c r="AP146" s="3" t="str">
        <f>IFERROR(MID(VLOOKUP($B146,Seqs!$A:$B,2,0),AQ146,1),"")</f>
        <v>Q</v>
      </c>
      <c r="AQ146" s="3">
        <v>299</v>
      </c>
      <c r="AR146" s="3" t="str">
        <f>IFERROR(MID(VLOOKUP($B146,Seqs!$A:$B,2,0),AS146,1),"")</f>
        <v>R</v>
      </c>
      <c r="AS146" s="3">
        <v>304</v>
      </c>
      <c r="AT146" s="3" t="str">
        <f>IFERROR(MID(VLOOKUP($B146,Seqs!$A:$B,2,0),AU146,1),"")</f>
        <v>P</v>
      </c>
      <c r="AU146" s="3">
        <v>323</v>
      </c>
      <c r="AV146" s="3" t="str">
        <f>IFERROR(MID(VLOOKUP($B146,Seqs!$A:$B,2,0),AW146,1),"")</f>
        <v>S</v>
      </c>
      <c r="AW146" s="3">
        <v>329</v>
      </c>
      <c r="AX146" s="3" t="str">
        <f>IFERROR(MID(VLOOKUP($B146,Seqs!$A:$B,2,0),AY146,1),"")</f>
        <v>L</v>
      </c>
      <c r="AY146" s="3">
        <v>340</v>
      </c>
      <c r="AZ146" s="77" t="str">
        <f>VLOOKUP(B146,Classification!A:D,2,0)</f>
        <v>A</v>
      </c>
      <c r="BA146" s="94" t="str">
        <f>VLOOKUP(B146,Classification!A:D,4,0)</f>
        <v>Adrenoceptors</v>
      </c>
      <c r="BB146" s="27" t="b">
        <f t="shared" si="1234"/>
        <v>1</v>
      </c>
      <c r="BC146" s="23">
        <f t="shared" si="1235"/>
        <v>241</v>
      </c>
      <c r="BD146" s="74" t="s">
        <v>23</v>
      </c>
      <c r="BE146" s="3" t="s">
        <v>1287</v>
      </c>
      <c r="BF146" s="118">
        <v>3.7</v>
      </c>
      <c r="BG146" s="49" t="s">
        <v>1277</v>
      </c>
      <c r="BH146" s="49" t="s">
        <v>1277</v>
      </c>
      <c r="BI146" s="1"/>
      <c r="BJ146" s="70" t="s">
        <v>1283</v>
      </c>
      <c r="BK146" s="57" t="s">
        <v>1283</v>
      </c>
      <c r="BL146" s="57" t="s">
        <v>1283</v>
      </c>
      <c r="BM146" s="57" t="s">
        <v>1283</v>
      </c>
      <c r="BN146" s="57" t="s">
        <v>1283</v>
      </c>
      <c r="BO146" s="57" t="s">
        <v>1283</v>
      </c>
      <c r="BP146" s="57" t="s">
        <v>1283</v>
      </c>
      <c r="BQ146" s="57" t="s">
        <v>1283</v>
      </c>
      <c r="BR146" s="57" t="s">
        <v>1283</v>
      </c>
      <c r="BS146" s="57" t="s">
        <v>1283</v>
      </c>
      <c r="BT146" s="57" t="s">
        <v>1283</v>
      </c>
      <c r="BU146" s="57" t="s">
        <v>1283</v>
      </c>
      <c r="BV146" s="70">
        <f t="shared" si="1236"/>
        <v>29</v>
      </c>
      <c r="BW146" s="71">
        <f t="shared" si="1237"/>
        <v>62</v>
      </c>
      <c r="BX146" s="72">
        <f t="shared" si="1238"/>
        <v>66</v>
      </c>
      <c r="BY146" s="71">
        <f t="shared" si="1239"/>
        <v>98</v>
      </c>
      <c r="BZ146" s="72">
        <f t="shared" si="1240"/>
        <v>102</v>
      </c>
      <c r="CA146" s="71">
        <f t="shared" si="1241"/>
        <v>138</v>
      </c>
      <c r="CB146" s="72">
        <f t="shared" si="1242"/>
        <v>146</v>
      </c>
      <c r="CC146" s="71">
        <f t="shared" si="1243"/>
        <v>191</v>
      </c>
      <c r="CD146" s="72">
        <f t="shared" si="1244"/>
        <v>196</v>
      </c>
      <c r="CE146" s="71">
        <f t="shared" si="1245"/>
        <v>268</v>
      </c>
      <c r="CF146" s="72">
        <f t="shared" si="1246"/>
        <v>304</v>
      </c>
      <c r="CG146" s="71">
        <f t="shared" si="1247"/>
        <v>329</v>
      </c>
      <c r="CH146" s="70">
        <f t="shared" si="1248"/>
        <v>60</v>
      </c>
      <c r="CI146" s="71">
        <f t="shared" si="1249"/>
        <v>65</v>
      </c>
      <c r="CJ146" s="72">
        <f t="shared" si="1250"/>
        <v>97</v>
      </c>
      <c r="CK146" s="72">
        <f t="shared" si="1251"/>
        <v>101</v>
      </c>
      <c r="CL146" s="72">
        <f t="shared" si="1252"/>
        <v>137</v>
      </c>
      <c r="CM146" s="72">
        <f t="shared" si="1253"/>
        <v>145</v>
      </c>
      <c r="CN146" s="72">
        <f t="shared" si="1254"/>
        <v>172</v>
      </c>
      <c r="CO146" s="72">
        <f t="shared" si="1255"/>
        <v>193</v>
      </c>
      <c r="CP146" s="72">
        <f t="shared" si="1256"/>
        <v>226</v>
      </c>
      <c r="CQ146" s="72">
        <f t="shared" si="1257"/>
        <v>299</v>
      </c>
      <c r="CR146" s="72">
        <f t="shared" si="1258"/>
        <v>323</v>
      </c>
      <c r="CS146" s="72">
        <f t="shared" si="1259"/>
        <v>340</v>
      </c>
      <c r="CT146" s="23">
        <f t="shared" si="1260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x14ac:dyDescent="0.2">
      <c r="A147" s="3" t="str">
        <f t="shared" si="1233"/>
        <v>adrb2_human_6MXT</v>
      </c>
      <c r="B147" s="3" t="s">
        <v>126</v>
      </c>
      <c r="C147" s="3" t="s">
        <v>1522</v>
      </c>
      <c r="D147" s="3" t="str">
        <f>IFERROR(MID(VLOOKUP($B147,Seqs!$A:$B,2,0),E147,1),"")</f>
        <v/>
      </c>
      <c r="E147" s="3">
        <v>1029</v>
      </c>
      <c r="F147" s="3" t="str">
        <f>IFERROR(MID(VLOOKUP($B147,Seqs!$A:$B,2,0),G147,1),"")</f>
        <v/>
      </c>
      <c r="G147" s="3">
        <v>1061</v>
      </c>
      <c r="H147" s="3" t="str">
        <f>IFERROR(MID(VLOOKUP($B147,Seqs!$A:$B,2,0),I147,1),"")</f>
        <v/>
      </c>
      <c r="I147" s="23">
        <v>1062</v>
      </c>
      <c r="J147" s="3" t="str">
        <f>IFERROR(MID(VLOOKUP($B147,Seqs!$A:$B,2,0),K147,1),"")</f>
        <v/>
      </c>
      <c r="K147" s="23">
        <v>1065</v>
      </c>
      <c r="L147" s="3" t="str">
        <f>IFERROR(MID(VLOOKUP($B147,Seqs!$A:$B,2,0),M147,1),"")</f>
        <v/>
      </c>
      <c r="M147" s="3">
        <v>1066</v>
      </c>
      <c r="N147" s="3" t="str">
        <f>IFERROR(MID(VLOOKUP($B147,Seqs!$A:$B,2,0),O147,1),"")</f>
        <v/>
      </c>
      <c r="O147" s="3">
        <v>1096</v>
      </c>
      <c r="P147" s="3" t="str">
        <f>IFERROR(MID(VLOOKUP($B147,Seqs!$A:$B,2,0),Q147,1),"")</f>
        <v/>
      </c>
      <c r="Q147" s="3">
        <v>1098</v>
      </c>
      <c r="R147" s="3" t="str">
        <f>IFERROR(MID(VLOOKUP($B147,Seqs!$A:$B,2,0),S147,1),"")</f>
        <v/>
      </c>
      <c r="S147" s="3">
        <v>1101</v>
      </c>
      <c r="T147" s="3" t="str">
        <f>IFERROR(MID(VLOOKUP($B147,Seqs!$A:$B,2,0),U147,1),"")</f>
        <v/>
      </c>
      <c r="U147" s="3">
        <v>1102</v>
      </c>
      <c r="V147" s="3" t="str">
        <f>IFERROR(MID(VLOOKUP($B147,Seqs!$A:$B,2,0),W147,1),"")</f>
        <v/>
      </c>
      <c r="W147" s="3">
        <v>1137</v>
      </c>
      <c r="X147" s="3" t="str">
        <f>IFERROR(MID(VLOOKUP($B147,Seqs!$A:$B,2,0),Y147,1),"")</f>
        <v/>
      </c>
      <c r="Y147" s="3">
        <v>1138</v>
      </c>
      <c r="Z147" s="3" t="str">
        <f>IFERROR(MID(VLOOKUP($B147,Seqs!$A:$B,2,0),AA147,1),"")</f>
        <v/>
      </c>
      <c r="AA147" s="3">
        <v>1145</v>
      </c>
      <c r="AB147" s="3" t="str">
        <f>IFERROR(MID(VLOOKUP($B147,Seqs!$A:$B,2,0),AC147,1),"")</f>
        <v/>
      </c>
      <c r="AC147" s="3">
        <v>1146</v>
      </c>
      <c r="AD147" s="3" t="str">
        <f>IFERROR(MID(VLOOKUP($B147,Seqs!$A:$B,2,0),AE147,1),"")</f>
        <v/>
      </c>
      <c r="AE147" s="3">
        <v>1172</v>
      </c>
      <c r="AF147" s="3" t="str">
        <f>IFERROR(MID(VLOOKUP($B147,Seqs!$A:$B,2,0),AG147,1),"")</f>
        <v/>
      </c>
      <c r="AG147" s="3">
        <v>1191</v>
      </c>
      <c r="AH147" s="3" t="str">
        <f>IFERROR(MID(VLOOKUP($B147,Seqs!$A:$B,2,0),AI147,1),"")</f>
        <v/>
      </c>
      <c r="AI147" s="3">
        <v>1193</v>
      </c>
      <c r="AJ147" s="3" t="str">
        <f>IFERROR(MID(VLOOKUP($B147,Seqs!$A:$B,2,0),AK147,1),"")</f>
        <v/>
      </c>
      <c r="AK147" s="3">
        <v>1196</v>
      </c>
      <c r="AL147" s="3" t="str">
        <f>IFERROR(MID(VLOOKUP($B147,Seqs!$A:$B,2,0),AM147,1),"")</f>
        <v/>
      </c>
      <c r="AM147" s="3">
        <v>1232</v>
      </c>
      <c r="AN147" s="3" t="str">
        <f>IFERROR(MID(VLOOKUP($B147,Seqs!$A:$B,2,0),AO147,1),"")</f>
        <v/>
      </c>
      <c r="AO147" s="3">
        <v>1265</v>
      </c>
      <c r="AP147" s="3" t="str">
        <f>IFERROR(MID(VLOOKUP($B147,Seqs!$A:$B,2,0),AQ147,1),"")</f>
        <v/>
      </c>
      <c r="AQ147" s="3">
        <v>1299</v>
      </c>
      <c r="AR147" s="3" t="str">
        <f>IFERROR(MID(VLOOKUP($B147,Seqs!$A:$B,2,0),AS147,1),"")</f>
        <v/>
      </c>
      <c r="AS147" s="3">
        <v>1304</v>
      </c>
      <c r="AT147" s="3" t="str">
        <f>IFERROR(MID(VLOOKUP($B147,Seqs!$A:$B,2,0),AU147,1),"")</f>
        <v/>
      </c>
      <c r="AU147" s="3">
        <v>1323</v>
      </c>
      <c r="AV147" s="3" t="str">
        <f>IFERROR(MID(VLOOKUP($B147,Seqs!$A:$B,2,0),AW147,1),"")</f>
        <v/>
      </c>
      <c r="AW147" s="3">
        <v>1329</v>
      </c>
      <c r="AX147" s="3" t="str">
        <f>IFERROR(MID(VLOOKUP($B147,Seqs!$A:$B,2,0),AY147,1),"")</f>
        <v/>
      </c>
      <c r="AY147" s="3">
        <v>1342</v>
      </c>
      <c r="AZ147" s="77" t="str">
        <f>VLOOKUP(B147,Classification!A:D,2,0)</f>
        <v>A</v>
      </c>
      <c r="BA147" s="94" t="str">
        <f>VLOOKUP(B147,Classification!A:D,4,0)</f>
        <v>Adrenoceptors</v>
      </c>
      <c r="BB147" s="27" t="b">
        <f t="shared" si="1234"/>
        <v>1</v>
      </c>
      <c r="BC147" s="23">
        <f t="shared" si="1235"/>
        <v>252</v>
      </c>
      <c r="BD147" s="74" t="s">
        <v>23</v>
      </c>
      <c r="BE147" s="3" t="s">
        <v>1287</v>
      </c>
      <c r="BF147" s="118">
        <v>2.96</v>
      </c>
      <c r="BG147" s="49" t="s">
        <v>1</v>
      </c>
      <c r="BH147" s="49" t="s">
        <v>1</v>
      </c>
      <c r="BI147" s="1"/>
      <c r="BJ147" s="70" t="s">
        <v>1283</v>
      </c>
      <c r="BK147" s="57" t="s">
        <v>1283</v>
      </c>
      <c r="BL147" s="57" t="s">
        <v>1283</v>
      </c>
      <c r="BM147" s="57" t="s">
        <v>1283</v>
      </c>
      <c r="BN147" s="57" t="s">
        <v>1283</v>
      </c>
      <c r="BO147" s="57" t="s">
        <v>1283</v>
      </c>
      <c r="BP147" s="57" t="s">
        <v>1283</v>
      </c>
      <c r="BQ147" s="57" t="s">
        <v>1283</v>
      </c>
      <c r="BR147" s="57" t="s">
        <v>1283</v>
      </c>
      <c r="BS147" s="57" t="s">
        <v>1283</v>
      </c>
      <c r="BT147" s="57" t="s">
        <v>1283</v>
      </c>
      <c r="BU147" s="57" t="s">
        <v>1283</v>
      </c>
      <c r="BV147" s="70">
        <f t="shared" si="1236"/>
        <v>1029</v>
      </c>
      <c r="BW147" s="71">
        <f t="shared" si="1237"/>
        <v>1062</v>
      </c>
      <c r="BX147" s="72">
        <f t="shared" si="1238"/>
        <v>1066</v>
      </c>
      <c r="BY147" s="71">
        <f t="shared" si="1239"/>
        <v>1098</v>
      </c>
      <c r="BZ147" s="72">
        <f t="shared" si="1240"/>
        <v>1102</v>
      </c>
      <c r="CA147" s="71">
        <f t="shared" si="1241"/>
        <v>1138</v>
      </c>
      <c r="CB147" s="72">
        <f t="shared" si="1242"/>
        <v>1146</v>
      </c>
      <c r="CC147" s="71">
        <f t="shared" si="1243"/>
        <v>1191</v>
      </c>
      <c r="CD147" s="72">
        <f t="shared" si="1244"/>
        <v>1196</v>
      </c>
      <c r="CE147" s="71">
        <f t="shared" si="1245"/>
        <v>1265</v>
      </c>
      <c r="CF147" s="72">
        <f t="shared" si="1246"/>
        <v>1304</v>
      </c>
      <c r="CG147" s="71">
        <f t="shared" si="1247"/>
        <v>1329</v>
      </c>
      <c r="CH147" s="70">
        <f t="shared" si="1248"/>
        <v>1061</v>
      </c>
      <c r="CI147" s="71">
        <f t="shared" si="1249"/>
        <v>1065</v>
      </c>
      <c r="CJ147" s="72">
        <f t="shared" si="1250"/>
        <v>1096</v>
      </c>
      <c r="CK147" s="72">
        <f t="shared" si="1251"/>
        <v>1101</v>
      </c>
      <c r="CL147" s="72">
        <f t="shared" si="1252"/>
        <v>1137</v>
      </c>
      <c r="CM147" s="72">
        <f t="shared" si="1253"/>
        <v>1145</v>
      </c>
      <c r="CN147" s="72">
        <f t="shared" si="1254"/>
        <v>1172</v>
      </c>
      <c r="CO147" s="72">
        <f t="shared" si="1255"/>
        <v>1193</v>
      </c>
      <c r="CP147" s="72">
        <f t="shared" si="1256"/>
        <v>1232</v>
      </c>
      <c r="CQ147" s="72">
        <f t="shared" si="1257"/>
        <v>1299</v>
      </c>
      <c r="CR147" s="72">
        <f t="shared" si="1258"/>
        <v>1323</v>
      </c>
      <c r="CS147" s="72">
        <f t="shared" si="1259"/>
        <v>1342</v>
      </c>
      <c r="CT147" s="23">
        <f t="shared" si="1260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 t="shared" si="1233"/>
        <v>adrb2_human_6N48</v>
      </c>
      <c r="B148" s="3" t="s">
        <v>126</v>
      </c>
      <c r="C148" s="3" t="s">
        <v>1577</v>
      </c>
      <c r="D148" s="3" t="str">
        <f>IFERROR(MID(VLOOKUP($B148,Seqs!$A:$B,2,0),E148,1),"")</f>
        <v/>
      </c>
      <c r="E148" s="3">
        <v>1026</v>
      </c>
      <c r="F148" s="3" t="str">
        <f>IFERROR(MID(VLOOKUP($B148,Seqs!$A:$B,2,0),G148,1),"")</f>
        <v/>
      </c>
      <c r="G148" s="3">
        <v>1061</v>
      </c>
      <c r="H148" s="3" t="str">
        <f>IFERROR(MID(VLOOKUP($B148,Seqs!$A:$B,2,0),I148,1),"")</f>
        <v/>
      </c>
      <c r="I148" s="23">
        <v>1062</v>
      </c>
      <c r="J148" s="3" t="str">
        <f>IFERROR(MID(VLOOKUP($B148,Seqs!$A:$B,2,0),K148,1),"")</f>
        <v/>
      </c>
      <c r="K148" s="23">
        <v>1065</v>
      </c>
      <c r="L148" s="3" t="str">
        <f>IFERROR(MID(VLOOKUP($B148,Seqs!$A:$B,2,0),M148,1),"")</f>
        <v/>
      </c>
      <c r="M148" s="3">
        <v>1066</v>
      </c>
      <c r="N148" s="3" t="str">
        <f>IFERROR(MID(VLOOKUP($B148,Seqs!$A:$B,2,0),O148,1),"")</f>
        <v/>
      </c>
      <c r="O148" s="3">
        <v>1097</v>
      </c>
      <c r="P148" s="3" t="str">
        <f>IFERROR(MID(VLOOKUP($B148,Seqs!$A:$B,2,0),Q148,1),"")</f>
        <v/>
      </c>
      <c r="Q148" s="3">
        <v>1098</v>
      </c>
      <c r="R148" s="3" t="str">
        <f>IFERROR(MID(VLOOKUP($B148,Seqs!$A:$B,2,0),S148,1),"")</f>
        <v/>
      </c>
      <c r="S148" s="3">
        <v>1101</v>
      </c>
      <c r="T148" s="3" t="str">
        <f>IFERROR(MID(VLOOKUP($B148,Seqs!$A:$B,2,0),U148,1),"")</f>
        <v/>
      </c>
      <c r="U148" s="3">
        <v>1102</v>
      </c>
      <c r="V148" s="3" t="str">
        <f>IFERROR(MID(VLOOKUP($B148,Seqs!$A:$B,2,0),W148,1),"")</f>
        <v/>
      </c>
      <c r="W148" s="3">
        <v>1137</v>
      </c>
      <c r="X148" s="3" t="str">
        <f>IFERROR(MID(VLOOKUP($B148,Seqs!$A:$B,2,0),Y148,1),"")</f>
        <v/>
      </c>
      <c r="Y148" s="3">
        <v>1138</v>
      </c>
      <c r="Z148" s="3" t="str">
        <f>IFERROR(MID(VLOOKUP($B148,Seqs!$A:$B,2,0),AA148,1),"")</f>
        <v/>
      </c>
      <c r="AA148" s="3">
        <v>1145</v>
      </c>
      <c r="AB148" s="3" t="str">
        <f>IFERROR(MID(VLOOKUP($B148,Seqs!$A:$B,2,0),AC148,1),"")</f>
        <v/>
      </c>
      <c r="AC148" s="3">
        <v>1146</v>
      </c>
      <c r="AD148" s="3" t="str">
        <f>IFERROR(MID(VLOOKUP($B148,Seqs!$A:$B,2,0),AE148,1),"")</f>
        <v/>
      </c>
      <c r="AE148" s="3">
        <v>1172</v>
      </c>
      <c r="AF148" s="3" t="str">
        <f>IFERROR(MID(VLOOKUP($B148,Seqs!$A:$B,2,0),AG148,1),"")</f>
        <v/>
      </c>
      <c r="AG148" s="3">
        <v>1191</v>
      </c>
      <c r="AH148" s="3" t="str">
        <f>IFERROR(MID(VLOOKUP($B148,Seqs!$A:$B,2,0),AI148,1),"")</f>
        <v/>
      </c>
      <c r="AI148" s="3">
        <v>1193</v>
      </c>
      <c r="AJ148" s="3" t="str">
        <f>IFERROR(MID(VLOOKUP($B148,Seqs!$A:$B,2,0),AK148,1),"")</f>
        <v/>
      </c>
      <c r="AK148" s="3">
        <v>1196</v>
      </c>
      <c r="AL148" s="3" t="str">
        <f>IFERROR(MID(VLOOKUP($B148,Seqs!$A:$B,2,0),AM148,1),"")</f>
        <v/>
      </c>
      <c r="AM148" s="3">
        <v>1226</v>
      </c>
      <c r="AN148" s="3" t="str">
        <f>IFERROR(MID(VLOOKUP($B148,Seqs!$A:$B,2,0),AO148,1),"")</f>
        <v/>
      </c>
      <c r="AO148" s="3">
        <v>1265</v>
      </c>
      <c r="AP148" s="3" t="str">
        <f>IFERROR(MID(VLOOKUP($B148,Seqs!$A:$B,2,0),AQ148,1),"")</f>
        <v/>
      </c>
      <c r="AQ148" s="3">
        <v>1299</v>
      </c>
      <c r="AR148" s="3" t="str">
        <f>IFERROR(MID(VLOOKUP($B148,Seqs!$A:$B,2,0),AS148,1),"")</f>
        <v/>
      </c>
      <c r="AS148" s="3">
        <v>1304</v>
      </c>
      <c r="AT148" s="3" t="str">
        <f>IFERROR(MID(VLOOKUP($B148,Seqs!$A:$B,2,0),AU148,1),"")</f>
        <v/>
      </c>
      <c r="AU148" s="3">
        <v>1322</v>
      </c>
      <c r="AV148" s="3" t="str">
        <f>IFERROR(MID(VLOOKUP($B148,Seqs!$A:$B,2,0),AW148,1),"")</f>
        <v/>
      </c>
      <c r="AW148" s="3">
        <v>1329</v>
      </c>
      <c r="AX148" s="3" t="str">
        <f>IFERROR(MID(VLOOKUP($B148,Seqs!$A:$B,2,0),AY148,1),"")</f>
        <v/>
      </c>
      <c r="AY148" s="3">
        <v>1340</v>
      </c>
      <c r="AZ148" s="77" t="str">
        <f>VLOOKUP(B148,Classification!A:D,2,0)</f>
        <v>A</v>
      </c>
      <c r="BA148" s="94" t="str">
        <f>VLOOKUP(B148,Classification!A:D,4,0)</f>
        <v>Adrenoceptors</v>
      </c>
      <c r="BB148" s="27" t="b">
        <f t="shared" si="1234"/>
        <v>1</v>
      </c>
      <c r="BC148" s="23">
        <f t="shared" si="1235"/>
        <v>247</v>
      </c>
      <c r="BD148" s="74" t="s">
        <v>23</v>
      </c>
      <c r="BE148" s="3" t="s">
        <v>1287</v>
      </c>
      <c r="BF148" s="118">
        <v>3.2</v>
      </c>
      <c r="BG148" s="49" t="s">
        <v>1</v>
      </c>
      <c r="BH148" s="49" t="s">
        <v>1</v>
      </c>
      <c r="BI148" s="1"/>
      <c r="BJ148" s="70" t="s">
        <v>1283</v>
      </c>
      <c r="BK148" s="57" t="s">
        <v>1283</v>
      </c>
      <c r="BL148" s="57" t="s">
        <v>1283</v>
      </c>
      <c r="BM148" s="57" t="s">
        <v>1283</v>
      </c>
      <c r="BN148" s="57" t="s">
        <v>1283</v>
      </c>
      <c r="BO148" s="57" t="s">
        <v>1283</v>
      </c>
      <c r="BP148" s="57" t="s">
        <v>1283</v>
      </c>
      <c r="BQ148" s="57" t="s">
        <v>1283</v>
      </c>
      <c r="BR148" s="57" t="s">
        <v>1283</v>
      </c>
      <c r="BS148" s="57" t="s">
        <v>1283</v>
      </c>
      <c r="BT148" s="57" t="s">
        <v>1283</v>
      </c>
      <c r="BU148" s="57" t="s">
        <v>1283</v>
      </c>
      <c r="BV148" s="70">
        <f t="shared" si="1236"/>
        <v>1026</v>
      </c>
      <c r="BW148" s="71">
        <f t="shared" si="1237"/>
        <v>1062</v>
      </c>
      <c r="BX148" s="72">
        <f t="shared" si="1238"/>
        <v>1066</v>
      </c>
      <c r="BY148" s="71">
        <f t="shared" si="1239"/>
        <v>1098</v>
      </c>
      <c r="BZ148" s="72">
        <f t="shared" si="1240"/>
        <v>1102</v>
      </c>
      <c r="CA148" s="71">
        <f t="shared" si="1241"/>
        <v>1138</v>
      </c>
      <c r="CB148" s="72">
        <f t="shared" si="1242"/>
        <v>1146</v>
      </c>
      <c r="CC148" s="71">
        <f t="shared" si="1243"/>
        <v>1191</v>
      </c>
      <c r="CD148" s="72">
        <f t="shared" si="1244"/>
        <v>1196</v>
      </c>
      <c r="CE148" s="71">
        <f t="shared" si="1245"/>
        <v>1265</v>
      </c>
      <c r="CF148" s="72">
        <f t="shared" si="1246"/>
        <v>1304</v>
      </c>
      <c r="CG148" s="71">
        <f t="shared" si="1247"/>
        <v>1329</v>
      </c>
      <c r="CH148" s="70">
        <f t="shared" si="1248"/>
        <v>1061</v>
      </c>
      <c r="CI148" s="71">
        <f t="shared" si="1249"/>
        <v>1065</v>
      </c>
      <c r="CJ148" s="72">
        <f t="shared" si="1250"/>
        <v>1097</v>
      </c>
      <c r="CK148" s="72">
        <f t="shared" si="1251"/>
        <v>1101</v>
      </c>
      <c r="CL148" s="72">
        <f t="shared" si="1252"/>
        <v>1137</v>
      </c>
      <c r="CM148" s="72">
        <f t="shared" si="1253"/>
        <v>1145</v>
      </c>
      <c r="CN148" s="72">
        <f t="shared" si="1254"/>
        <v>1172</v>
      </c>
      <c r="CO148" s="72">
        <f t="shared" si="1255"/>
        <v>1193</v>
      </c>
      <c r="CP148" s="72">
        <f t="shared" si="1256"/>
        <v>1226</v>
      </c>
      <c r="CQ148" s="72">
        <f t="shared" si="1257"/>
        <v>1299</v>
      </c>
      <c r="CR148" s="72">
        <f t="shared" si="1258"/>
        <v>1322</v>
      </c>
      <c r="CS148" s="72">
        <f t="shared" si="1259"/>
        <v>1340</v>
      </c>
      <c r="CT148" s="23">
        <f t="shared" si="1260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>CONCATENATE(B149,"_",C149)</f>
        <v>adrb2_human_6OBA</v>
      </c>
      <c r="B149" s="3" t="s">
        <v>126</v>
      </c>
      <c r="C149" s="3" t="s">
        <v>1654</v>
      </c>
      <c r="D149" s="3" t="str">
        <f>IFERROR(MID(VLOOKUP($B149,Seqs!$A:$B,2,0),E149,1),"")</f>
        <v>W</v>
      </c>
      <c r="E149" s="3">
        <v>32</v>
      </c>
      <c r="F149" s="3" t="str">
        <f>IFERROR(MID(VLOOKUP($B149,Seqs!$A:$B,2,0),G149,1),"")</f>
        <v>F</v>
      </c>
      <c r="G149" s="3">
        <v>61</v>
      </c>
      <c r="H149" s="3" t="str">
        <f>IFERROR(MID(VLOOKUP($B149,Seqs!$A:$B,2,0),I149,1),"")</f>
        <v>E</v>
      </c>
      <c r="I149" s="23">
        <v>62</v>
      </c>
      <c r="J149" s="3" t="str">
        <f>IFERROR(MID(VLOOKUP($B149,Seqs!$A:$B,2,0),K149,1),"")</f>
        <v>Q</v>
      </c>
      <c r="K149" s="23">
        <v>65</v>
      </c>
      <c r="L149" s="3" t="str">
        <f>IFERROR(MID(VLOOKUP($B149,Seqs!$A:$B,2,0),M149,1),"")</f>
        <v>T</v>
      </c>
      <c r="M149" s="3">
        <v>66</v>
      </c>
      <c r="N149" s="3" t="str">
        <f>IFERROR(MID(VLOOKUP($B149,Seqs!$A:$B,2,0),O149,1),"")</f>
        <v>K</v>
      </c>
      <c r="O149" s="3">
        <v>97</v>
      </c>
      <c r="P149" s="3" t="str">
        <f>IFERROR(MID(VLOOKUP($B149,Seqs!$A:$B,2,0),Q149,1),"")</f>
        <v>M</v>
      </c>
      <c r="Q149" s="3">
        <v>98</v>
      </c>
      <c r="R149" s="3" t="str">
        <f>IFERROR(MID(VLOOKUP($B149,Seqs!$A:$B,2,0),S149,1),"")</f>
        <v>F</v>
      </c>
      <c r="S149" s="3">
        <v>101</v>
      </c>
      <c r="T149" s="3" t="str">
        <f>IFERROR(MID(VLOOKUP($B149,Seqs!$A:$B,2,0),U149,1),"")</f>
        <v>G</v>
      </c>
      <c r="U149" s="3">
        <v>102</v>
      </c>
      <c r="V149" s="3" t="str">
        <f>IFERROR(MID(VLOOKUP($B149,Seqs!$A:$B,2,0),W149,1),"")</f>
        <v>S</v>
      </c>
      <c r="W149" s="3">
        <v>137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3">
        <v>146</v>
      </c>
      <c r="AD149" s="3" t="str">
        <f>IFERROR(MID(VLOOKUP($B149,Seqs!$A:$B,2,0),AE149,1),"")</f>
        <v>H</v>
      </c>
      <c r="AE149" s="3">
        <v>172</v>
      </c>
      <c r="AF149" s="3" t="str">
        <f>IFERROR(MID(VLOOKUP($B149,Seqs!$A:$B,2,0),AG149,1),"")</f>
        <v>C</v>
      </c>
      <c r="AG149" s="3">
        <v>191</v>
      </c>
      <c r="AH149" s="3" t="str">
        <f>IFERROR(MID(VLOOKUP($B149,Seqs!$A:$B,2,0),AI149,1),"")</f>
        <v>F</v>
      </c>
      <c r="AI149" s="3">
        <v>193</v>
      </c>
      <c r="AJ149" s="3" t="str">
        <f>IFERROR(MID(VLOOKUP($B149,Seqs!$A:$B,2,0),AK149,1),"")</f>
        <v>N</v>
      </c>
      <c r="AK149" s="3">
        <v>196</v>
      </c>
      <c r="AL149" s="3" t="str">
        <f>IFERROR(MID(VLOOKUP($B149,Seqs!$A:$B,2,0),AM149,1),"")</f>
        <v>Q</v>
      </c>
      <c r="AM149" s="3">
        <v>229</v>
      </c>
      <c r="AN149" s="3" t="str">
        <f>IFERROR(MID(VLOOKUP($B149,Seqs!$A:$B,2,0),AO149,1),"")</f>
        <v>L</v>
      </c>
      <c r="AO149" s="3">
        <v>266</v>
      </c>
      <c r="AP149" s="3" t="str">
        <f>IFERROR(MID(VLOOKUP($B149,Seqs!$A:$B,2,0),AQ149,1),"")</f>
        <v>D</v>
      </c>
      <c r="AQ149" s="3">
        <v>300</v>
      </c>
      <c r="AR149" s="3" t="str">
        <f>IFERROR(MID(VLOOKUP($B149,Seqs!$A:$B,2,0),AS149,1),"")</f>
        <v>R</v>
      </c>
      <c r="AS149" s="3">
        <v>304</v>
      </c>
      <c r="AT149" s="3" t="str">
        <f>IFERROR(MID(VLOOKUP($B149,Seqs!$A:$B,2,0),AU149,1),"")</f>
        <v>R</v>
      </c>
      <c r="AU149" s="3">
        <v>328</v>
      </c>
      <c r="AV149" s="3" t="str">
        <f>IFERROR(MID(VLOOKUP($B149,Seqs!$A:$B,2,0),AW149,1),"")</f>
        <v>S</v>
      </c>
      <c r="AW149" s="3">
        <v>329</v>
      </c>
      <c r="AX149" s="3" t="str">
        <f>IFERROR(MID(VLOOKUP($B149,Seqs!$A:$B,2,0),AY149,1),"")</f>
        <v>C</v>
      </c>
      <c r="AY149" s="3">
        <v>341</v>
      </c>
      <c r="AZ149" s="77" t="str">
        <f>VLOOKUP(B149,Classification!A:D,2,0)</f>
        <v>A</v>
      </c>
      <c r="BA149" s="94" t="str">
        <f>VLOOKUP(B149,Classification!A:D,4,0)</f>
        <v>Adrenoceptors</v>
      </c>
      <c r="BB149" s="27" t="b">
        <f t="shared" ref="BB149" si="1261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23">
        <f t="shared" ref="BC149" si="1262">_xlfn.AGGREGATE(9,6,CH149:CS149)-_xlfn.AGGREGATE(9,6,BV149:CG149)+12</f>
        <v>244</v>
      </c>
      <c r="BD149" s="74" t="s">
        <v>23</v>
      </c>
      <c r="BE149" s="3" t="s">
        <v>1370</v>
      </c>
      <c r="BF149" s="118">
        <v>3.1</v>
      </c>
      <c r="BG149" s="49" t="s">
        <v>1</v>
      </c>
      <c r="BH149" s="49" t="s">
        <v>1</v>
      </c>
      <c r="BI149" s="1"/>
      <c r="BJ149" s="70" t="s">
        <v>1283</v>
      </c>
      <c r="BK149" s="57" t="s">
        <v>1283</v>
      </c>
      <c r="BL149" s="57" t="s">
        <v>1283</v>
      </c>
      <c r="BM149" s="57" t="s">
        <v>1283</v>
      </c>
      <c r="BN149" s="57" t="s">
        <v>1283</v>
      </c>
      <c r="BO149" s="57" t="s">
        <v>1283</v>
      </c>
      <c r="BP149" s="57" t="s">
        <v>1283</v>
      </c>
      <c r="BQ149" s="57" t="s">
        <v>1283</v>
      </c>
      <c r="BR149" s="57" t="s">
        <v>1283</v>
      </c>
      <c r="BS149" s="57" t="s">
        <v>1283</v>
      </c>
      <c r="BT149" s="57" t="s">
        <v>1283</v>
      </c>
      <c r="BU149" s="57" t="s">
        <v>1283</v>
      </c>
      <c r="BV149" s="70">
        <f t="shared" ref="BV149" si="1263">E149</f>
        <v>32</v>
      </c>
      <c r="BW149" s="71">
        <f t="shared" ref="BW149" si="1264">I149</f>
        <v>62</v>
      </c>
      <c r="BX149" s="72">
        <f t="shared" ref="BX149" si="1265">M149</f>
        <v>66</v>
      </c>
      <c r="BY149" s="71">
        <f t="shared" ref="BY149" si="1266">Q149</f>
        <v>98</v>
      </c>
      <c r="BZ149" s="72">
        <f t="shared" ref="BZ149" si="1267">U149</f>
        <v>102</v>
      </c>
      <c r="CA149" s="71" t="str">
        <f t="shared" ref="CA149" si="1268">Y149</f>
        <v>-</v>
      </c>
      <c r="CB149" s="72">
        <f t="shared" ref="CB149" si="1269">AC149</f>
        <v>146</v>
      </c>
      <c r="CC149" s="71">
        <f t="shared" ref="CC149" si="1270">AG149</f>
        <v>191</v>
      </c>
      <c r="CD149" s="72">
        <f t="shared" ref="CD149" si="1271">AK149</f>
        <v>196</v>
      </c>
      <c r="CE149" s="71">
        <f t="shared" ref="CE149" si="1272">AO149</f>
        <v>266</v>
      </c>
      <c r="CF149" s="72">
        <f t="shared" ref="CF149" si="1273">AS149</f>
        <v>304</v>
      </c>
      <c r="CG149" s="71">
        <f t="shared" ref="CG149" si="1274">AW149</f>
        <v>329</v>
      </c>
      <c r="CH149" s="70">
        <f t="shared" ref="CH149" si="1275">G149</f>
        <v>61</v>
      </c>
      <c r="CI149" s="71">
        <f t="shared" ref="CI149" si="1276">K149</f>
        <v>65</v>
      </c>
      <c r="CJ149" s="72">
        <f t="shared" ref="CJ149" si="1277">O149</f>
        <v>97</v>
      </c>
      <c r="CK149" s="72">
        <f t="shared" ref="CK149" si="1278">S149</f>
        <v>101</v>
      </c>
      <c r="CL149" s="72">
        <f t="shared" ref="CL149" si="1279">W149</f>
        <v>137</v>
      </c>
      <c r="CM149" s="72" t="str">
        <f t="shared" ref="CM149" si="1280">AA149</f>
        <v>-</v>
      </c>
      <c r="CN149" s="72">
        <f t="shared" ref="CN149" si="1281">AE149</f>
        <v>172</v>
      </c>
      <c r="CO149" s="72">
        <f t="shared" ref="CO149" si="1282">AI149</f>
        <v>193</v>
      </c>
      <c r="CP149" s="72">
        <f t="shared" ref="CP149" si="1283">AM149</f>
        <v>229</v>
      </c>
      <c r="CQ149" s="72">
        <f t="shared" ref="CQ149" si="1284">AQ149</f>
        <v>300</v>
      </c>
      <c r="CR149" s="72">
        <f t="shared" ref="CR149" si="1285">AU149</f>
        <v>328</v>
      </c>
      <c r="CS149" s="72">
        <f t="shared" ref="CS149" si="1286">AY149</f>
        <v>341</v>
      </c>
      <c r="CT149" s="23">
        <f t="shared" ref="CT149" si="1287">M149-K149</f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 t="shared" si="1233"/>
        <v>adrb2_human_6PRZ</v>
      </c>
      <c r="B150" s="3" t="s">
        <v>126</v>
      </c>
      <c r="C150" s="3" t="s">
        <v>1603</v>
      </c>
      <c r="D150" s="3" t="str">
        <f>IFERROR(MID(VLOOKUP($B150,Seqs!$A:$B,2,0),E150,1),"")</f>
        <v>V</v>
      </c>
      <c r="E150" s="3">
        <v>31</v>
      </c>
      <c r="F150" s="3" t="str">
        <f>IFERROR(MID(VLOOKUP($B150,Seqs!$A:$B,2,0),G150,1),"")</f>
        <v>F</v>
      </c>
      <c r="G150" s="3">
        <v>61</v>
      </c>
      <c r="H150" s="3" t="str">
        <f>IFERROR(MID(VLOOKUP($B150,Seqs!$A:$B,2,0),I150,1),"")</f>
        <v>E</v>
      </c>
      <c r="I150" s="23">
        <v>62</v>
      </c>
      <c r="J150" s="3" t="str">
        <f>IFERROR(MID(VLOOKUP($B150,Seqs!$A:$B,2,0),K150,1),"")</f>
        <v>Q</v>
      </c>
      <c r="K150" s="23">
        <v>65</v>
      </c>
      <c r="L150" s="3" t="str">
        <f>IFERROR(MID(VLOOKUP($B150,Seqs!$A:$B,2,0),M150,1),"")</f>
        <v>T</v>
      </c>
      <c r="M150" s="3">
        <v>66</v>
      </c>
      <c r="N150" s="3" t="str">
        <f>IFERROR(MID(VLOOKUP($B150,Seqs!$A:$B,2,0),O150,1),"")</f>
        <v>K</v>
      </c>
      <c r="O150" s="3">
        <v>97</v>
      </c>
      <c r="P150" s="3" t="str">
        <f>IFERROR(MID(VLOOKUP($B150,Seqs!$A:$B,2,0),Q150,1),"")</f>
        <v>M</v>
      </c>
      <c r="Q150" s="3">
        <v>98</v>
      </c>
      <c r="R150" s="3" t="str">
        <f>IFERROR(MID(VLOOKUP($B150,Seqs!$A:$B,2,0),S150,1),"")</f>
        <v>F</v>
      </c>
      <c r="S150" s="3">
        <v>101</v>
      </c>
      <c r="T150" s="3" t="str">
        <f>IFERROR(MID(VLOOKUP($B150,Seqs!$A:$B,2,0),U150,1),"")</f>
        <v>G</v>
      </c>
      <c r="U150" s="3">
        <v>102</v>
      </c>
      <c r="V150" s="3" t="str">
        <f>IFERROR(MID(VLOOKUP($B150,Seqs!$A:$B,2,0),W150,1),"")</f>
        <v>S</v>
      </c>
      <c r="W150" s="3">
        <v>137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3">
        <v>146</v>
      </c>
      <c r="AD150" s="3" t="str">
        <f>IFERROR(MID(VLOOKUP($B150,Seqs!$A:$B,2,0),AE150,1),"")</f>
        <v>H</v>
      </c>
      <c r="AE150" s="3">
        <v>172</v>
      </c>
      <c r="AF150" s="3" t="str">
        <f>IFERROR(MID(VLOOKUP($B150,Seqs!$A:$B,2,0),AG150,1),"")</f>
        <v>C</v>
      </c>
      <c r="AG150" s="3">
        <v>191</v>
      </c>
      <c r="AH150" s="3" t="str">
        <f>IFERROR(MID(VLOOKUP($B150,Seqs!$A:$B,2,0),AI150,1),"")</f>
        <v>F</v>
      </c>
      <c r="AI150" s="3">
        <v>193</v>
      </c>
      <c r="AJ150" s="3" t="str">
        <f>IFERROR(MID(VLOOKUP($B150,Seqs!$A:$B,2,0),AK150,1),"")</f>
        <v>N</v>
      </c>
      <c r="AK150" s="3">
        <v>196</v>
      </c>
      <c r="AL150" s="3" t="str">
        <f>IFERROR(MID(VLOOKUP($B150,Seqs!$A:$B,2,0),AM150,1),"")</f>
        <v>L</v>
      </c>
      <c r="AM150" s="3">
        <v>230</v>
      </c>
      <c r="AN150" s="3" t="str">
        <f>IFERROR(MID(VLOOKUP($B150,Seqs!$A:$B,2,0),AO150,1),"")</f>
        <v>L</v>
      </c>
      <c r="AO150" s="3">
        <v>266</v>
      </c>
      <c r="AP150" s="3" t="str">
        <f>IFERROR(MID(VLOOKUP($B150,Seqs!$A:$B,2,0),AQ150,1),"")</f>
        <v>Q</v>
      </c>
      <c r="AQ150" s="3">
        <v>299</v>
      </c>
      <c r="AR150" s="3" t="str">
        <f>IFERROR(MID(VLOOKUP($B150,Seqs!$A:$B,2,0),AS150,1),"")</f>
        <v>K</v>
      </c>
      <c r="AS150" s="3">
        <v>305</v>
      </c>
      <c r="AT150" s="3" t="str">
        <f>IFERROR(MID(VLOOKUP($B150,Seqs!$A:$B,2,0),AU150,1),"")</f>
        <v>R</v>
      </c>
      <c r="AU150" s="3">
        <v>328</v>
      </c>
      <c r="AV150" s="3" t="str">
        <f>IFERROR(MID(VLOOKUP($B150,Seqs!$A:$B,2,0),AW150,1),"")</f>
        <v>S</v>
      </c>
      <c r="AW150" s="3">
        <v>329</v>
      </c>
      <c r="AX150" s="3" t="str">
        <f>IFERROR(MID(VLOOKUP($B150,Seqs!$A:$B,2,0),AY150,1),"")</f>
        <v>C</v>
      </c>
      <c r="AY150" s="3">
        <v>341</v>
      </c>
      <c r="AZ150" s="77" t="str">
        <f>VLOOKUP(B150,Classification!A:D,2,0)</f>
        <v>A</v>
      </c>
      <c r="BA150" s="94" t="str">
        <f>VLOOKUP(B150,Classification!A:D,4,0)</f>
        <v>Adrenoceptors</v>
      </c>
      <c r="BB150" s="27" t="b">
        <f t="shared" si="1234"/>
        <v>1</v>
      </c>
      <c r="BC150" s="23">
        <f t="shared" si="1235"/>
        <v>244</v>
      </c>
      <c r="BD150" s="74" t="s">
        <v>23</v>
      </c>
      <c r="BE150" s="3" t="s">
        <v>1370</v>
      </c>
      <c r="BF150" s="118">
        <v>2.8</v>
      </c>
      <c r="BG150" s="49" t="s">
        <v>1</v>
      </c>
      <c r="BH150" s="49" t="s">
        <v>1</v>
      </c>
      <c r="BI150" s="1"/>
      <c r="BJ150" s="70" t="s">
        <v>1283</v>
      </c>
      <c r="BK150" s="57" t="s">
        <v>1283</v>
      </c>
      <c r="BL150" s="57" t="s">
        <v>1283</v>
      </c>
      <c r="BM150" s="57" t="s">
        <v>1283</v>
      </c>
      <c r="BN150" s="57" t="s">
        <v>1283</v>
      </c>
      <c r="BO150" s="57" t="s">
        <v>1283</v>
      </c>
      <c r="BP150" s="57" t="s">
        <v>1283</v>
      </c>
      <c r="BQ150" s="57" t="s">
        <v>1283</v>
      </c>
      <c r="BR150" s="57" t="s">
        <v>1283</v>
      </c>
      <c r="BS150" s="57" t="s">
        <v>1283</v>
      </c>
      <c r="BT150" s="57" t="s">
        <v>1283</v>
      </c>
      <c r="BU150" s="57" t="s">
        <v>1283</v>
      </c>
      <c r="BV150" s="70">
        <f t="shared" si="1236"/>
        <v>31</v>
      </c>
      <c r="BW150" s="71">
        <f t="shared" si="1237"/>
        <v>62</v>
      </c>
      <c r="BX150" s="72">
        <f t="shared" si="1238"/>
        <v>66</v>
      </c>
      <c r="BY150" s="71">
        <f t="shared" si="1239"/>
        <v>98</v>
      </c>
      <c r="BZ150" s="72">
        <f t="shared" si="1240"/>
        <v>102</v>
      </c>
      <c r="CA150" s="71" t="str">
        <f t="shared" si="1241"/>
        <v>-</v>
      </c>
      <c r="CB150" s="72">
        <f t="shared" si="1242"/>
        <v>146</v>
      </c>
      <c r="CC150" s="71">
        <f t="shared" si="1243"/>
        <v>191</v>
      </c>
      <c r="CD150" s="72">
        <f t="shared" si="1244"/>
        <v>196</v>
      </c>
      <c r="CE150" s="71">
        <f t="shared" si="1245"/>
        <v>266</v>
      </c>
      <c r="CF150" s="72">
        <f t="shared" si="1246"/>
        <v>305</v>
      </c>
      <c r="CG150" s="71">
        <f t="shared" si="1247"/>
        <v>329</v>
      </c>
      <c r="CH150" s="70">
        <f t="shared" si="1248"/>
        <v>61</v>
      </c>
      <c r="CI150" s="71">
        <f t="shared" si="1249"/>
        <v>65</v>
      </c>
      <c r="CJ150" s="72">
        <f t="shared" si="1250"/>
        <v>97</v>
      </c>
      <c r="CK150" s="72">
        <f t="shared" si="1251"/>
        <v>101</v>
      </c>
      <c r="CL150" s="72">
        <f t="shared" si="1252"/>
        <v>137</v>
      </c>
      <c r="CM150" s="72" t="str">
        <f t="shared" si="1253"/>
        <v>-</v>
      </c>
      <c r="CN150" s="72">
        <f t="shared" si="1254"/>
        <v>172</v>
      </c>
      <c r="CO150" s="72">
        <f t="shared" si="1255"/>
        <v>193</v>
      </c>
      <c r="CP150" s="72">
        <f t="shared" si="1256"/>
        <v>230</v>
      </c>
      <c r="CQ150" s="72">
        <f t="shared" si="1257"/>
        <v>299</v>
      </c>
      <c r="CR150" s="72">
        <f t="shared" si="1258"/>
        <v>328</v>
      </c>
      <c r="CS150" s="72">
        <f t="shared" si="1259"/>
        <v>341</v>
      </c>
      <c r="CT150" s="23">
        <f t="shared" si="1260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233"/>
        <v>adrb2_human_6PS0</v>
      </c>
      <c r="B151" s="3" t="s">
        <v>126</v>
      </c>
      <c r="C151" s="3" t="s">
        <v>1604</v>
      </c>
      <c r="D151" s="3" t="str">
        <f>IFERROR(MID(VLOOKUP($B151,Seqs!$A:$B,2,0),E151,1),"")</f>
        <v>V</v>
      </c>
      <c r="E151" s="3">
        <v>31</v>
      </c>
      <c r="F151" s="3" t="str">
        <f>IFERROR(MID(VLOOKUP($B151,Seqs!$A:$B,2,0),G151,1),"")</f>
        <v>F</v>
      </c>
      <c r="G151" s="3">
        <v>61</v>
      </c>
      <c r="H151" s="3" t="str">
        <f>IFERROR(MID(VLOOKUP($B151,Seqs!$A:$B,2,0),I151,1),"")</f>
        <v>E</v>
      </c>
      <c r="I151" s="23">
        <v>62</v>
      </c>
      <c r="J151" s="3" t="str">
        <f>IFERROR(MID(VLOOKUP($B151,Seqs!$A:$B,2,0),K151,1),"")</f>
        <v>Q</v>
      </c>
      <c r="K151" s="23">
        <v>65</v>
      </c>
      <c r="L151" s="3" t="str">
        <f>IFERROR(MID(VLOOKUP($B151,Seqs!$A:$B,2,0),M151,1),"")</f>
        <v>T</v>
      </c>
      <c r="M151" s="3">
        <v>66</v>
      </c>
      <c r="N151" s="3" t="str">
        <f>IFERROR(MID(VLOOKUP($B151,Seqs!$A:$B,2,0),O151,1),"")</f>
        <v>M</v>
      </c>
      <c r="O151" s="3">
        <v>96</v>
      </c>
      <c r="P151" s="3" t="str">
        <f>IFERROR(MID(VLOOKUP($B151,Seqs!$A:$B,2,0),Q151,1),"")</f>
        <v>M</v>
      </c>
      <c r="Q151" s="3">
        <v>98</v>
      </c>
      <c r="R151" s="3" t="str">
        <f>IFERROR(MID(VLOOKUP($B151,Seqs!$A:$B,2,0),S151,1),"")</f>
        <v>F</v>
      </c>
      <c r="S151" s="3">
        <v>101</v>
      </c>
      <c r="T151" s="3" t="str">
        <f>IFERROR(MID(VLOOKUP($B151,Seqs!$A:$B,2,0),U151,1),"")</f>
        <v>G</v>
      </c>
      <c r="U151" s="3">
        <v>102</v>
      </c>
      <c r="V151" s="3" t="str">
        <f>IFERROR(MID(VLOOKUP($B151,Seqs!$A:$B,2,0),W151,1),"")</f>
        <v>S</v>
      </c>
      <c r="W151" s="3">
        <v>137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3">
        <v>146</v>
      </c>
      <c r="AD151" s="3" t="str">
        <f>IFERROR(MID(VLOOKUP($B151,Seqs!$A:$B,2,0),AE151,1),"")</f>
        <v>H</v>
      </c>
      <c r="AE151" s="3">
        <v>172</v>
      </c>
      <c r="AF151" s="3" t="str">
        <f>IFERROR(MID(VLOOKUP($B151,Seqs!$A:$B,2,0),AG151,1),"")</f>
        <v>C</v>
      </c>
      <c r="AG151" s="3">
        <v>191</v>
      </c>
      <c r="AH151" s="3" t="str">
        <f>IFERROR(MID(VLOOKUP($B151,Seqs!$A:$B,2,0),AI151,1),"")</f>
        <v>F</v>
      </c>
      <c r="AI151" s="3">
        <v>193</v>
      </c>
      <c r="AJ151" s="3" t="str">
        <f>IFERROR(MID(VLOOKUP($B151,Seqs!$A:$B,2,0),AK151,1),"")</f>
        <v>N</v>
      </c>
      <c r="AK151" s="3">
        <v>196</v>
      </c>
      <c r="AL151" s="3" t="str">
        <f>IFERROR(MID(VLOOKUP($B151,Seqs!$A:$B,2,0),AM151,1),"")</f>
        <v>L</v>
      </c>
      <c r="AM151" s="3">
        <v>230</v>
      </c>
      <c r="AN151" s="3" t="str">
        <f>IFERROR(MID(VLOOKUP($B151,Seqs!$A:$B,2,0),AO151,1),"")</f>
        <v>L</v>
      </c>
      <c r="AO151" s="3">
        <v>266</v>
      </c>
      <c r="AP151" s="3" t="str">
        <f>IFERROR(MID(VLOOKUP($B151,Seqs!$A:$B,2,0),AQ151,1),"")</f>
        <v>Q</v>
      </c>
      <c r="AQ151" s="3">
        <v>299</v>
      </c>
      <c r="AR151" s="3" t="str">
        <f>IFERROR(MID(VLOOKUP($B151,Seqs!$A:$B,2,0),AS151,1),"")</f>
        <v>K</v>
      </c>
      <c r="AS151" s="3">
        <v>305</v>
      </c>
      <c r="AT151" s="3" t="str">
        <f>IFERROR(MID(VLOOKUP($B151,Seqs!$A:$B,2,0),AU151,1),"")</f>
        <v>R</v>
      </c>
      <c r="AU151" s="3">
        <v>328</v>
      </c>
      <c r="AV151" s="3" t="str">
        <f>IFERROR(MID(VLOOKUP($B151,Seqs!$A:$B,2,0),AW151,1),"")</f>
        <v>S</v>
      </c>
      <c r="AW151" s="3">
        <v>329</v>
      </c>
      <c r="AX151" s="3" t="str">
        <f>IFERROR(MID(VLOOKUP($B151,Seqs!$A:$B,2,0),AY151,1),"")</f>
        <v>C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Adrenoceptors</v>
      </c>
      <c r="BB151" s="27" t="b">
        <f t="shared" si="1234"/>
        <v>1</v>
      </c>
      <c r="BC151" s="23">
        <f t="shared" si="1235"/>
        <v>243</v>
      </c>
      <c r="BD151" s="74" t="s">
        <v>23</v>
      </c>
      <c r="BE151" s="3" t="s">
        <v>1370</v>
      </c>
      <c r="BF151" s="118">
        <v>3.4</v>
      </c>
      <c r="BG151" s="49" t="s">
        <v>1</v>
      </c>
      <c r="BH151" s="49" t="s">
        <v>1</v>
      </c>
      <c r="BI151" s="1"/>
      <c r="BJ151" s="70" t="s">
        <v>1283</v>
      </c>
      <c r="BK151" s="57" t="s">
        <v>1283</v>
      </c>
      <c r="BL151" s="57" t="s">
        <v>1283</v>
      </c>
      <c r="BM151" s="57" t="s">
        <v>1283</v>
      </c>
      <c r="BN151" s="57" t="s">
        <v>1283</v>
      </c>
      <c r="BO151" s="57" t="s">
        <v>1283</v>
      </c>
      <c r="BP151" s="57" t="s">
        <v>1283</v>
      </c>
      <c r="BQ151" s="57" t="s">
        <v>1283</v>
      </c>
      <c r="BR151" s="57" t="s">
        <v>1283</v>
      </c>
      <c r="BS151" s="57" t="s">
        <v>1283</v>
      </c>
      <c r="BT151" s="57" t="s">
        <v>1283</v>
      </c>
      <c r="BU151" s="57" t="s">
        <v>1283</v>
      </c>
      <c r="BV151" s="70">
        <f t="shared" si="1236"/>
        <v>31</v>
      </c>
      <c r="BW151" s="71">
        <f t="shared" si="1237"/>
        <v>62</v>
      </c>
      <c r="BX151" s="72">
        <f t="shared" si="1238"/>
        <v>66</v>
      </c>
      <c r="BY151" s="71">
        <f t="shared" si="1239"/>
        <v>98</v>
      </c>
      <c r="BZ151" s="72">
        <f t="shared" si="1240"/>
        <v>102</v>
      </c>
      <c r="CA151" s="71" t="str">
        <f t="shared" si="1241"/>
        <v>-</v>
      </c>
      <c r="CB151" s="72">
        <f t="shared" si="1242"/>
        <v>146</v>
      </c>
      <c r="CC151" s="71">
        <f t="shared" si="1243"/>
        <v>191</v>
      </c>
      <c r="CD151" s="72">
        <f t="shared" si="1244"/>
        <v>196</v>
      </c>
      <c r="CE151" s="71">
        <f t="shared" si="1245"/>
        <v>266</v>
      </c>
      <c r="CF151" s="72">
        <f t="shared" si="1246"/>
        <v>305</v>
      </c>
      <c r="CG151" s="71">
        <f t="shared" si="1247"/>
        <v>329</v>
      </c>
      <c r="CH151" s="70">
        <f t="shared" si="1248"/>
        <v>61</v>
      </c>
      <c r="CI151" s="71">
        <f t="shared" si="1249"/>
        <v>65</v>
      </c>
      <c r="CJ151" s="72">
        <f t="shared" si="1250"/>
        <v>96</v>
      </c>
      <c r="CK151" s="72">
        <f t="shared" si="1251"/>
        <v>101</v>
      </c>
      <c r="CL151" s="72">
        <f t="shared" si="1252"/>
        <v>137</v>
      </c>
      <c r="CM151" s="72" t="str">
        <f t="shared" si="1253"/>
        <v>-</v>
      </c>
      <c r="CN151" s="72">
        <f t="shared" si="1254"/>
        <v>172</v>
      </c>
      <c r="CO151" s="72">
        <f t="shared" si="1255"/>
        <v>193</v>
      </c>
      <c r="CP151" s="72">
        <f t="shared" si="1256"/>
        <v>230</v>
      </c>
      <c r="CQ151" s="72">
        <f t="shared" si="1257"/>
        <v>299</v>
      </c>
      <c r="CR151" s="72">
        <f t="shared" si="1258"/>
        <v>328</v>
      </c>
      <c r="CS151" s="72">
        <f t="shared" si="1259"/>
        <v>341</v>
      </c>
      <c r="CT151" s="23">
        <f t="shared" si="1260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233"/>
        <v>adrb2_human_6PS1</v>
      </c>
      <c r="B152" s="3" t="s">
        <v>126</v>
      </c>
      <c r="C152" s="3" t="s">
        <v>1605</v>
      </c>
      <c r="D152" s="3" t="str">
        <f>IFERROR(MID(VLOOKUP($B152,Seqs!$A:$B,2,0),E152,1),"")</f>
        <v>D</v>
      </c>
      <c r="E152" s="3">
        <v>29</v>
      </c>
      <c r="F152" s="3" t="str">
        <f>IFERROR(MID(VLOOKUP($B152,Seqs!$A:$B,2,0),G152,1),"")</f>
        <v>F</v>
      </c>
      <c r="G152" s="3">
        <v>61</v>
      </c>
      <c r="H152" s="3" t="str">
        <f>IFERROR(MID(VLOOKUP($B152,Seqs!$A:$B,2,0),I152,1),"")</f>
        <v>E</v>
      </c>
      <c r="I152" s="23">
        <v>62</v>
      </c>
      <c r="J152" s="3" t="str">
        <f>IFERROR(MID(VLOOKUP($B152,Seqs!$A:$B,2,0),K152,1),"")</f>
        <v>Q</v>
      </c>
      <c r="K152" s="23">
        <v>65</v>
      </c>
      <c r="L152" s="3" t="str">
        <f>IFERROR(MID(VLOOKUP($B152,Seqs!$A:$B,2,0),M152,1),"")</f>
        <v>T</v>
      </c>
      <c r="M152" s="3">
        <v>66</v>
      </c>
      <c r="N152" s="3" t="str">
        <f>IFERROR(MID(VLOOKUP($B152,Seqs!$A:$B,2,0),O152,1),"")</f>
        <v>M</v>
      </c>
      <c r="O152" s="3">
        <v>96</v>
      </c>
      <c r="P152" s="3" t="str">
        <f>IFERROR(MID(VLOOKUP($B152,Seqs!$A:$B,2,0),Q152,1),"")</f>
        <v>M</v>
      </c>
      <c r="Q152" s="3">
        <v>98</v>
      </c>
      <c r="R152" s="3" t="str">
        <f>IFERROR(MID(VLOOKUP($B152,Seqs!$A:$B,2,0),S152,1),"")</f>
        <v>F</v>
      </c>
      <c r="S152" s="3">
        <v>101</v>
      </c>
      <c r="T152" s="3" t="str">
        <f>IFERROR(MID(VLOOKUP($B152,Seqs!$A:$B,2,0),U152,1),"")</f>
        <v>G</v>
      </c>
      <c r="U152" s="3">
        <v>102</v>
      </c>
      <c r="V152" s="3" t="str">
        <f>IFERROR(MID(VLOOKUP($B152,Seqs!$A:$B,2,0),W152,1),"")</f>
        <v>S</v>
      </c>
      <c r="W152" s="3">
        <v>137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3">
        <v>146</v>
      </c>
      <c r="AD152" s="3" t="str">
        <f>IFERROR(MID(VLOOKUP($B152,Seqs!$A:$B,2,0),AE152,1),"")</f>
        <v>H</v>
      </c>
      <c r="AE152" s="3">
        <v>172</v>
      </c>
      <c r="AF152" s="3" t="str">
        <f>IFERROR(MID(VLOOKUP($B152,Seqs!$A:$B,2,0),AG152,1),"")</f>
        <v>C</v>
      </c>
      <c r="AG152" s="3">
        <v>191</v>
      </c>
      <c r="AH152" s="3" t="str">
        <f>IFERROR(MID(VLOOKUP($B152,Seqs!$A:$B,2,0),AI152,1),"")</f>
        <v>F</v>
      </c>
      <c r="AI152" s="3">
        <v>193</v>
      </c>
      <c r="AJ152" s="3" t="str">
        <f>IFERROR(MID(VLOOKUP($B152,Seqs!$A:$B,2,0),AK152,1),"")</f>
        <v>N</v>
      </c>
      <c r="AK152" s="3">
        <v>196</v>
      </c>
      <c r="AL152" s="3" t="str">
        <f>IFERROR(MID(VLOOKUP($B152,Seqs!$A:$B,2,0),AM152,1),"")</f>
        <v>L</v>
      </c>
      <c r="AM152" s="3">
        <v>230</v>
      </c>
      <c r="AN152" s="3" t="str">
        <f>IFERROR(MID(VLOOKUP($B152,Seqs!$A:$B,2,0),AO152,1),"")</f>
        <v>L</v>
      </c>
      <c r="AO152" s="3">
        <v>266</v>
      </c>
      <c r="AP152" s="3" t="str">
        <f>IFERROR(MID(VLOOKUP($B152,Seqs!$A:$B,2,0),AQ152,1),"")</f>
        <v>Q</v>
      </c>
      <c r="AQ152" s="3">
        <v>299</v>
      </c>
      <c r="AR152" s="3" t="str">
        <f>IFERROR(MID(VLOOKUP($B152,Seqs!$A:$B,2,0),AS152,1),"")</f>
        <v>K</v>
      </c>
      <c r="AS152" s="3">
        <v>305</v>
      </c>
      <c r="AT152" s="3" t="str">
        <f>IFERROR(MID(VLOOKUP($B152,Seqs!$A:$B,2,0),AU152,1),"")</f>
        <v>R</v>
      </c>
      <c r="AU152" s="3">
        <v>328</v>
      </c>
      <c r="AV152" s="3" t="str">
        <f>IFERROR(MID(VLOOKUP($B152,Seqs!$A:$B,2,0),AW152,1),"")</f>
        <v>S</v>
      </c>
      <c r="AW152" s="3">
        <v>329</v>
      </c>
      <c r="AX152" s="3" t="str">
        <f>IFERROR(MID(VLOOKUP($B152,Seqs!$A:$B,2,0),AY152,1),"")</f>
        <v>C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Adrenoceptors</v>
      </c>
      <c r="BB152" s="27" t="b">
        <f t="shared" si="1234"/>
        <v>1</v>
      </c>
      <c r="BC152" s="23">
        <f t="shared" si="1235"/>
        <v>245</v>
      </c>
      <c r="BD152" s="74" t="s">
        <v>23</v>
      </c>
      <c r="BE152" s="3" t="s">
        <v>1370</v>
      </c>
      <c r="BF152" s="118">
        <v>3.2</v>
      </c>
      <c r="BG152" s="49" t="s">
        <v>1</v>
      </c>
      <c r="BH152" s="49" t="s">
        <v>1</v>
      </c>
      <c r="BI152" s="1"/>
      <c r="BJ152" s="70" t="s">
        <v>1283</v>
      </c>
      <c r="BK152" s="57" t="s">
        <v>1283</v>
      </c>
      <c r="BL152" s="57" t="s">
        <v>1283</v>
      </c>
      <c r="BM152" s="57" t="s">
        <v>1283</v>
      </c>
      <c r="BN152" s="57" t="s">
        <v>1283</v>
      </c>
      <c r="BO152" s="57" t="s">
        <v>1283</v>
      </c>
      <c r="BP152" s="57" t="s">
        <v>1283</v>
      </c>
      <c r="BQ152" s="57" t="s">
        <v>1283</v>
      </c>
      <c r="BR152" s="57" t="s">
        <v>1283</v>
      </c>
      <c r="BS152" s="57" t="s">
        <v>1283</v>
      </c>
      <c r="BT152" s="57" t="s">
        <v>1283</v>
      </c>
      <c r="BU152" s="57" t="s">
        <v>1283</v>
      </c>
      <c r="BV152" s="70">
        <f t="shared" si="1236"/>
        <v>29</v>
      </c>
      <c r="BW152" s="71">
        <f t="shared" si="1237"/>
        <v>62</v>
      </c>
      <c r="BX152" s="72">
        <f t="shared" si="1238"/>
        <v>66</v>
      </c>
      <c r="BY152" s="71">
        <f t="shared" si="1239"/>
        <v>98</v>
      </c>
      <c r="BZ152" s="72">
        <f t="shared" si="1240"/>
        <v>102</v>
      </c>
      <c r="CA152" s="71" t="str">
        <f t="shared" si="1241"/>
        <v>-</v>
      </c>
      <c r="CB152" s="72">
        <f t="shared" si="1242"/>
        <v>146</v>
      </c>
      <c r="CC152" s="71">
        <f t="shared" si="1243"/>
        <v>191</v>
      </c>
      <c r="CD152" s="72">
        <f t="shared" si="1244"/>
        <v>196</v>
      </c>
      <c r="CE152" s="71">
        <f t="shared" si="1245"/>
        <v>266</v>
      </c>
      <c r="CF152" s="72">
        <f t="shared" si="1246"/>
        <v>305</v>
      </c>
      <c r="CG152" s="71">
        <f t="shared" si="1247"/>
        <v>329</v>
      </c>
      <c r="CH152" s="70">
        <f t="shared" si="1248"/>
        <v>61</v>
      </c>
      <c r="CI152" s="71">
        <f t="shared" si="1249"/>
        <v>65</v>
      </c>
      <c r="CJ152" s="72">
        <f t="shared" si="1250"/>
        <v>96</v>
      </c>
      <c r="CK152" s="72">
        <f t="shared" si="1251"/>
        <v>101</v>
      </c>
      <c r="CL152" s="72">
        <f t="shared" si="1252"/>
        <v>137</v>
      </c>
      <c r="CM152" s="72" t="str">
        <f t="shared" si="1253"/>
        <v>-</v>
      </c>
      <c r="CN152" s="72">
        <f t="shared" si="1254"/>
        <v>172</v>
      </c>
      <c r="CO152" s="72">
        <f t="shared" si="1255"/>
        <v>193</v>
      </c>
      <c r="CP152" s="72">
        <f t="shared" si="1256"/>
        <v>230</v>
      </c>
      <c r="CQ152" s="72">
        <f t="shared" si="1257"/>
        <v>299</v>
      </c>
      <c r="CR152" s="72">
        <f t="shared" si="1258"/>
        <v>328</v>
      </c>
      <c r="CS152" s="72">
        <f t="shared" si="1259"/>
        <v>341</v>
      </c>
      <c r="CT152" s="23">
        <f t="shared" si="126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233"/>
        <v>adrb2_human_6PS2</v>
      </c>
      <c r="B153" s="3" t="s">
        <v>126</v>
      </c>
      <c r="C153" s="3" t="s">
        <v>1606</v>
      </c>
      <c r="D153" s="3" t="str">
        <f>IFERROR(MID(VLOOKUP($B153,Seqs!$A:$B,2,0),E153,1),"")</f>
        <v>D</v>
      </c>
      <c r="E153" s="3">
        <v>29</v>
      </c>
      <c r="F153" s="3" t="str">
        <f>IFERROR(MID(VLOOKUP($B153,Seqs!$A:$B,2,0),G153,1),"")</f>
        <v>F</v>
      </c>
      <c r="G153" s="3">
        <v>61</v>
      </c>
      <c r="H153" s="3" t="str">
        <f>IFERROR(MID(VLOOKUP($B153,Seqs!$A:$B,2,0),I153,1),"")</f>
        <v>E</v>
      </c>
      <c r="I153" s="23">
        <v>62</v>
      </c>
      <c r="J153" s="3" t="str">
        <f>IFERROR(MID(VLOOKUP($B153,Seqs!$A:$B,2,0),K153,1),"")</f>
        <v>Q</v>
      </c>
      <c r="K153" s="23">
        <v>65</v>
      </c>
      <c r="L153" s="3" t="str">
        <f>IFERROR(MID(VLOOKUP($B153,Seqs!$A:$B,2,0),M153,1),"")</f>
        <v>T</v>
      </c>
      <c r="M153" s="3">
        <v>66</v>
      </c>
      <c r="N153" s="3" t="str">
        <f>IFERROR(MID(VLOOKUP($B153,Seqs!$A:$B,2,0),O153,1),"")</f>
        <v>K</v>
      </c>
      <c r="O153" s="3">
        <v>97</v>
      </c>
      <c r="P153" s="3" t="str">
        <f>IFERROR(MID(VLOOKUP($B153,Seqs!$A:$B,2,0),Q153,1),"")</f>
        <v>M</v>
      </c>
      <c r="Q153" s="3">
        <v>98</v>
      </c>
      <c r="R153" s="3" t="str">
        <f>IFERROR(MID(VLOOKUP($B153,Seqs!$A:$B,2,0),S153,1),"")</f>
        <v>F</v>
      </c>
      <c r="S153" s="3">
        <v>101</v>
      </c>
      <c r="T153" s="3" t="str">
        <f>IFERROR(MID(VLOOKUP($B153,Seqs!$A:$B,2,0),U153,1),"")</f>
        <v>G</v>
      </c>
      <c r="U153" s="3">
        <v>102</v>
      </c>
      <c r="V153" s="3" t="str">
        <f>IFERROR(MID(VLOOKUP($B153,Seqs!$A:$B,2,0),W153,1),"")</f>
        <v>S</v>
      </c>
      <c r="W153" s="3">
        <v>137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3">
        <v>146</v>
      </c>
      <c r="AD153" s="3" t="str">
        <f>IFERROR(MID(VLOOKUP($B153,Seqs!$A:$B,2,0),AE153,1),"")</f>
        <v>H</v>
      </c>
      <c r="AE153" s="3">
        <v>172</v>
      </c>
      <c r="AF153" s="3" t="str">
        <f>IFERROR(MID(VLOOKUP($B153,Seqs!$A:$B,2,0),AG153,1),"")</f>
        <v>C</v>
      </c>
      <c r="AG153" s="3">
        <v>191</v>
      </c>
      <c r="AH153" s="3" t="str">
        <f>IFERROR(MID(VLOOKUP($B153,Seqs!$A:$B,2,0),AI153,1),"")</f>
        <v>F</v>
      </c>
      <c r="AI153" s="3">
        <v>193</v>
      </c>
      <c r="AJ153" s="3" t="str">
        <f>IFERROR(MID(VLOOKUP($B153,Seqs!$A:$B,2,0),AK153,1),"")</f>
        <v>N</v>
      </c>
      <c r="AK153" s="3">
        <v>196</v>
      </c>
      <c r="AL153" s="3" t="str">
        <f>IFERROR(MID(VLOOKUP($B153,Seqs!$A:$B,2,0),AM153,1),"")</f>
        <v>L</v>
      </c>
      <c r="AM153" s="3">
        <v>230</v>
      </c>
      <c r="AN153" s="3" t="str">
        <f>IFERROR(MID(VLOOKUP($B153,Seqs!$A:$B,2,0),AO153,1),"")</f>
        <v>L</v>
      </c>
      <c r="AO153" s="3">
        <v>266</v>
      </c>
      <c r="AP153" s="3" t="str">
        <f>IFERROR(MID(VLOOKUP($B153,Seqs!$A:$B,2,0),AQ153,1),"")</f>
        <v>D</v>
      </c>
      <c r="AQ153" s="3">
        <v>300</v>
      </c>
      <c r="AR153" s="3" t="str">
        <f>IFERROR(MID(VLOOKUP($B153,Seqs!$A:$B,2,0),AS153,1),"")</f>
        <v>K</v>
      </c>
      <c r="AS153" s="3">
        <v>305</v>
      </c>
      <c r="AT153" s="3" t="str">
        <f>IFERROR(MID(VLOOKUP($B153,Seqs!$A:$B,2,0),AU153,1),"")</f>
        <v>R</v>
      </c>
      <c r="AU153" s="3">
        <v>328</v>
      </c>
      <c r="AV153" s="3" t="str">
        <f>IFERROR(MID(VLOOKUP($B153,Seqs!$A:$B,2,0),AW153,1),"")</f>
        <v>S</v>
      </c>
      <c r="AW153" s="3">
        <v>329</v>
      </c>
      <c r="AX153" s="3" t="str">
        <f>IFERROR(MID(VLOOKUP($B153,Seqs!$A:$B,2,0),AY153,1),"")</f>
        <v>C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Adrenoceptors</v>
      </c>
      <c r="BB153" s="27" t="b">
        <f t="shared" si="1234"/>
        <v>1</v>
      </c>
      <c r="BC153" s="23">
        <f t="shared" si="1235"/>
        <v>247</v>
      </c>
      <c r="BD153" s="74" t="s">
        <v>23</v>
      </c>
      <c r="BE153" s="3" t="s">
        <v>1370</v>
      </c>
      <c r="BF153" s="118">
        <v>2.4</v>
      </c>
      <c r="BG153" s="49" t="s">
        <v>1</v>
      </c>
      <c r="BH153" s="49" t="s">
        <v>1</v>
      </c>
      <c r="BI153" s="1"/>
      <c r="BJ153" s="70" t="s">
        <v>1283</v>
      </c>
      <c r="BK153" s="57" t="s">
        <v>1283</v>
      </c>
      <c r="BL153" s="57" t="s">
        <v>1283</v>
      </c>
      <c r="BM153" s="57" t="s">
        <v>1283</v>
      </c>
      <c r="BN153" s="57" t="s">
        <v>1283</v>
      </c>
      <c r="BO153" s="57" t="s">
        <v>1283</v>
      </c>
      <c r="BP153" s="57" t="s">
        <v>1283</v>
      </c>
      <c r="BQ153" s="57" t="s">
        <v>1283</v>
      </c>
      <c r="BR153" s="57" t="s">
        <v>1283</v>
      </c>
      <c r="BS153" s="57" t="s">
        <v>1283</v>
      </c>
      <c r="BT153" s="57" t="s">
        <v>1283</v>
      </c>
      <c r="BU153" s="57" t="s">
        <v>1283</v>
      </c>
      <c r="BV153" s="70">
        <f t="shared" si="1236"/>
        <v>29</v>
      </c>
      <c r="BW153" s="71">
        <f t="shared" si="1237"/>
        <v>62</v>
      </c>
      <c r="BX153" s="72">
        <f t="shared" si="1238"/>
        <v>66</v>
      </c>
      <c r="BY153" s="71">
        <f t="shared" si="1239"/>
        <v>98</v>
      </c>
      <c r="BZ153" s="72">
        <f t="shared" si="1240"/>
        <v>102</v>
      </c>
      <c r="CA153" s="71" t="str">
        <f t="shared" si="1241"/>
        <v>-</v>
      </c>
      <c r="CB153" s="72">
        <f t="shared" si="1242"/>
        <v>146</v>
      </c>
      <c r="CC153" s="71">
        <f t="shared" si="1243"/>
        <v>191</v>
      </c>
      <c r="CD153" s="72">
        <f t="shared" si="1244"/>
        <v>196</v>
      </c>
      <c r="CE153" s="71">
        <f t="shared" si="1245"/>
        <v>266</v>
      </c>
      <c r="CF153" s="72">
        <f t="shared" si="1246"/>
        <v>305</v>
      </c>
      <c r="CG153" s="71">
        <f t="shared" si="1247"/>
        <v>329</v>
      </c>
      <c r="CH153" s="70">
        <f t="shared" si="1248"/>
        <v>61</v>
      </c>
      <c r="CI153" s="71">
        <f t="shared" si="1249"/>
        <v>65</v>
      </c>
      <c r="CJ153" s="72">
        <f t="shared" si="1250"/>
        <v>97</v>
      </c>
      <c r="CK153" s="72">
        <f t="shared" si="1251"/>
        <v>101</v>
      </c>
      <c r="CL153" s="72">
        <f t="shared" si="1252"/>
        <v>137</v>
      </c>
      <c r="CM153" s="72" t="str">
        <f t="shared" si="1253"/>
        <v>-</v>
      </c>
      <c r="CN153" s="72">
        <f t="shared" si="1254"/>
        <v>172</v>
      </c>
      <c r="CO153" s="72">
        <f t="shared" si="1255"/>
        <v>193</v>
      </c>
      <c r="CP153" s="72">
        <f t="shared" si="1256"/>
        <v>230</v>
      </c>
      <c r="CQ153" s="72">
        <f t="shared" si="1257"/>
        <v>300</v>
      </c>
      <c r="CR153" s="72">
        <f t="shared" si="1258"/>
        <v>328</v>
      </c>
      <c r="CS153" s="72">
        <f t="shared" si="1259"/>
        <v>341</v>
      </c>
      <c r="CT153" s="23">
        <f t="shared" si="126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1233"/>
        <v>adrb2_human_6PS3</v>
      </c>
      <c r="B154" s="3" t="s">
        <v>126</v>
      </c>
      <c r="C154" s="3" t="s">
        <v>1607</v>
      </c>
      <c r="D154" s="3" t="str">
        <f>IFERROR(MID(VLOOKUP($B154,Seqs!$A:$B,2,0),E154,1),"")</f>
        <v>D</v>
      </c>
      <c r="E154" s="3">
        <v>29</v>
      </c>
      <c r="F154" s="3" t="str">
        <f>IFERROR(MID(VLOOKUP($B154,Seqs!$A:$B,2,0),G154,1),"")</f>
        <v>F</v>
      </c>
      <c r="G154" s="3">
        <v>61</v>
      </c>
      <c r="H154" s="3" t="str">
        <f>IFERROR(MID(VLOOKUP($B154,Seqs!$A:$B,2,0),I154,1),"")</f>
        <v>E</v>
      </c>
      <c r="I154" s="23">
        <v>62</v>
      </c>
      <c r="J154" s="3" t="str">
        <f>IFERROR(MID(VLOOKUP($B154,Seqs!$A:$B,2,0),K154,1),"")</f>
        <v>Q</v>
      </c>
      <c r="K154" s="23">
        <v>65</v>
      </c>
      <c r="L154" s="3" t="str">
        <f>IFERROR(MID(VLOOKUP($B154,Seqs!$A:$B,2,0),M154,1),"")</f>
        <v>T</v>
      </c>
      <c r="M154" s="3">
        <v>66</v>
      </c>
      <c r="N154" s="3" t="str">
        <f>IFERROR(MID(VLOOKUP($B154,Seqs!$A:$B,2,0),O154,1),"")</f>
        <v>M</v>
      </c>
      <c r="O154" s="3">
        <v>96</v>
      </c>
      <c r="P154" s="3" t="str">
        <f>IFERROR(MID(VLOOKUP($B154,Seqs!$A:$B,2,0),Q154,1),"")</f>
        <v>M</v>
      </c>
      <c r="Q154" s="3">
        <v>98</v>
      </c>
      <c r="R154" s="3" t="str">
        <f>IFERROR(MID(VLOOKUP($B154,Seqs!$A:$B,2,0),S154,1),"")</f>
        <v>F</v>
      </c>
      <c r="S154" s="3">
        <v>101</v>
      </c>
      <c r="T154" s="3" t="str">
        <f>IFERROR(MID(VLOOKUP($B154,Seqs!$A:$B,2,0),U154,1),"")</f>
        <v>G</v>
      </c>
      <c r="U154" s="3">
        <v>102</v>
      </c>
      <c r="V154" s="3" t="str">
        <f>IFERROR(MID(VLOOKUP($B154,Seqs!$A:$B,2,0),W154,1),"")</f>
        <v>S</v>
      </c>
      <c r="W154" s="3">
        <v>137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3">
        <v>146</v>
      </c>
      <c r="AD154" s="3" t="str">
        <f>IFERROR(MID(VLOOKUP($B154,Seqs!$A:$B,2,0),AE154,1),"")</f>
        <v>H</v>
      </c>
      <c r="AE154" s="3">
        <v>172</v>
      </c>
      <c r="AF154" s="3" t="str">
        <f>IFERROR(MID(VLOOKUP($B154,Seqs!$A:$B,2,0),AG154,1),"")</f>
        <v>C</v>
      </c>
      <c r="AG154" s="3">
        <v>191</v>
      </c>
      <c r="AH154" s="3" t="str">
        <f>IFERROR(MID(VLOOKUP($B154,Seqs!$A:$B,2,0),AI154,1),"")</f>
        <v>F</v>
      </c>
      <c r="AI154" s="3">
        <v>193</v>
      </c>
      <c r="AJ154" s="3" t="str">
        <f>IFERROR(MID(VLOOKUP($B154,Seqs!$A:$B,2,0),AK154,1),"")</f>
        <v>N</v>
      </c>
      <c r="AK154" s="3">
        <v>196</v>
      </c>
      <c r="AL154" s="3" t="str">
        <f>IFERROR(MID(VLOOKUP($B154,Seqs!$A:$B,2,0),AM154,1),"")</f>
        <v>L</v>
      </c>
      <c r="AM154" s="3">
        <v>230</v>
      </c>
      <c r="AN154" s="3" t="str">
        <f>IFERROR(MID(VLOOKUP($B154,Seqs!$A:$B,2,0),AO154,1),"")</f>
        <v>L</v>
      </c>
      <c r="AO154" s="3">
        <v>266</v>
      </c>
      <c r="AP154" s="3" t="str">
        <f>IFERROR(MID(VLOOKUP($B154,Seqs!$A:$B,2,0),AQ154,1),"")</f>
        <v>D</v>
      </c>
      <c r="AQ154" s="3">
        <v>300</v>
      </c>
      <c r="AR154" s="3" t="str">
        <f>IFERROR(MID(VLOOKUP($B154,Seqs!$A:$B,2,0),AS154,1),"")</f>
        <v>K</v>
      </c>
      <c r="AS154" s="3">
        <v>305</v>
      </c>
      <c r="AT154" s="3" t="str">
        <f>IFERROR(MID(VLOOKUP($B154,Seqs!$A:$B,2,0),AU154,1),"")</f>
        <v>R</v>
      </c>
      <c r="AU154" s="3">
        <v>328</v>
      </c>
      <c r="AV154" s="3" t="str">
        <f>IFERROR(MID(VLOOKUP($B154,Seqs!$A:$B,2,0),AW154,1),"")</f>
        <v>S</v>
      </c>
      <c r="AW154" s="3">
        <v>329</v>
      </c>
      <c r="AX154" s="3" t="str">
        <f>IFERROR(MID(VLOOKUP($B154,Seqs!$A:$B,2,0),AY154,1),"")</f>
        <v>C</v>
      </c>
      <c r="AY154" s="3">
        <v>341</v>
      </c>
      <c r="AZ154" s="77" t="str">
        <f>VLOOKUP(B154,Classification!A:D,2,0)</f>
        <v>A</v>
      </c>
      <c r="BA154" s="94" t="str">
        <f>VLOOKUP(B154,Classification!A:D,4,0)</f>
        <v>Adrenoceptors</v>
      </c>
      <c r="BB154" s="27" t="b">
        <f t="shared" si="1234"/>
        <v>1</v>
      </c>
      <c r="BC154" s="23">
        <f t="shared" si="1235"/>
        <v>246</v>
      </c>
      <c r="BD154" s="74" t="s">
        <v>23</v>
      </c>
      <c r="BE154" s="3" t="s">
        <v>1370</v>
      </c>
      <c r="BF154" s="118">
        <v>2.5</v>
      </c>
      <c r="BG154" s="49" t="s">
        <v>1</v>
      </c>
      <c r="BH154" s="49" t="s">
        <v>1</v>
      </c>
      <c r="BI154" s="1"/>
      <c r="BJ154" s="70" t="s">
        <v>1283</v>
      </c>
      <c r="BK154" s="57" t="s">
        <v>1283</v>
      </c>
      <c r="BL154" s="57" t="s">
        <v>1283</v>
      </c>
      <c r="BM154" s="57" t="s">
        <v>1283</v>
      </c>
      <c r="BN154" s="57" t="s">
        <v>1283</v>
      </c>
      <c r="BO154" s="57" t="s">
        <v>1283</v>
      </c>
      <c r="BP154" s="57" t="s">
        <v>1283</v>
      </c>
      <c r="BQ154" s="57" t="s">
        <v>1283</v>
      </c>
      <c r="BR154" s="57" t="s">
        <v>1283</v>
      </c>
      <c r="BS154" s="57" t="s">
        <v>1283</v>
      </c>
      <c r="BT154" s="57" t="s">
        <v>1283</v>
      </c>
      <c r="BU154" s="57" t="s">
        <v>1283</v>
      </c>
      <c r="BV154" s="70">
        <f t="shared" si="1236"/>
        <v>29</v>
      </c>
      <c r="BW154" s="71">
        <f t="shared" si="1237"/>
        <v>62</v>
      </c>
      <c r="BX154" s="72">
        <f t="shared" si="1238"/>
        <v>66</v>
      </c>
      <c r="BY154" s="71">
        <f t="shared" si="1239"/>
        <v>98</v>
      </c>
      <c r="BZ154" s="72">
        <f t="shared" si="1240"/>
        <v>102</v>
      </c>
      <c r="CA154" s="71" t="str">
        <f t="shared" si="1241"/>
        <v>-</v>
      </c>
      <c r="CB154" s="72">
        <f t="shared" si="1242"/>
        <v>146</v>
      </c>
      <c r="CC154" s="71">
        <f t="shared" si="1243"/>
        <v>191</v>
      </c>
      <c r="CD154" s="72">
        <f t="shared" si="1244"/>
        <v>196</v>
      </c>
      <c r="CE154" s="71">
        <f t="shared" si="1245"/>
        <v>266</v>
      </c>
      <c r="CF154" s="72">
        <f t="shared" si="1246"/>
        <v>305</v>
      </c>
      <c r="CG154" s="71">
        <f t="shared" si="1247"/>
        <v>329</v>
      </c>
      <c r="CH154" s="70">
        <f t="shared" si="1248"/>
        <v>61</v>
      </c>
      <c r="CI154" s="71">
        <f t="shared" si="1249"/>
        <v>65</v>
      </c>
      <c r="CJ154" s="72">
        <f t="shared" si="1250"/>
        <v>96</v>
      </c>
      <c r="CK154" s="72">
        <f t="shared" si="1251"/>
        <v>101</v>
      </c>
      <c r="CL154" s="72">
        <f t="shared" si="1252"/>
        <v>137</v>
      </c>
      <c r="CM154" s="72" t="str">
        <f t="shared" si="1253"/>
        <v>-</v>
      </c>
      <c r="CN154" s="72">
        <f t="shared" si="1254"/>
        <v>172</v>
      </c>
      <c r="CO154" s="72">
        <f t="shared" si="1255"/>
        <v>193</v>
      </c>
      <c r="CP154" s="72">
        <f t="shared" si="1256"/>
        <v>230</v>
      </c>
      <c r="CQ154" s="72">
        <f t="shared" si="1257"/>
        <v>300</v>
      </c>
      <c r="CR154" s="72">
        <f t="shared" si="1258"/>
        <v>328</v>
      </c>
      <c r="CS154" s="72">
        <f t="shared" si="1259"/>
        <v>341</v>
      </c>
      <c r="CT154" s="23">
        <f t="shared" si="126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1233"/>
        <v>adrb2_human_6PS4</v>
      </c>
      <c r="B155" s="3" t="s">
        <v>126</v>
      </c>
      <c r="C155" s="3" t="s">
        <v>1608</v>
      </c>
      <c r="D155" s="3" t="str">
        <f>IFERROR(MID(VLOOKUP($B155,Seqs!$A:$B,2,0),E155,1),"")</f>
        <v>D</v>
      </c>
      <c r="E155" s="3">
        <v>29</v>
      </c>
      <c r="F155" s="3" t="str">
        <f>IFERROR(MID(VLOOKUP($B155,Seqs!$A:$B,2,0),G155,1),"")</f>
        <v>F</v>
      </c>
      <c r="G155" s="3">
        <v>61</v>
      </c>
      <c r="H155" s="3" t="str">
        <f>IFERROR(MID(VLOOKUP($B155,Seqs!$A:$B,2,0),I155,1),"")</f>
        <v>E</v>
      </c>
      <c r="I155" s="23">
        <v>62</v>
      </c>
      <c r="J155" s="3" t="str">
        <f>IFERROR(MID(VLOOKUP($B155,Seqs!$A:$B,2,0),K155,1),"")</f>
        <v>Q</v>
      </c>
      <c r="K155" s="23">
        <v>65</v>
      </c>
      <c r="L155" s="3" t="str">
        <f>IFERROR(MID(VLOOKUP($B155,Seqs!$A:$B,2,0),M155,1),"")</f>
        <v>T</v>
      </c>
      <c r="M155" s="3">
        <v>66</v>
      </c>
      <c r="N155" s="3" t="str">
        <f>IFERROR(MID(VLOOKUP($B155,Seqs!$A:$B,2,0),O155,1),"")</f>
        <v>K</v>
      </c>
      <c r="O155" s="3">
        <v>97</v>
      </c>
      <c r="P155" s="3" t="str">
        <f>IFERROR(MID(VLOOKUP($B155,Seqs!$A:$B,2,0),Q155,1),"")</f>
        <v>M</v>
      </c>
      <c r="Q155" s="3">
        <v>98</v>
      </c>
      <c r="R155" s="3" t="str">
        <f>IFERROR(MID(VLOOKUP($B155,Seqs!$A:$B,2,0),S155,1),"")</f>
        <v>F</v>
      </c>
      <c r="S155" s="3">
        <v>101</v>
      </c>
      <c r="T155" s="3" t="str">
        <f>IFERROR(MID(VLOOKUP($B155,Seqs!$A:$B,2,0),U155,1),"")</f>
        <v>G</v>
      </c>
      <c r="U155" s="3">
        <v>102</v>
      </c>
      <c r="V155" s="3" t="str">
        <f>IFERROR(MID(VLOOKUP($B155,Seqs!$A:$B,2,0),W155,1),"")</f>
        <v>S</v>
      </c>
      <c r="W155" s="3">
        <v>137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3">
        <v>146</v>
      </c>
      <c r="AD155" s="3" t="str">
        <f>IFERROR(MID(VLOOKUP($B155,Seqs!$A:$B,2,0),AE155,1),"")</f>
        <v>H</v>
      </c>
      <c r="AE155" s="3">
        <v>172</v>
      </c>
      <c r="AF155" s="3" t="str">
        <f>IFERROR(MID(VLOOKUP($B155,Seqs!$A:$B,2,0),AG155,1),"")</f>
        <v>C</v>
      </c>
      <c r="AG155" s="3">
        <v>191</v>
      </c>
      <c r="AH155" s="3" t="str">
        <f>IFERROR(MID(VLOOKUP($B155,Seqs!$A:$B,2,0),AI155,1),"")</f>
        <v>F</v>
      </c>
      <c r="AI155" s="3">
        <v>193</v>
      </c>
      <c r="AJ155" s="3" t="str">
        <f>IFERROR(MID(VLOOKUP($B155,Seqs!$A:$B,2,0),AK155,1),"")</f>
        <v>N</v>
      </c>
      <c r="AK155" s="3">
        <v>196</v>
      </c>
      <c r="AL155" s="3" t="str">
        <f>IFERROR(MID(VLOOKUP($B155,Seqs!$A:$B,2,0),AM155,1),"")</f>
        <v>L</v>
      </c>
      <c r="AM155" s="3">
        <v>230</v>
      </c>
      <c r="AN155" s="3" t="str">
        <f>IFERROR(MID(VLOOKUP($B155,Seqs!$A:$B,2,0),AO155,1),"")</f>
        <v>L</v>
      </c>
      <c r="AO155" s="3">
        <v>266</v>
      </c>
      <c r="AP155" s="3" t="str">
        <f>IFERROR(MID(VLOOKUP($B155,Seqs!$A:$B,2,0),AQ155,1),"")</f>
        <v>D</v>
      </c>
      <c r="AQ155" s="3">
        <v>300</v>
      </c>
      <c r="AR155" s="3" t="str">
        <f>IFERROR(MID(VLOOKUP($B155,Seqs!$A:$B,2,0),AS155,1),"")</f>
        <v>K</v>
      </c>
      <c r="AS155" s="3">
        <v>305</v>
      </c>
      <c r="AT155" s="3" t="str">
        <f>IFERROR(MID(VLOOKUP($B155,Seqs!$A:$B,2,0),AU155,1),"")</f>
        <v>R</v>
      </c>
      <c r="AU155" s="3">
        <v>328</v>
      </c>
      <c r="AV155" s="3" t="str">
        <f>IFERROR(MID(VLOOKUP($B155,Seqs!$A:$B,2,0),AW155,1),"")</f>
        <v>S</v>
      </c>
      <c r="AW155" s="3">
        <v>329</v>
      </c>
      <c r="AX155" s="3" t="str">
        <f>IFERROR(MID(VLOOKUP($B155,Seqs!$A:$B,2,0),AY155,1),"")</f>
        <v>C</v>
      </c>
      <c r="AY155" s="3">
        <v>341</v>
      </c>
      <c r="AZ155" s="77" t="str">
        <f>VLOOKUP(B155,Classification!A:D,2,0)</f>
        <v>A</v>
      </c>
      <c r="BA155" s="94" t="str">
        <f>VLOOKUP(B155,Classification!A:D,4,0)</f>
        <v>Adrenoceptors</v>
      </c>
      <c r="BB155" s="27" t="b">
        <f t="shared" si="1234"/>
        <v>1</v>
      </c>
      <c r="BC155" s="23">
        <f t="shared" si="1235"/>
        <v>247</v>
      </c>
      <c r="BD155" s="74" t="s">
        <v>23</v>
      </c>
      <c r="BE155" s="3" t="s">
        <v>1370</v>
      </c>
      <c r="BF155" s="118">
        <v>2.6</v>
      </c>
      <c r="BG155" s="49" t="s">
        <v>1</v>
      </c>
      <c r="BH155" s="49" t="s">
        <v>1</v>
      </c>
      <c r="BI155" s="1"/>
      <c r="BJ155" s="70" t="s">
        <v>1283</v>
      </c>
      <c r="BK155" s="57" t="s">
        <v>1283</v>
      </c>
      <c r="BL155" s="57" t="s">
        <v>1283</v>
      </c>
      <c r="BM155" s="57" t="s">
        <v>1283</v>
      </c>
      <c r="BN155" s="57" t="s">
        <v>1283</v>
      </c>
      <c r="BO155" s="57" t="s">
        <v>1283</v>
      </c>
      <c r="BP155" s="57" t="s">
        <v>1283</v>
      </c>
      <c r="BQ155" s="57" t="s">
        <v>1283</v>
      </c>
      <c r="BR155" s="57" t="s">
        <v>1283</v>
      </c>
      <c r="BS155" s="57" t="s">
        <v>1283</v>
      </c>
      <c r="BT155" s="57" t="s">
        <v>1283</v>
      </c>
      <c r="BU155" s="57" t="s">
        <v>1283</v>
      </c>
      <c r="BV155" s="70">
        <f t="shared" si="1236"/>
        <v>29</v>
      </c>
      <c r="BW155" s="71">
        <f t="shared" si="1237"/>
        <v>62</v>
      </c>
      <c r="BX155" s="72">
        <f t="shared" si="1238"/>
        <v>66</v>
      </c>
      <c r="BY155" s="71">
        <f t="shared" si="1239"/>
        <v>98</v>
      </c>
      <c r="BZ155" s="72">
        <f t="shared" si="1240"/>
        <v>102</v>
      </c>
      <c r="CA155" s="71" t="str">
        <f t="shared" si="1241"/>
        <v>-</v>
      </c>
      <c r="CB155" s="72">
        <f t="shared" si="1242"/>
        <v>146</v>
      </c>
      <c r="CC155" s="71">
        <f t="shared" si="1243"/>
        <v>191</v>
      </c>
      <c r="CD155" s="72">
        <f t="shared" si="1244"/>
        <v>196</v>
      </c>
      <c r="CE155" s="71">
        <f t="shared" si="1245"/>
        <v>266</v>
      </c>
      <c r="CF155" s="72">
        <f t="shared" si="1246"/>
        <v>305</v>
      </c>
      <c r="CG155" s="71">
        <f t="shared" si="1247"/>
        <v>329</v>
      </c>
      <c r="CH155" s="70">
        <f t="shared" si="1248"/>
        <v>61</v>
      </c>
      <c r="CI155" s="71">
        <f t="shared" si="1249"/>
        <v>65</v>
      </c>
      <c r="CJ155" s="72">
        <f t="shared" si="1250"/>
        <v>97</v>
      </c>
      <c r="CK155" s="72">
        <f t="shared" si="1251"/>
        <v>101</v>
      </c>
      <c r="CL155" s="72">
        <f t="shared" si="1252"/>
        <v>137</v>
      </c>
      <c r="CM155" s="72" t="str">
        <f t="shared" si="1253"/>
        <v>-</v>
      </c>
      <c r="CN155" s="72">
        <f t="shared" si="1254"/>
        <v>172</v>
      </c>
      <c r="CO155" s="72">
        <f t="shared" si="1255"/>
        <v>193</v>
      </c>
      <c r="CP155" s="72">
        <f t="shared" si="1256"/>
        <v>230</v>
      </c>
      <c r="CQ155" s="72">
        <f t="shared" si="1257"/>
        <v>300</v>
      </c>
      <c r="CR155" s="72">
        <f t="shared" si="1258"/>
        <v>328</v>
      </c>
      <c r="CS155" s="72">
        <f t="shared" si="1259"/>
        <v>341</v>
      </c>
      <c r="CT155" s="23">
        <f t="shared" si="1260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1233"/>
        <v>adrb2_human_6PS5</v>
      </c>
      <c r="B156" s="3" t="s">
        <v>126</v>
      </c>
      <c r="C156" s="3" t="s">
        <v>1609</v>
      </c>
      <c r="D156" s="3" t="str">
        <f>IFERROR(MID(VLOOKUP($B156,Seqs!$A:$B,2,0),E156,1),"")</f>
        <v>D</v>
      </c>
      <c r="E156" s="3">
        <v>29</v>
      </c>
      <c r="F156" s="3" t="str">
        <f>IFERROR(MID(VLOOKUP($B156,Seqs!$A:$B,2,0),G156,1),"")</f>
        <v>F</v>
      </c>
      <c r="G156" s="3">
        <v>61</v>
      </c>
      <c r="H156" s="3" t="str">
        <f>IFERROR(MID(VLOOKUP($B156,Seqs!$A:$B,2,0),I156,1),"")</f>
        <v>E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T</v>
      </c>
      <c r="M156" s="3">
        <v>66</v>
      </c>
      <c r="N156" s="3" t="str">
        <f>IFERROR(MID(VLOOKUP($B156,Seqs!$A:$B,2,0),O156,1),"")</f>
        <v>M</v>
      </c>
      <c r="O156" s="3">
        <v>96</v>
      </c>
      <c r="P156" s="3" t="str">
        <f>IFERROR(MID(VLOOKUP($B156,Seqs!$A:$B,2,0),Q156,1),"")</f>
        <v>M</v>
      </c>
      <c r="Q156" s="3">
        <v>98</v>
      </c>
      <c r="R156" s="3" t="str">
        <f>IFERROR(MID(VLOOKUP($B156,Seqs!$A:$B,2,0),S156,1),"")</f>
        <v>F</v>
      </c>
      <c r="S156" s="3">
        <v>101</v>
      </c>
      <c r="T156" s="3" t="str">
        <f>IFERROR(MID(VLOOKUP($B156,Seqs!$A:$B,2,0),U156,1),"")</f>
        <v>G</v>
      </c>
      <c r="U156" s="3">
        <v>102</v>
      </c>
      <c r="V156" s="3" t="str">
        <f>IFERROR(MID(VLOOKUP($B156,Seqs!$A:$B,2,0),W156,1),"")</f>
        <v>S</v>
      </c>
      <c r="W156" s="3">
        <v>137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3">
        <v>146</v>
      </c>
      <c r="AD156" s="3" t="str">
        <f>IFERROR(MID(VLOOKUP($B156,Seqs!$A:$B,2,0),AE156,1),"")</f>
        <v>H</v>
      </c>
      <c r="AE156" s="3">
        <v>172</v>
      </c>
      <c r="AF156" s="3" t="str">
        <f>IFERROR(MID(VLOOKUP($B156,Seqs!$A:$B,2,0),AG156,1),"")</f>
        <v>C</v>
      </c>
      <c r="AG156" s="3">
        <v>191</v>
      </c>
      <c r="AH156" s="3" t="str">
        <f>IFERROR(MID(VLOOKUP($B156,Seqs!$A:$B,2,0),AI156,1),"")</f>
        <v>F</v>
      </c>
      <c r="AI156" s="3">
        <v>193</v>
      </c>
      <c r="AJ156" s="3" t="str">
        <f>IFERROR(MID(VLOOKUP($B156,Seqs!$A:$B,2,0),AK156,1),"")</f>
        <v>N</v>
      </c>
      <c r="AK156" s="3">
        <v>196</v>
      </c>
      <c r="AL156" s="3" t="str">
        <f>IFERROR(MID(VLOOKUP($B156,Seqs!$A:$B,2,0),AM156,1),"")</f>
        <v>L</v>
      </c>
      <c r="AM156" s="3">
        <v>230</v>
      </c>
      <c r="AN156" s="3" t="str">
        <f>IFERROR(MID(VLOOKUP($B156,Seqs!$A:$B,2,0),AO156,1),"")</f>
        <v>L</v>
      </c>
      <c r="AO156" s="3">
        <v>266</v>
      </c>
      <c r="AP156" s="3" t="str">
        <f>IFERROR(MID(VLOOKUP($B156,Seqs!$A:$B,2,0),AQ156,1),"")</f>
        <v>D</v>
      </c>
      <c r="AQ156" s="3">
        <v>300</v>
      </c>
      <c r="AR156" s="3" t="str">
        <f>IFERROR(MID(VLOOKUP($B156,Seqs!$A:$B,2,0),AS156,1),"")</f>
        <v>K</v>
      </c>
      <c r="AS156" s="3">
        <v>305</v>
      </c>
      <c r="AT156" s="3" t="str">
        <f>IFERROR(MID(VLOOKUP($B156,Seqs!$A:$B,2,0),AU156,1),"")</f>
        <v>R</v>
      </c>
      <c r="AU156" s="3">
        <v>328</v>
      </c>
      <c r="AV156" s="3" t="str">
        <f>IFERROR(MID(VLOOKUP($B156,Seqs!$A:$B,2,0),AW156,1),"")</f>
        <v>S</v>
      </c>
      <c r="AW156" s="3">
        <v>329</v>
      </c>
      <c r="AX156" s="3" t="str">
        <f>IFERROR(MID(VLOOKUP($B156,Seqs!$A:$B,2,0),AY156,1),"")</f>
        <v>C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Adrenoceptors</v>
      </c>
      <c r="BB156" s="27" t="b">
        <f t="shared" si="1234"/>
        <v>1</v>
      </c>
      <c r="BC156" s="23">
        <f t="shared" si="1235"/>
        <v>246</v>
      </c>
      <c r="BD156" s="74" t="s">
        <v>23</v>
      </c>
      <c r="BE156" s="3" t="s">
        <v>1370</v>
      </c>
      <c r="BF156" s="118">
        <v>2.9</v>
      </c>
      <c r="BG156" s="49" t="s">
        <v>1</v>
      </c>
      <c r="BH156" s="49" t="s">
        <v>1</v>
      </c>
      <c r="BI156" s="1"/>
      <c r="BJ156" s="70" t="s">
        <v>1283</v>
      </c>
      <c r="BK156" s="57" t="s">
        <v>1283</v>
      </c>
      <c r="BL156" s="57" t="s">
        <v>1283</v>
      </c>
      <c r="BM156" s="57" t="s">
        <v>1283</v>
      </c>
      <c r="BN156" s="57" t="s">
        <v>1283</v>
      </c>
      <c r="BO156" s="57" t="s">
        <v>1283</v>
      </c>
      <c r="BP156" s="57" t="s">
        <v>1283</v>
      </c>
      <c r="BQ156" s="57" t="s">
        <v>1283</v>
      </c>
      <c r="BR156" s="57" t="s">
        <v>1283</v>
      </c>
      <c r="BS156" s="57" t="s">
        <v>1283</v>
      </c>
      <c r="BT156" s="57" t="s">
        <v>1283</v>
      </c>
      <c r="BU156" s="57" t="s">
        <v>1283</v>
      </c>
      <c r="BV156" s="70">
        <f t="shared" si="1236"/>
        <v>29</v>
      </c>
      <c r="BW156" s="71">
        <f t="shared" si="1237"/>
        <v>62</v>
      </c>
      <c r="BX156" s="72">
        <f t="shared" si="1238"/>
        <v>66</v>
      </c>
      <c r="BY156" s="71">
        <f t="shared" si="1239"/>
        <v>98</v>
      </c>
      <c r="BZ156" s="72">
        <f t="shared" si="1240"/>
        <v>102</v>
      </c>
      <c r="CA156" s="71" t="str">
        <f t="shared" si="1241"/>
        <v>-</v>
      </c>
      <c r="CB156" s="72">
        <f t="shared" si="1242"/>
        <v>146</v>
      </c>
      <c r="CC156" s="71">
        <f t="shared" si="1243"/>
        <v>191</v>
      </c>
      <c r="CD156" s="72">
        <f t="shared" si="1244"/>
        <v>196</v>
      </c>
      <c r="CE156" s="71">
        <f t="shared" si="1245"/>
        <v>266</v>
      </c>
      <c r="CF156" s="72">
        <f t="shared" si="1246"/>
        <v>305</v>
      </c>
      <c r="CG156" s="71">
        <f t="shared" si="1247"/>
        <v>329</v>
      </c>
      <c r="CH156" s="70">
        <f t="shared" si="1248"/>
        <v>61</v>
      </c>
      <c r="CI156" s="71">
        <f t="shared" si="1249"/>
        <v>65</v>
      </c>
      <c r="CJ156" s="72">
        <f t="shared" si="1250"/>
        <v>96</v>
      </c>
      <c r="CK156" s="72">
        <f t="shared" si="1251"/>
        <v>101</v>
      </c>
      <c r="CL156" s="72">
        <f t="shared" si="1252"/>
        <v>137</v>
      </c>
      <c r="CM156" s="72" t="str">
        <f t="shared" si="1253"/>
        <v>-</v>
      </c>
      <c r="CN156" s="72">
        <f t="shared" si="1254"/>
        <v>172</v>
      </c>
      <c r="CO156" s="72">
        <f t="shared" si="1255"/>
        <v>193</v>
      </c>
      <c r="CP156" s="72">
        <f t="shared" si="1256"/>
        <v>230</v>
      </c>
      <c r="CQ156" s="72">
        <f t="shared" si="1257"/>
        <v>300</v>
      </c>
      <c r="CR156" s="72">
        <f t="shared" si="1258"/>
        <v>328</v>
      </c>
      <c r="CS156" s="72">
        <f t="shared" si="1259"/>
        <v>341</v>
      </c>
      <c r="CT156" s="23">
        <f t="shared" si="126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233"/>
        <v>adrb2_human_6PS6</v>
      </c>
      <c r="B157" s="3" t="s">
        <v>126</v>
      </c>
      <c r="C157" s="3" t="s">
        <v>1610</v>
      </c>
      <c r="D157" s="3" t="str">
        <f>IFERROR(MID(VLOOKUP($B157,Seqs!$A:$B,2,0),E157,1),"")</f>
        <v>D</v>
      </c>
      <c r="E157" s="3">
        <v>29</v>
      </c>
      <c r="F157" s="3" t="str">
        <f>IFERROR(MID(VLOOKUP($B157,Seqs!$A:$B,2,0),G157,1),"")</f>
        <v>F</v>
      </c>
      <c r="G157" s="3">
        <v>61</v>
      </c>
      <c r="H157" s="3" t="str">
        <f>IFERROR(MID(VLOOKUP($B157,Seqs!$A:$B,2,0),I157,1),"")</f>
        <v>E</v>
      </c>
      <c r="I157" s="23">
        <v>62</v>
      </c>
      <c r="J157" s="3" t="str">
        <f>IFERROR(MID(VLOOKUP($B157,Seqs!$A:$B,2,0),K157,1),"")</f>
        <v>Q</v>
      </c>
      <c r="K157" s="23">
        <v>65</v>
      </c>
      <c r="L157" s="3" t="str">
        <f>IFERROR(MID(VLOOKUP($B157,Seqs!$A:$B,2,0),M157,1),"")</f>
        <v>T</v>
      </c>
      <c r="M157" s="3">
        <v>66</v>
      </c>
      <c r="N157" s="3" t="str">
        <f>IFERROR(MID(VLOOKUP($B157,Seqs!$A:$B,2,0),O157,1),"")</f>
        <v>M</v>
      </c>
      <c r="O157" s="3">
        <v>96</v>
      </c>
      <c r="P157" s="3" t="str">
        <f>IFERROR(MID(VLOOKUP($B157,Seqs!$A:$B,2,0),Q157,1),"")</f>
        <v>M</v>
      </c>
      <c r="Q157" s="3">
        <v>98</v>
      </c>
      <c r="R157" s="3" t="str">
        <f>IFERROR(MID(VLOOKUP($B157,Seqs!$A:$B,2,0),S157,1),"")</f>
        <v>F</v>
      </c>
      <c r="S157" s="3">
        <v>101</v>
      </c>
      <c r="T157" s="3" t="str">
        <f>IFERROR(MID(VLOOKUP($B157,Seqs!$A:$B,2,0),U157,1),"")</f>
        <v>G</v>
      </c>
      <c r="U157" s="3">
        <v>102</v>
      </c>
      <c r="V157" s="3" t="str">
        <f>IFERROR(MID(VLOOKUP($B157,Seqs!$A:$B,2,0),W157,1),"")</f>
        <v>S</v>
      </c>
      <c r="W157" s="3">
        <v>137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T</v>
      </c>
      <c r="AC157" s="3">
        <v>146</v>
      </c>
      <c r="AD157" s="3" t="str">
        <f>IFERROR(MID(VLOOKUP($B157,Seqs!$A:$B,2,0),AE157,1),"")</f>
        <v>H</v>
      </c>
      <c r="AE157" s="3">
        <v>172</v>
      </c>
      <c r="AF157" s="3" t="str">
        <f>IFERROR(MID(VLOOKUP($B157,Seqs!$A:$B,2,0),AG157,1),"")</f>
        <v>C</v>
      </c>
      <c r="AG157" s="3">
        <v>191</v>
      </c>
      <c r="AH157" s="3" t="str">
        <f>IFERROR(MID(VLOOKUP($B157,Seqs!$A:$B,2,0),AI157,1),"")</f>
        <v>F</v>
      </c>
      <c r="AI157" s="3">
        <v>193</v>
      </c>
      <c r="AJ157" s="3" t="str">
        <f>IFERROR(MID(VLOOKUP($B157,Seqs!$A:$B,2,0),AK157,1),"")</f>
        <v>N</v>
      </c>
      <c r="AK157" s="3">
        <v>196</v>
      </c>
      <c r="AL157" s="3" t="str">
        <f>IFERROR(MID(VLOOKUP($B157,Seqs!$A:$B,2,0),AM157,1),"")</f>
        <v>L</v>
      </c>
      <c r="AM157" s="3">
        <v>230</v>
      </c>
      <c r="AN157" s="3" t="str">
        <f>IFERROR(MID(VLOOKUP($B157,Seqs!$A:$B,2,0),AO157,1),"")</f>
        <v>L</v>
      </c>
      <c r="AO157" s="3">
        <v>266</v>
      </c>
      <c r="AP157" s="3" t="str">
        <f>IFERROR(MID(VLOOKUP($B157,Seqs!$A:$B,2,0),AQ157,1),"")</f>
        <v>D</v>
      </c>
      <c r="AQ157" s="3">
        <v>300</v>
      </c>
      <c r="AR157" s="3" t="str">
        <f>IFERROR(MID(VLOOKUP($B157,Seqs!$A:$B,2,0),AS157,1),"")</f>
        <v>K</v>
      </c>
      <c r="AS157" s="3">
        <v>305</v>
      </c>
      <c r="AT157" s="3" t="str">
        <f>IFERROR(MID(VLOOKUP($B157,Seqs!$A:$B,2,0),AU157,1),"")</f>
        <v>R</v>
      </c>
      <c r="AU157" s="3">
        <v>328</v>
      </c>
      <c r="AV157" s="3" t="str">
        <f>IFERROR(MID(VLOOKUP($B157,Seqs!$A:$B,2,0),AW157,1),"")</f>
        <v>S</v>
      </c>
      <c r="AW157" s="3">
        <v>329</v>
      </c>
      <c r="AX157" s="3" t="str">
        <f>IFERROR(MID(VLOOKUP($B157,Seqs!$A:$B,2,0),AY157,1),"")</f>
        <v>C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Adrenoceptors</v>
      </c>
      <c r="BB157" s="27" t="b">
        <f t="shared" si="1234"/>
        <v>1</v>
      </c>
      <c r="BC157" s="23">
        <f t="shared" si="1235"/>
        <v>246</v>
      </c>
      <c r="BD157" s="74" t="s">
        <v>23</v>
      </c>
      <c r="BE157" s="3" t="s">
        <v>1370</v>
      </c>
      <c r="BF157" s="118">
        <v>2.7</v>
      </c>
      <c r="BG157" s="49" t="s">
        <v>1</v>
      </c>
      <c r="BH157" s="49" t="s">
        <v>1</v>
      </c>
      <c r="BI157" s="1"/>
      <c r="BJ157" s="70" t="s">
        <v>1283</v>
      </c>
      <c r="BK157" s="57" t="s">
        <v>1283</v>
      </c>
      <c r="BL157" s="57" t="s">
        <v>1283</v>
      </c>
      <c r="BM157" s="57" t="s">
        <v>1283</v>
      </c>
      <c r="BN157" s="57" t="s">
        <v>1283</v>
      </c>
      <c r="BO157" s="57" t="s">
        <v>1283</v>
      </c>
      <c r="BP157" s="57" t="s">
        <v>1283</v>
      </c>
      <c r="BQ157" s="57" t="s">
        <v>1283</v>
      </c>
      <c r="BR157" s="57" t="s">
        <v>1283</v>
      </c>
      <c r="BS157" s="57" t="s">
        <v>1283</v>
      </c>
      <c r="BT157" s="57" t="s">
        <v>1283</v>
      </c>
      <c r="BU157" s="57" t="s">
        <v>1283</v>
      </c>
      <c r="BV157" s="70">
        <f t="shared" si="1236"/>
        <v>29</v>
      </c>
      <c r="BW157" s="71">
        <f t="shared" si="1237"/>
        <v>62</v>
      </c>
      <c r="BX157" s="72">
        <f t="shared" si="1238"/>
        <v>66</v>
      </c>
      <c r="BY157" s="71">
        <f t="shared" si="1239"/>
        <v>98</v>
      </c>
      <c r="BZ157" s="72">
        <f t="shared" si="1240"/>
        <v>102</v>
      </c>
      <c r="CA157" s="71" t="str">
        <f t="shared" si="1241"/>
        <v>-</v>
      </c>
      <c r="CB157" s="72">
        <f t="shared" si="1242"/>
        <v>146</v>
      </c>
      <c r="CC157" s="71">
        <f t="shared" si="1243"/>
        <v>191</v>
      </c>
      <c r="CD157" s="72">
        <f t="shared" si="1244"/>
        <v>196</v>
      </c>
      <c r="CE157" s="71">
        <f t="shared" si="1245"/>
        <v>266</v>
      </c>
      <c r="CF157" s="72">
        <f t="shared" si="1246"/>
        <v>305</v>
      </c>
      <c r="CG157" s="71">
        <f t="shared" si="1247"/>
        <v>329</v>
      </c>
      <c r="CH157" s="70">
        <f t="shared" si="1248"/>
        <v>61</v>
      </c>
      <c r="CI157" s="71">
        <f t="shared" si="1249"/>
        <v>65</v>
      </c>
      <c r="CJ157" s="72">
        <f t="shared" si="1250"/>
        <v>96</v>
      </c>
      <c r="CK157" s="72">
        <f t="shared" si="1251"/>
        <v>101</v>
      </c>
      <c r="CL157" s="72">
        <f t="shared" si="1252"/>
        <v>137</v>
      </c>
      <c r="CM157" s="72" t="str">
        <f t="shared" si="1253"/>
        <v>-</v>
      </c>
      <c r="CN157" s="72">
        <f t="shared" si="1254"/>
        <v>172</v>
      </c>
      <c r="CO157" s="72">
        <f t="shared" si="1255"/>
        <v>193</v>
      </c>
      <c r="CP157" s="72">
        <f t="shared" si="1256"/>
        <v>230</v>
      </c>
      <c r="CQ157" s="72">
        <f t="shared" si="1257"/>
        <v>300</v>
      </c>
      <c r="CR157" s="72">
        <f t="shared" si="1258"/>
        <v>328</v>
      </c>
      <c r="CS157" s="72">
        <f t="shared" si="1259"/>
        <v>341</v>
      </c>
      <c r="CT157" s="23">
        <f t="shared" si="126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>CONCATENATE(B158,"_",C158)</f>
        <v>adrb2_human_6NI3</v>
      </c>
      <c r="B158" s="3" t="s">
        <v>126</v>
      </c>
      <c r="C158" s="3" t="s">
        <v>1613</v>
      </c>
      <c r="D158" s="3" t="str">
        <f>IFERROR(MID(VLOOKUP($B158,Seqs!$A:$B,2,0),E158,1),"")</f>
        <v>V</v>
      </c>
      <c r="E158" s="3">
        <v>31</v>
      </c>
      <c r="F158" s="3" t="str">
        <f>IFERROR(MID(VLOOKUP($B158,Seqs!$A:$B,2,0),G158,1),"")</f>
        <v>K</v>
      </c>
      <c r="G158" s="3">
        <v>60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T</v>
      </c>
      <c r="M158" s="3">
        <v>66</v>
      </c>
      <c r="N158" s="3" t="str">
        <f>IFERROR(MID(VLOOKUP($B158,Seqs!$A:$B,2,0),O158,1),"")</f>
        <v>K</v>
      </c>
      <c r="O158" s="3">
        <v>97</v>
      </c>
      <c r="P158" s="3" t="str">
        <f>IFERROR(MID(VLOOKUP($B158,Seqs!$A:$B,2,0),Q158,1),"")</f>
        <v>M</v>
      </c>
      <c r="Q158" s="3">
        <v>98</v>
      </c>
      <c r="R158" s="3" t="str">
        <f>IFERROR(MID(VLOOKUP($B158,Seqs!$A:$B,2,0),S158,1),"")</f>
        <v>F</v>
      </c>
      <c r="S158" s="3">
        <v>101</v>
      </c>
      <c r="T158" s="3" t="str">
        <f>IFERROR(MID(VLOOKUP($B158,Seqs!$A:$B,2,0),U158,1),"")</f>
        <v>G</v>
      </c>
      <c r="U158" s="3">
        <v>102</v>
      </c>
      <c r="V158" s="3" t="str">
        <f>IFERROR(MID(VLOOKUP($B158,Seqs!$A:$B,2,0),W158,1),"")</f>
        <v>S</v>
      </c>
      <c r="W158" s="3">
        <v>137</v>
      </c>
      <c r="X158" s="3" t="str">
        <f>IFERROR(MID(VLOOKUP($B158,Seqs!$A:$B,2,0),Y158,1),"")</f>
        <v>P</v>
      </c>
      <c r="Y158" s="3">
        <v>138</v>
      </c>
      <c r="Z158" s="3" t="str">
        <f>IFERROR(MID(VLOOKUP($B158,Seqs!$A:$B,2,0),AA158,1),"")</f>
        <v>L</v>
      </c>
      <c r="AA158" s="3">
        <v>145</v>
      </c>
      <c r="AB158" s="3" t="str">
        <f>IFERROR(MID(VLOOKUP($B158,Seqs!$A:$B,2,0),AC158,1),"")</f>
        <v>T</v>
      </c>
      <c r="AC158" s="3">
        <v>146</v>
      </c>
      <c r="AD158" s="3" t="str">
        <f>IFERROR(MID(VLOOKUP($B158,Seqs!$A:$B,2,0),AE158,1),"")</f>
        <v>H</v>
      </c>
      <c r="AE158" s="3">
        <v>172</v>
      </c>
      <c r="AF158" s="3" t="str">
        <f>IFERROR(MID(VLOOKUP($B158,Seqs!$A:$B,2,0),AG158,1),"")</f>
        <v/>
      </c>
      <c r="AG158" s="3" t="s">
        <v>23</v>
      </c>
      <c r="AH158" s="3" t="str">
        <f>IFERROR(MID(VLOOKUP($B158,Seqs!$A:$B,2,0),AI158,1),"")</f>
        <v/>
      </c>
      <c r="AI158" s="3" t="s">
        <v>23</v>
      </c>
      <c r="AJ158" s="3" t="str">
        <f>IFERROR(MID(VLOOKUP($B158,Seqs!$A:$B,2,0),AK158,1),"")</f>
        <v>N</v>
      </c>
      <c r="AK158" s="3">
        <v>196</v>
      </c>
      <c r="AL158" s="3" t="str">
        <f>IFERROR(MID(VLOOKUP($B158,Seqs!$A:$B,2,0),AM158,1),"")</f>
        <v>S</v>
      </c>
      <c r="AM158" s="3">
        <v>236</v>
      </c>
      <c r="AN158" s="3" t="str">
        <f>IFERROR(MID(VLOOKUP($B158,Seqs!$A:$B,2,0),AO158,1),"")</f>
        <v>C</v>
      </c>
      <c r="AO158" s="3">
        <v>265</v>
      </c>
      <c r="AP158" s="3" t="str">
        <f>IFERROR(MID(VLOOKUP($B158,Seqs!$A:$B,2,0),AQ158,1),"")</f>
        <v>Q</v>
      </c>
      <c r="AQ158" s="3">
        <v>299</v>
      </c>
      <c r="AR158" s="3" t="str">
        <f>IFERROR(MID(VLOOKUP($B158,Seqs!$A:$B,2,0),AS158,1),"")</f>
        <v>R</v>
      </c>
      <c r="AS158" s="3">
        <v>304</v>
      </c>
      <c r="AT158" s="3" t="str">
        <f>IFERROR(MID(VLOOKUP($B158,Seqs!$A:$B,2,0),AU158,1),"")</f>
        <v>C</v>
      </c>
      <c r="AU158" s="3">
        <v>327</v>
      </c>
      <c r="AV158" s="3" t="str">
        <f>IFERROR(MID(VLOOKUP($B158,Seqs!$A:$B,2,0),AW158,1),"")</f>
        <v>S</v>
      </c>
      <c r="AW158" s="3">
        <v>329</v>
      </c>
      <c r="AX158" s="3" t="str">
        <f>IFERROR(MID(VLOOKUP($B158,Seqs!$A:$B,2,0),AY158,1),"")</f>
        <v>L</v>
      </c>
      <c r="AY158" s="3">
        <v>340</v>
      </c>
      <c r="AZ158" s="77" t="str">
        <f>VLOOKUP(B158,Classification!A:D,2,0)</f>
        <v>A</v>
      </c>
      <c r="BA158" s="94" t="str">
        <f>VLOOKUP(B158,Classification!A:D,4,0)</f>
        <v>Adrenoceptors</v>
      </c>
      <c r="BB158" s="27" t="b">
        <f t="shared" si="1234"/>
        <v>1</v>
      </c>
      <c r="BC158" s="23">
        <f t="shared" si="1235"/>
        <v>251</v>
      </c>
      <c r="BD158" s="74" t="s">
        <v>23</v>
      </c>
      <c r="BE158" s="3" t="s">
        <v>1370</v>
      </c>
      <c r="BF158" s="118">
        <v>3.8</v>
      </c>
      <c r="BG158" s="49" t="s">
        <v>1418</v>
      </c>
      <c r="BH158" s="49" t="s">
        <v>1418</v>
      </c>
      <c r="BI158" s="1"/>
      <c r="BJ158" s="70" t="s">
        <v>1283</v>
      </c>
      <c r="BK158" s="57" t="s">
        <v>1283</v>
      </c>
      <c r="BL158" s="57" t="s">
        <v>1283</v>
      </c>
      <c r="BM158" s="57" t="s">
        <v>1283</v>
      </c>
      <c r="BN158" s="57" t="s">
        <v>1283</v>
      </c>
      <c r="BO158" s="57" t="s">
        <v>1283</v>
      </c>
      <c r="BP158" s="57" t="s">
        <v>1283</v>
      </c>
      <c r="BQ158" s="57" t="s">
        <v>1283</v>
      </c>
      <c r="BR158" s="57" t="s">
        <v>1283</v>
      </c>
      <c r="BS158" s="57" t="s">
        <v>1283</v>
      </c>
      <c r="BT158" s="57" t="s">
        <v>1283</v>
      </c>
      <c r="BU158" s="57" t="s">
        <v>1283</v>
      </c>
      <c r="BV158" s="70">
        <f t="shared" si="1236"/>
        <v>31</v>
      </c>
      <c r="BW158" s="71" t="str">
        <f t="shared" si="1237"/>
        <v>-</v>
      </c>
      <c r="BX158" s="72">
        <f t="shared" si="1238"/>
        <v>66</v>
      </c>
      <c r="BY158" s="71">
        <f t="shared" si="1239"/>
        <v>98</v>
      </c>
      <c r="BZ158" s="72">
        <f t="shared" si="1240"/>
        <v>102</v>
      </c>
      <c r="CA158" s="71">
        <f t="shared" si="1241"/>
        <v>138</v>
      </c>
      <c r="CB158" s="72">
        <f t="shared" si="1242"/>
        <v>146</v>
      </c>
      <c r="CC158" s="71" t="str">
        <f t="shared" si="1243"/>
        <v>-</v>
      </c>
      <c r="CD158" s="72">
        <f t="shared" si="1244"/>
        <v>196</v>
      </c>
      <c r="CE158" s="71">
        <f t="shared" si="1245"/>
        <v>265</v>
      </c>
      <c r="CF158" s="72">
        <f t="shared" si="1246"/>
        <v>304</v>
      </c>
      <c r="CG158" s="71">
        <f t="shared" si="1247"/>
        <v>329</v>
      </c>
      <c r="CH158" s="70">
        <f t="shared" si="1248"/>
        <v>60</v>
      </c>
      <c r="CI158" s="71" t="str">
        <f t="shared" si="1249"/>
        <v>-</v>
      </c>
      <c r="CJ158" s="72">
        <f t="shared" si="1250"/>
        <v>97</v>
      </c>
      <c r="CK158" s="72">
        <f t="shared" si="1251"/>
        <v>101</v>
      </c>
      <c r="CL158" s="72">
        <f t="shared" si="1252"/>
        <v>137</v>
      </c>
      <c r="CM158" s="72">
        <f t="shared" si="1253"/>
        <v>145</v>
      </c>
      <c r="CN158" s="72">
        <f t="shared" si="1254"/>
        <v>172</v>
      </c>
      <c r="CO158" s="72" t="str">
        <f t="shared" si="1255"/>
        <v>-</v>
      </c>
      <c r="CP158" s="72">
        <f t="shared" si="1256"/>
        <v>236</v>
      </c>
      <c r="CQ158" s="72">
        <f t="shared" si="1257"/>
        <v>299</v>
      </c>
      <c r="CR158" s="72">
        <f t="shared" si="1258"/>
        <v>327</v>
      </c>
      <c r="CS158" s="72">
        <f t="shared" si="1259"/>
        <v>340</v>
      </c>
      <c r="CT158" s="23" t="e">
        <f t="shared" si="1260"/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1231"/>
        <v>agtr1_human__wt</v>
      </c>
      <c r="B159" s="3" t="s">
        <v>158</v>
      </c>
      <c r="C159" s="3" t="s">
        <v>100</v>
      </c>
      <c r="D159" s="3" t="str">
        <f>IFERROR(MID(VLOOKUP($B159,Seqs!$A:$B,2,0),E159,1),"")</f>
        <v>H</v>
      </c>
      <c r="E159" s="3">
        <v>24</v>
      </c>
      <c r="F159" s="3" t="str">
        <f>IFERROR(MID(VLOOKUP($B159,Seqs!$A:$B,2,0),G159,1),"")</f>
        <v>Y</v>
      </c>
      <c r="G159" s="3">
        <v>56</v>
      </c>
      <c r="H159" s="3" t="str">
        <f>IFERROR(MID(VLOOKUP($B159,Seqs!$A:$B,2,0),I159,1),"")</f>
        <v>M</v>
      </c>
      <c r="I159" s="23">
        <v>57</v>
      </c>
      <c r="J159" s="3" t="str">
        <f>IFERROR(MID(VLOOKUP($B159,Seqs!$A:$B,2,0),K159,1),"")</f>
        <v>K</v>
      </c>
      <c r="K159" s="23">
        <v>60</v>
      </c>
      <c r="L159" s="3" t="str">
        <f>IFERROR(MID(VLOOKUP($B159,Seqs!$A:$B,2,0),M159,1),"")</f>
        <v>T</v>
      </c>
      <c r="M159" s="3">
        <v>61</v>
      </c>
      <c r="N159" s="3" t="str">
        <f>IFERROR(MID(VLOOKUP($B159,Seqs!$A:$B,2,0),O159,1),"")</f>
        <v>E</v>
      </c>
      <c r="O159" s="3">
        <v>91</v>
      </c>
      <c r="P159" s="3" t="str">
        <f>IFERROR(MID(VLOOKUP($B159,Seqs!$A:$B,2,0),Q159,1),"")</f>
        <v>R</v>
      </c>
      <c r="Q159" s="3">
        <v>93</v>
      </c>
      <c r="R159" s="3" t="str">
        <f>IFERROR(MID(VLOOKUP($B159,Seqs!$A:$B,2,0),S159,1),"")</f>
        <v>F</v>
      </c>
      <c r="S159" s="3">
        <v>96</v>
      </c>
      <c r="T159" s="3" t="str">
        <f>IFERROR(MID(VLOOKUP($B159,Seqs!$A:$B,2,0),U159,1),"")</f>
        <v>G</v>
      </c>
      <c r="U159" s="3">
        <v>97</v>
      </c>
      <c r="V159" s="3" t="str">
        <f>IFERROR(MID(VLOOKUP($B159,Seqs!$A:$B,2,0),W159,1),"")</f>
        <v>H</v>
      </c>
      <c r="W159" s="3">
        <v>132</v>
      </c>
      <c r="X159" s="3" t="str">
        <f>IFERROR(MID(VLOOKUP($B159,Seqs!$A:$B,2,0),Y159,1),"")</f>
        <v>P</v>
      </c>
      <c r="Y159" s="3">
        <v>133</v>
      </c>
      <c r="Z159" s="3" t="str">
        <f>IFERROR(MID(VLOOKUP($B159,Seqs!$A:$B,2,0),AA159,1),"")</f>
        <v>R</v>
      </c>
      <c r="AA159" s="3">
        <v>140</v>
      </c>
      <c r="AB159" s="3" t="str">
        <f>IFERROR(MID(VLOOKUP($B159,Seqs!$A:$B,2,0),AC159,1),"")</f>
        <v>T</v>
      </c>
      <c r="AC159" s="3">
        <v>141</v>
      </c>
      <c r="AD159" s="3" t="str">
        <f>IFERROR(MID(VLOOKUP($B159,Seqs!$A:$B,2,0),AE159,1),"")</f>
        <v>R</v>
      </c>
      <c r="AE159" s="3">
        <v>167</v>
      </c>
      <c r="AF159" s="3" t="str">
        <f>IFERROR(MID(VLOOKUP($B159,Seqs!$A:$B,2,0),AG159,1),"")</f>
        <v>C</v>
      </c>
      <c r="AG159" s="3">
        <v>180</v>
      </c>
      <c r="AH159" s="3" t="str">
        <f>IFERROR(MID(VLOOKUP($B159,Seqs!$A:$B,2,0),AI159,1),"")</f>
        <v>F</v>
      </c>
      <c r="AI159" s="3">
        <v>182</v>
      </c>
      <c r="AJ159" s="3" t="str">
        <f>IFERROR(MID(VLOOKUP($B159,Seqs!$A:$B,2,0),AK159,1),"")</f>
        <v>L</v>
      </c>
      <c r="AK159" s="3">
        <v>191</v>
      </c>
      <c r="AL159" s="3" t="str">
        <f>IFERROR(MID(VLOOKUP($B159,Seqs!$A:$B,2,0),AM159,1),"")</f>
        <v>A</v>
      </c>
      <c r="AM159" s="3">
        <v>225</v>
      </c>
      <c r="AN159" s="3" t="str">
        <f>IFERROR(MID(VLOOKUP($B159,Seqs!$A:$B,2,0),AO159,1),"")</f>
        <v>P</v>
      </c>
      <c r="AO159" s="3">
        <v>233</v>
      </c>
      <c r="AP159" s="3" t="str">
        <f>IFERROR(MID(VLOOKUP($B159,Seqs!$A:$B,2,0),AQ159,1),"")</f>
        <v>G</v>
      </c>
      <c r="AQ159" s="3">
        <v>269</v>
      </c>
      <c r="AR159" s="3" t="str">
        <f>IFERROR(MID(VLOOKUP($B159,Seqs!$A:$B,2,0),AS159,1),"")</f>
        <v>D</v>
      </c>
      <c r="AS159" s="3">
        <v>273</v>
      </c>
      <c r="AT159" s="3" t="str">
        <f>IFERROR(MID(VLOOKUP($B159,Seqs!$A:$B,2,0),AU159,1),"")</f>
        <v>L</v>
      </c>
      <c r="AU159" s="3">
        <v>305</v>
      </c>
      <c r="AV159" s="3" t="str">
        <f>IFERROR(MID(VLOOKUP($B159,Seqs!$A:$B,2,0),AW159,1),"")</f>
        <v>G</v>
      </c>
      <c r="AW159" s="3">
        <v>306</v>
      </c>
      <c r="AX159" s="3" t="str">
        <f>IFERROR(MID(VLOOKUP($B159,Seqs!$A:$B,2,0),AY159,1),"")</f>
        <v>I</v>
      </c>
      <c r="AY159" s="3">
        <v>320</v>
      </c>
      <c r="AZ159" s="77" t="str">
        <f>VLOOKUP(B159,Classification!A:D,2,0)</f>
        <v>A</v>
      </c>
      <c r="BA159" s="94" t="str">
        <f>VLOOKUP(B159,Classification!A:D,4,0)</f>
        <v>Angiotensin</v>
      </c>
      <c r="BB159" s="27" t="b">
        <f t="shared" si="1232"/>
        <v>1</v>
      </c>
      <c r="BC159" s="23">
        <f t="shared" si="981"/>
        <v>266</v>
      </c>
      <c r="BD159" s="56" t="s">
        <v>23</v>
      </c>
      <c r="BE159" s="3" t="s">
        <v>23</v>
      </c>
      <c r="BF159" s="118" t="s">
        <v>23</v>
      </c>
      <c r="BG159" s="49" t="s">
        <v>1368</v>
      </c>
      <c r="BH159" s="49" t="s">
        <v>1373</v>
      </c>
      <c r="BI159" s="1"/>
      <c r="BJ159" s="70" t="s">
        <v>1283</v>
      </c>
      <c r="BK159" s="57" t="s">
        <v>1283</v>
      </c>
      <c r="BL159" s="57" t="s">
        <v>1283</v>
      </c>
      <c r="BM159" s="57" t="s">
        <v>1283</v>
      </c>
      <c r="BN159" s="57" t="s">
        <v>1283</v>
      </c>
      <c r="BO159" s="57" t="s">
        <v>1283</v>
      </c>
      <c r="BP159" s="57" t="s">
        <v>1283</v>
      </c>
      <c r="BQ159" s="57" t="s">
        <v>1283</v>
      </c>
      <c r="BR159" s="57" t="s">
        <v>1283</v>
      </c>
      <c r="BS159" s="57" t="s">
        <v>1283</v>
      </c>
      <c r="BT159" s="57" t="s">
        <v>1283</v>
      </c>
      <c r="BU159" s="57" t="s">
        <v>1283</v>
      </c>
      <c r="BV159" s="70">
        <f t="shared" si="982"/>
        <v>24</v>
      </c>
      <c r="BW159" s="71">
        <f t="shared" si="983"/>
        <v>57</v>
      </c>
      <c r="BX159" s="72">
        <f t="shared" si="984"/>
        <v>61</v>
      </c>
      <c r="BY159" s="71">
        <f t="shared" si="985"/>
        <v>93</v>
      </c>
      <c r="BZ159" s="72">
        <f t="shared" si="986"/>
        <v>97</v>
      </c>
      <c r="CA159" s="71">
        <f t="shared" si="987"/>
        <v>133</v>
      </c>
      <c r="CB159" s="72">
        <f t="shared" si="988"/>
        <v>141</v>
      </c>
      <c r="CC159" s="71">
        <f t="shared" si="989"/>
        <v>180</v>
      </c>
      <c r="CD159" s="72">
        <f t="shared" si="990"/>
        <v>191</v>
      </c>
      <c r="CE159" s="71">
        <f t="shared" si="991"/>
        <v>233</v>
      </c>
      <c r="CF159" s="72">
        <f t="shared" si="992"/>
        <v>273</v>
      </c>
      <c r="CG159" s="71">
        <f t="shared" si="993"/>
        <v>306</v>
      </c>
      <c r="CH159" s="70">
        <f t="shared" si="994"/>
        <v>56</v>
      </c>
      <c r="CI159" s="71">
        <f t="shared" si="995"/>
        <v>60</v>
      </c>
      <c r="CJ159" s="72">
        <f t="shared" si="996"/>
        <v>91</v>
      </c>
      <c r="CK159" s="72">
        <f t="shared" si="997"/>
        <v>96</v>
      </c>
      <c r="CL159" s="72">
        <f t="shared" si="998"/>
        <v>132</v>
      </c>
      <c r="CM159" s="72">
        <f t="shared" si="999"/>
        <v>140</v>
      </c>
      <c r="CN159" s="72">
        <f t="shared" si="1000"/>
        <v>167</v>
      </c>
      <c r="CO159" s="72">
        <f t="shared" si="1001"/>
        <v>182</v>
      </c>
      <c r="CP159" s="72">
        <f t="shared" si="1002"/>
        <v>225</v>
      </c>
      <c r="CQ159" s="72">
        <f t="shared" si="1003"/>
        <v>269</v>
      </c>
      <c r="CR159" s="72">
        <f t="shared" si="1004"/>
        <v>305</v>
      </c>
      <c r="CS159" s="72">
        <f t="shared" si="1005"/>
        <v>320</v>
      </c>
      <c r="CT159" s="23">
        <f t="shared" si="1006"/>
        <v>1</v>
      </c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</row>
    <row r="160" spans="1:1029" x14ac:dyDescent="0.2">
      <c r="A160" s="3" t="str">
        <f t="shared" si="1231"/>
        <v>agtr1_human_4YAY</v>
      </c>
      <c r="B160" s="3" t="s">
        <v>158</v>
      </c>
      <c r="C160" s="3" t="s">
        <v>69</v>
      </c>
      <c r="D160" s="3" t="str">
        <f>IFERROR(MID(VLOOKUP($B160,Seqs!$A:$B,2,0),E160,1),"")</f>
        <v>Y</v>
      </c>
      <c r="E160" s="3">
        <v>26</v>
      </c>
      <c r="F160" s="3" t="str">
        <f>IFERROR(MID(VLOOKUP($B160,Seqs!$A:$B,2,0),G160,1),"")</f>
        <v>Y</v>
      </c>
      <c r="G160" s="3">
        <v>56</v>
      </c>
      <c r="H160" s="3" t="str">
        <f>IFERROR(MID(VLOOKUP($B160,Seqs!$A:$B,2,0),I160,1),"")</f>
        <v>M</v>
      </c>
      <c r="I160" s="23">
        <v>57</v>
      </c>
      <c r="J160" s="3" t="str">
        <f>IFERROR(MID(VLOOKUP($B160,Seqs!$A:$B,2,0),K160,1),"")</f>
        <v>K</v>
      </c>
      <c r="K160" s="23">
        <v>60</v>
      </c>
      <c r="L160" s="3" t="str">
        <f>IFERROR(MID(VLOOKUP($B160,Seqs!$A:$B,2,0),M160,1),"")</f>
        <v>T</v>
      </c>
      <c r="M160" s="3">
        <v>61</v>
      </c>
      <c r="N160" s="3" t="str">
        <f>IFERROR(MID(VLOOKUP($B160,Seqs!$A:$B,2,0),O160,1),"")</f>
        <v>E</v>
      </c>
      <c r="O160" s="3">
        <v>91</v>
      </c>
      <c r="P160" s="3" t="str">
        <f>IFERROR(MID(VLOOKUP($B160,Seqs!$A:$B,2,0),Q160,1),"")</f>
        <v>R</v>
      </c>
      <c r="Q160" s="3">
        <v>93</v>
      </c>
      <c r="R160" s="3" t="str">
        <f>IFERROR(MID(VLOOKUP($B160,Seqs!$A:$B,2,0),S160,1),"")</f>
        <v>F</v>
      </c>
      <c r="S160" s="3">
        <v>96</v>
      </c>
      <c r="T160" s="3" t="str">
        <f>IFERROR(MID(VLOOKUP($B160,Seqs!$A:$B,2,0),U160,1),"")</f>
        <v>G</v>
      </c>
      <c r="U160" s="3">
        <v>97</v>
      </c>
      <c r="V160" s="3" t="str">
        <f>IFERROR(MID(VLOOKUP($B160,Seqs!$A:$B,2,0),W160,1),"")</f>
        <v>H</v>
      </c>
      <c r="W160" s="3">
        <v>132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R</v>
      </c>
      <c r="AC160" s="3">
        <v>137</v>
      </c>
      <c r="AD160" s="3" t="str">
        <f>IFERROR(MID(VLOOKUP($B160,Seqs!$A:$B,2,0),AE160,1),"")</f>
        <v>R</v>
      </c>
      <c r="AE160" s="3">
        <v>167</v>
      </c>
      <c r="AF160" s="3" t="str">
        <f>IFERROR(MID(VLOOKUP($B160,Seqs!$A:$B,2,0),AG160,1),"")</f>
        <v>C</v>
      </c>
      <c r="AG160" s="3">
        <v>180</v>
      </c>
      <c r="AH160" s="3" t="str">
        <f>IFERROR(MID(VLOOKUP($B160,Seqs!$A:$B,2,0),AI160,1),"")</f>
        <v>F</v>
      </c>
      <c r="AI160" s="3">
        <v>182</v>
      </c>
      <c r="AJ160" s="3" t="str">
        <f>IFERROR(MID(VLOOKUP($B160,Seqs!$A:$B,2,0),AK160,1),"")</f>
        <v>L</v>
      </c>
      <c r="AK160" s="3">
        <v>191</v>
      </c>
      <c r="AL160" s="3" t="str">
        <f>IFERROR(MID(VLOOKUP($B160,Seqs!$A:$B,2,0),AM160,1),"")</f>
        <v>L</v>
      </c>
      <c r="AM160" s="3">
        <v>222</v>
      </c>
      <c r="AN160" s="3" t="str">
        <f>IFERROR(MID(VLOOKUP($B160,Seqs!$A:$B,2,0),AO160,1),"")</f>
        <v>N</v>
      </c>
      <c r="AO160" s="3">
        <v>235</v>
      </c>
      <c r="AP160" s="3" t="str">
        <f>IFERROR(MID(VLOOKUP($B160,Seqs!$A:$B,2,0),AQ160,1),"")</f>
        <v>G</v>
      </c>
      <c r="AQ160" s="3">
        <v>269</v>
      </c>
      <c r="AR160" s="3" t="str">
        <f>IFERROR(MID(VLOOKUP($B160,Seqs!$A:$B,2,0),AS160,1),"")</f>
        <v>D</v>
      </c>
      <c r="AS160" s="3">
        <v>273</v>
      </c>
      <c r="AT160" s="3" t="str">
        <f>IFERROR(MID(VLOOKUP($B160,Seqs!$A:$B,2,0),AU160,1),"")</f>
        <v>N</v>
      </c>
      <c r="AU160" s="3">
        <v>298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Angiotensin</v>
      </c>
      <c r="BB160" s="27" t="b">
        <f t="shared" si="1232"/>
        <v>1</v>
      </c>
      <c r="BC160" s="23">
        <f t="shared" si="981"/>
        <v>235</v>
      </c>
      <c r="BD160" s="4" t="s">
        <v>23</v>
      </c>
      <c r="BE160" s="3" t="s">
        <v>1370</v>
      </c>
      <c r="BF160" s="118">
        <v>2.9</v>
      </c>
      <c r="BG160" s="49" t="s">
        <v>1373</v>
      </c>
      <c r="BH160" s="49" t="s">
        <v>1373</v>
      </c>
      <c r="BI160" s="1"/>
      <c r="BJ160" s="70" t="s">
        <v>1283</v>
      </c>
      <c r="BK160" s="57" t="s">
        <v>1283</v>
      </c>
      <c r="BL160" s="57" t="s">
        <v>1283</v>
      </c>
      <c r="BM160" s="57" t="s">
        <v>1283</v>
      </c>
      <c r="BN160" s="57" t="s">
        <v>1283</v>
      </c>
      <c r="BO160" s="57" t="s">
        <v>1283</v>
      </c>
      <c r="BP160" s="57" t="s">
        <v>1283</v>
      </c>
      <c r="BQ160" s="57" t="s">
        <v>1283</v>
      </c>
      <c r="BR160" s="57" t="s">
        <v>1283</v>
      </c>
      <c r="BS160" s="57" t="s">
        <v>1283</v>
      </c>
      <c r="BT160" s="57" t="s">
        <v>1283</v>
      </c>
      <c r="BU160" s="57" t="s">
        <v>1283</v>
      </c>
      <c r="BV160" s="70">
        <f t="shared" si="982"/>
        <v>26</v>
      </c>
      <c r="BW160" s="71">
        <f t="shared" si="983"/>
        <v>57</v>
      </c>
      <c r="BX160" s="72">
        <f t="shared" si="984"/>
        <v>61</v>
      </c>
      <c r="BY160" s="71">
        <f t="shared" si="985"/>
        <v>93</v>
      </c>
      <c r="BZ160" s="72">
        <f t="shared" si="986"/>
        <v>97</v>
      </c>
      <c r="CA160" s="71" t="str">
        <f t="shared" si="987"/>
        <v>-</v>
      </c>
      <c r="CB160" s="72">
        <f t="shared" si="988"/>
        <v>137</v>
      </c>
      <c r="CC160" s="71">
        <f t="shared" si="989"/>
        <v>180</v>
      </c>
      <c r="CD160" s="72">
        <f t="shared" si="990"/>
        <v>191</v>
      </c>
      <c r="CE160" s="71">
        <f t="shared" si="991"/>
        <v>235</v>
      </c>
      <c r="CF160" s="72">
        <f t="shared" si="992"/>
        <v>273</v>
      </c>
      <c r="CG160" s="71" t="str">
        <f t="shared" si="993"/>
        <v>-</v>
      </c>
      <c r="CH160" s="70">
        <f t="shared" si="994"/>
        <v>56</v>
      </c>
      <c r="CI160" s="71">
        <f t="shared" si="995"/>
        <v>60</v>
      </c>
      <c r="CJ160" s="72">
        <f t="shared" si="996"/>
        <v>91</v>
      </c>
      <c r="CK160" s="72">
        <f t="shared" si="997"/>
        <v>96</v>
      </c>
      <c r="CL160" s="72">
        <f t="shared" si="998"/>
        <v>132</v>
      </c>
      <c r="CM160" s="72" t="str">
        <f t="shared" si="999"/>
        <v>-</v>
      </c>
      <c r="CN160" s="72">
        <f t="shared" si="1000"/>
        <v>167</v>
      </c>
      <c r="CO160" s="72">
        <f t="shared" si="1001"/>
        <v>182</v>
      </c>
      <c r="CP160" s="72">
        <f t="shared" si="1002"/>
        <v>222</v>
      </c>
      <c r="CQ160" s="72">
        <f t="shared" si="1003"/>
        <v>269</v>
      </c>
      <c r="CR160" s="72">
        <f t="shared" si="1004"/>
        <v>298</v>
      </c>
      <c r="CS160" s="72" t="str">
        <f t="shared" si="1005"/>
        <v>-</v>
      </c>
      <c r="CT160" s="23">
        <f t="shared" si="1006"/>
        <v>1</v>
      </c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</row>
    <row r="161" spans="1:1029" x14ac:dyDescent="0.2">
      <c r="A161" s="3" t="str">
        <f t="shared" si="1231"/>
        <v>agtr1_human_4YAY_dist</v>
      </c>
      <c r="B161" s="3" t="s">
        <v>158</v>
      </c>
      <c r="C161" s="3" t="s">
        <v>1155</v>
      </c>
      <c r="D161" s="3" t="str">
        <f>IFERROR(MID(VLOOKUP($B161,Seqs!$A:$B,2,0),E161,1),"")</f>
        <v>Y</v>
      </c>
      <c r="E161" s="3">
        <v>26</v>
      </c>
      <c r="F161" s="3" t="str">
        <f>IFERROR(MID(VLOOKUP($B161,Seqs!$A:$B,2,0),G161,1),"")</f>
        <v>Y</v>
      </c>
      <c r="G161" s="3">
        <v>56</v>
      </c>
      <c r="H161" s="3" t="str">
        <f>IFERROR(MID(VLOOKUP($B161,Seqs!$A:$B,2,0),I161,1),"")</f>
        <v>M</v>
      </c>
      <c r="I161" s="23">
        <v>57</v>
      </c>
      <c r="J161" s="3" t="str">
        <f>IFERROR(MID(VLOOKUP($B161,Seqs!$A:$B,2,0),K161,1),"")</f>
        <v>K</v>
      </c>
      <c r="K161" s="23">
        <v>60</v>
      </c>
      <c r="L161" s="3" t="str">
        <f>IFERROR(MID(VLOOKUP($B161,Seqs!$A:$B,2,0),M161,1),"")</f>
        <v>T</v>
      </c>
      <c r="M161" s="3">
        <v>61</v>
      </c>
      <c r="N161" s="3" t="str">
        <f>IFERROR(MID(VLOOKUP($B161,Seqs!$A:$B,2,0),O161,1),"")</f>
        <v>E</v>
      </c>
      <c r="O161" s="3">
        <v>91</v>
      </c>
      <c r="P161" s="3" t="str">
        <f>IFERROR(MID(VLOOKUP($B161,Seqs!$A:$B,2,0),Q161,1),"")</f>
        <v>R</v>
      </c>
      <c r="Q161" s="3">
        <v>93</v>
      </c>
      <c r="R161" s="3" t="str">
        <f>IFERROR(MID(VLOOKUP($B161,Seqs!$A:$B,2,0),S161,1),"")</f>
        <v>F</v>
      </c>
      <c r="S161" s="3">
        <v>96</v>
      </c>
      <c r="T161" s="3" t="str">
        <f>IFERROR(MID(VLOOKUP($B161,Seqs!$A:$B,2,0),U161,1),"")</f>
        <v>G</v>
      </c>
      <c r="U161" s="3">
        <v>97</v>
      </c>
      <c r="V161" s="3" t="str">
        <f>IFERROR(MID(VLOOKUP($B161,Seqs!$A:$B,2,0),W161,1),"")</f>
        <v>H</v>
      </c>
      <c r="W161" s="3">
        <v>132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R</v>
      </c>
      <c r="AC161" s="3">
        <v>137</v>
      </c>
      <c r="AD161" s="3" t="str">
        <f>IFERROR(MID(VLOOKUP($B161,Seqs!$A:$B,2,0),AE161,1),"")</f>
        <v>R</v>
      </c>
      <c r="AE161" s="3">
        <v>167</v>
      </c>
      <c r="AF161" s="3" t="str">
        <f>IFERROR(MID(VLOOKUP($B161,Seqs!$A:$B,2,0),AG161,1),"")</f>
        <v>C</v>
      </c>
      <c r="AG161" s="3">
        <v>180</v>
      </c>
      <c r="AH161" s="3" t="str">
        <f>IFERROR(MID(VLOOKUP($B161,Seqs!$A:$B,2,0),AI161,1),"")</f>
        <v>F</v>
      </c>
      <c r="AI161" s="3">
        <v>182</v>
      </c>
      <c r="AJ161" s="3" t="str">
        <f>IFERROR(MID(VLOOKUP($B161,Seqs!$A:$B,2,0),AK161,1),"")</f>
        <v>L</v>
      </c>
      <c r="AK161" s="3">
        <v>191</v>
      </c>
      <c r="AL161" s="3" t="str">
        <f>IFERROR(MID(VLOOKUP($B161,Seqs!$A:$B,2,0),AM161,1),"")</f>
        <v>L</v>
      </c>
      <c r="AM161" s="3">
        <v>222</v>
      </c>
      <c r="AN161" s="3" t="str">
        <f>IFERROR(MID(VLOOKUP($B161,Seqs!$A:$B,2,0),AO161,1),"")</f>
        <v>N</v>
      </c>
      <c r="AO161" s="3">
        <v>235</v>
      </c>
      <c r="AP161" s="3" t="str">
        <f>IFERROR(MID(VLOOKUP($B161,Seqs!$A:$B,2,0),AQ161,1),"")</f>
        <v>G</v>
      </c>
      <c r="AQ161" s="3">
        <v>269</v>
      </c>
      <c r="AR161" s="3" t="str">
        <f>IFERROR(MID(VLOOKUP($B161,Seqs!$A:$B,2,0),AS161,1),"")</f>
        <v>D</v>
      </c>
      <c r="AS161" s="3">
        <v>273</v>
      </c>
      <c r="AT161" s="3" t="str">
        <f>IFERROR(MID(VLOOKUP($B161,Seqs!$A:$B,2,0),AU161,1),"")</f>
        <v>F</v>
      </c>
      <c r="AU161" s="3">
        <v>304</v>
      </c>
      <c r="AV161" s="3" t="str">
        <f>IFERROR(MID(VLOOKUP($B161,Seqs!$A:$B,2,0),AW161,1),"")</f>
        <v>G</v>
      </c>
      <c r="AW161" s="3">
        <v>306</v>
      </c>
      <c r="AX161" s="3" t="str">
        <f>IFERROR(MID(VLOOKUP($B161,Seqs!$A:$B,2,0),AY161,1),"")</f>
        <v>L</v>
      </c>
      <c r="AY161" s="3">
        <v>317</v>
      </c>
      <c r="AZ161" s="77" t="str">
        <f>VLOOKUP(B161,Classification!A:D,2,0)</f>
        <v>A</v>
      </c>
      <c r="BA161" s="94" t="str">
        <f>VLOOKUP(B161,Classification!A:D,4,0)</f>
        <v>Angiotensin</v>
      </c>
      <c r="BB161" s="27" t="b">
        <f t="shared" si="1232"/>
        <v>1</v>
      </c>
      <c r="BC161" s="23">
        <f t="shared" si="981"/>
        <v>252</v>
      </c>
      <c r="BD161" s="5"/>
      <c r="BE161" s="3" t="s">
        <v>1370</v>
      </c>
      <c r="BF161" s="118">
        <v>2.9</v>
      </c>
      <c r="BG161" s="49" t="s">
        <v>1373</v>
      </c>
      <c r="BH161" s="49" t="s">
        <v>1373</v>
      </c>
      <c r="BI161" s="1"/>
      <c r="BJ161" s="70" t="s">
        <v>1283</v>
      </c>
      <c r="BK161" s="57" t="s">
        <v>1283</v>
      </c>
      <c r="BL161" s="57" t="s">
        <v>1283</v>
      </c>
      <c r="BM161" s="57" t="s">
        <v>1283</v>
      </c>
      <c r="BN161" s="57" t="s">
        <v>1283</v>
      </c>
      <c r="BO161" s="57" t="s">
        <v>1283</v>
      </c>
      <c r="BP161" s="57" t="s">
        <v>1283</v>
      </c>
      <c r="BQ161" s="57" t="s">
        <v>1283</v>
      </c>
      <c r="BR161" s="57" t="s">
        <v>1283</v>
      </c>
      <c r="BS161" s="57" t="s">
        <v>1283</v>
      </c>
      <c r="BT161" s="57" t="s">
        <v>1283</v>
      </c>
      <c r="BU161" s="57" t="s">
        <v>1283</v>
      </c>
      <c r="BV161" s="70">
        <f t="shared" si="982"/>
        <v>26</v>
      </c>
      <c r="BW161" s="71">
        <f t="shared" si="983"/>
        <v>57</v>
      </c>
      <c r="BX161" s="72">
        <f t="shared" si="984"/>
        <v>61</v>
      </c>
      <c r="BY161" s="71">
        <f t="shared" si="985"/>
        <v>93</v>
      </c>
      <c r="BZ161" s="72">
        <f t="shared" si="986"/>
        <v>97</v>
      </c>
      <c r="CA161" s="71" t="str">
        <f t="shared" si="987"/>
        <v>-</v>
      </c>
      <c r="CB161" s="72">
        <f t="shared" si="988"/>
        <v>137</v>
      </c>
      <c r="CC161" s="71">
        <f t="shared" si="989"/>
        <v>180</v>
      </c>
      <c r="CD161" s="72">
        <f t="shared" si="990"/>
        <v>191</v>
      </c>
      <c r="CE161" s="71">
        <f t="shared" si="991"/>
        <v>235</v>
      </c>
      <c r="CF161" s="72">
        <f t="shared" si="992"/>
        <v>273</v>
      </c>
      <c r="CG161" s="71">
        <f t="shared" si="993"/>
        <v>306</v>
      </c>
      <c r="CH161" s="70">
        <f t="shared" si="994"/>
        <v>56</v>
      </c>
      <c r="CI161" s="71">
        <f t="shared" si="995"/>
        <v>60</v>
      </c>
      <c r="CJ161" s="72">
        <f t="shared" si="996"/>
        <v>91</v>
      </c>
      <c r="CK161" s="72">
        <f t="shared" si="997"/>
        <v>96</v>
      </c>
      <c r="CL161" s="72">
        <f t="shared" si="998"/>
        <v>132</v>
      </c>
      <c r="CM161" s="72" t="str">
        <f t="shared" si="999"/>
        <v>-</v>
      </c>
      <c r="CN161" s="72">
        <f t="shared" si="1000"/>
        <v>167</v>
      </c>
      <c r="CO161" s="72">
        <f t="shared" si="1001"/>
        <v>182</v>
      </c>
      <c r="CP161" s="72">
        <f t="shared" si="1002"/>
        <v>222</v>
      </c>
      <c r="CQ161" s="72">
        <f t="shared" si="1003"/>
        <v>269</v>
      </c>
      <c r="CR161" s="72">
        <f t="shared" si="1004"/>
        <v>304</v>
      </c>
      <c r="CS161" s="72">
        <f t="shared" si="1005"/>
        <v>317</v>
      </c>
      <c r="CT161" s="23">
        <f t="shared" si="1006"/>
        <v>1</v>
      </c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</row>
    <row r="162" spans="1:1029" x14ac:dyDescent="0.2">
      <c r="A162" s="3" t="str">
        <f t="shared" si="1231"/>
        <v>agtr1_human_4ZUD</v>
      </c>
      <c r="B162" s="3" t="s">
        <v>158</v>
      </c>
      <c r="C162" s="3" t="s">
        <v>1332</v>
      </c>
      <c r="D162" s="3" t="str">
        <f>IFERROR(MID(VLOOKUP($B162,Seqs!$A:$B,2,0),E162,1),"")</f>
        <v>H</v>
      </c>
      <c r="E162" s="3">
        <v>24</v>
      </c>
      <c r="F162" s="3" t="str">
        <f>IFERROR(MID(VLOOKUP($B162,Seqs!$A:$B,2,0),G162,1),"")</f>
        <v>Y</v>
      </c>
      <c r="G162" s="3">
        <v>56</v>
      </c>
      <c r="H162" s="3" t="str">
        <f>IFERROR(MID(VLOOKUP($B162,Seqs!$A:$B,2,0),I162,1),"")</f>
        <v>M</v>
      </c>
      <c r="I162" s="23">
        <v>57</v>
      </c>
      <c r="J162" s="3" t="str">
        <f>IFERROR(MID(VLOOKUP($B162,Seqs!$A:$B,2,0),K162,1),"")</f>
        <v>K</v>
      </c>
      <c r="K162" s="23">
        <v>60</v>
      </c>
      <c r="L162" s="3" t="str">
        <f>IFERROR(MID(VLOOKUP($B162,Seqs!$A:$B,2,0),M162,1),"")</f>
        <v>T</v>
      </c>
      <c r="M162" s="3">
        <v>61</v>
      </c>
      <c r="N162" s="3" t="str">
        <f>IFERROR(MID(VLOOKUP($B162,Seqs!$A:$B,2,0),O162,1),"")</f>
        <v>E</v>
      </c>
      <c r="O162" s="3">
        <v>91</v>
      </c>
      <c r="P162" s="3" t="str">
        <f>IFERROR(MID(VLOOKUP($B162,Seqs!$A:$B,2,0),Q162,1),"")</f>
        <v>R</v>
      </c>
      <c r="Q162" s="3">
        <v>93</v>
      </c>
      <c r="R162" s="3" t="str">
        <f>IFERROR(MID(VLOOKUP($B162,Seqs!$A:$B,2,0),S162,1),"")</f>
        <v>F</v>
      </c>
      <c r="S162" s="3">
        <v>96</v>
      </c>
      <c r="T162" s="3" t="str">
        <f>IFERROR(MID(VLOOKUP($B162,Seqs!$A:$B,2,0),U162,1),"")</f>
        <v>G</v>
      </c>
      <c r="U162" s="3">
        <v>97</v>
      </c>
      <c r="V162" s="3" t="str">
        <f>IFERROR(MID(VLOOKUP($B162,Seqs!$A:$B,2,0),W162,1),"")</f>
        <v>H</v>
      </c>
      <c r="W162" s="3">
        <v>132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M</v>
      </c>
      <c r="AC162" s="3">
        <v>142</v>
      </c>
      <c r="AD162" s="3" t="str">
        <f>IFERROR(MID(VLOOKUP($B162,Seqs!$A:$B,2,0),AE162,1),"")</f>
        <v>R</v>
      </c>
      <c r="AE162" s="3">
        <v>167</v>
      </c>
      <c r="AF162" s="3" t="str">
        <f>IFERROR(MID(VLOOKUP($B162,Seqs!$A:$B,2,0),AG162,1),"")</f>
        <v>C</v>
      </c>
      <c r="AG162" s="3">
        <v>180</v>
      </c>
      <c r="AH162" s="3" t="str">
        <f>IFERROR(MID(VLOOKUP($B162,Seqs!$A:$B,2,0),AI162,1),"")</f>
        <v>F</v>
      </c>
      <c r="AI162" s="3">
        <v>182</v>
      </c>
      <c r="AJ162" s="3" t="str">
        <f>IFERROR(MID(VLOOKUP($B162,Seqs!$A:$B,2,0),AK162,1),"")</f>
        <v>L</v>
      </c>
      <c r="AK162" s="3">
        <v>191</v>
      </c>
      <c r="AL162" s="3" t="str">
        <f>IFERROR(MID(VLOOKUP($B162,Seqs!$A:$B,2,0),AM162,1),"")</f>
        <v>L</v>
      </c>
      <c r="AM162" s="3">
        <v>222</v>
      </c>
      <c r="AN162" s="3" t="str">
        <f>IFERROR(MID(VLOOKUP($B162,Seqs!$A:$B,2,0),AO162,1),"")</f>
        <v>D</v>
      </c>
      <c r="AO162" s="3">
        <v>236</v>
      </c>
      <c r="AP162" s="3" t="str">
        <f>IFERROR(MID(VLOOKUP($B162,Seqs!$A:$B,2,0),AQ162,1),"")</f>
        <v>G</v>
      </c>
      <c r="AQ162" s="3">
        <v>269</v>
      </c>
      <c r="AR162" s="3" t="str">
        <f>IFERROR(MID(VLOOKUP($B162,Seqs!$A:$B,2,0),AS162,1),"")</f>
        <v>D</v>
      </c>
      <c r="AS162" s="3">
        <v>273</v>
      </c>
      <c r="AT162" s="3" t="str">
        <f>IFERROR(MID(VLOOKUP($B162,Seqs!$A:$B,2,0),AU162,1),"")</f>
        <v>F</v>
      </c>
      <c r="AU162" s="3">
        <v>304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Angiotensin</v>
      </c>
      <c r="BB162" s="27" t="b">
        <f t="shared" si="1232"/>
        <v>1</v>
      </c>
      <c r="BC162" s="23">
        <f t="shared" si="981"/>
        <v>237</v>
      </c>
      <c r="BD162" s="2" t="s">
        <v>1372</v>
      </c>
      <c r="BE162" s="3" t="s">
        <v>1370</v>
      </c>
      <c r="BF162" s="118">
        <v>2.8</v>
      </c>
      <c r="BG162" s="49" t="s">
        <v>1373</v>
      </c>
      <c r="BH162" s="49" t="s">
        <v>1373</v>
      </c>
      <c r="BI162" s="1"/>
      <c r="BJ162" s="70" t="s">
        <v>1283</v>
      </c>
      <c r="BK162" s="57" t="s">
        <v>1283</v>
      </c>
      <c r="BL162" s="57" t="s">
        <v>1283</v>
      </c>
      <c r="BM162" s="57" t="s">
        <v>1283</v>
      </c>
      <c r="BN162" s="57" t="s">
        <v>1283</v>
      </c>
      <c r="BO162" s="57" t="s">
        <v>1283</v>
      </c>
      <c r="BP162" s="57" t="s">
        <v>1283</v>
      </c>
      <c r="BQ162" s="57" t="s">
        <v>1283</v>
      </c>
      <c r="BR162" s="57" t="s">
        <v>1283</v>
      </c>
      <c r="BS162" s="57" t="s">
        <v>1283</v>
      </c>
      <c r="BT162" s="57" t="s">
        <v>1283</v>
      </c>
      <c r="BU162" s="57" t="s">
        <v>1283</v>
      </c>
      <c r="BV162" s="70">
        <f t="shared" si="982"/>
        <v>24</v>
      </c>
      <c r="BW162" s="71">
        <f t="shared" si="983"/>
        <v>57</v>
      </c>
      <c r="BX162" s="72">
        <f t="shared" si="984"/>
        <v>61</v>
      </c>
      <c r="BY162" s="71">
        <f t="shared" si="985"/>
        <v>93</v>
      </c>
      <c r="BZ162" s="72">
        <f t="shared" si="986"/>
        <v>97</v>
      </c>
      <c r="CA162" s="71" t="str">
        <f t="shared" si="987"/>
        <v>-</v>
      </c>
      <c r="CB162" s="72">
        <f t="shared" si="988"/>
        <v>142</v>
      </c>
      <c r="CC162" s="71">
        <f t="shared" si="989"/>
        <v>180</v>
      </c>
      <c r="CD162" s="72">
        <f t="shared" si="990"/>
        <v>191</v>
      </c>
      <c r="CE162" s="71">
        <f t="shared" si="991"/>
        <v>236</v>
      </c>
      <c r="CF162" s="72">
        <f t="shared" si="992"/>
        <v>273</v>
      </c>
      <c r="CG162" s="71" t="str">
        <f t="shared" si="993"/>
        <v>-</v>
      </c>
      <c r="CH162" s="70">
        <f t="shared" si="994"/>
        <v>56</v>
      </c>
      <c r="CI162" s="71">
        <f t="shared" si="995"/>
        <v>60</v>
      </c>
      <c r="CJ162" s="72">
        <f t="shared" si="996"/>
        <v>91</v>
      </c>
      <c r="CK162" s="72">
        <f t="shared" si="997"/>
        <v>96</v>
      </c>
      <c r="CL162" s="72">
        <f t="shared" si="998"/>
        <v>132</v>
      </c>
      <c r="CM162" s="72" t="str">
        <f t="shared" si="999"/>
        <v>-</v>
      </c>
      <c r="CN162" s="72">
        <f t="shared" si="1000"/>
        <v>167</v>
      </c>
      <c r="CO162" s="72">
        <f t="shared" si="1001"/>
        <v>182</v>
      </c>
      <c r="CP162" s="72">
        <f t="shared" si="1002"/>
        <v>222</v>
      </c>
      <c r="CQ162" s="72">
        <f t="shared" si="1003"/>
        <v>269</v>
      </c>
      <c r="CR162" s="72">
        <f t="shared" si="1004"/>
        <v>304</v>
      </c>
      <c r="CS162" s="72" t="str">
        <f t="shared" si="1005"/>
        <v>-</v>
      </c>
      <c r="CT162" s="23">
        <f t="shared" si="1006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ref="A163" si="1288">CONCATENATE(B163,"_",C163)</f>
        <v>agtr1_human_6DO1</v>
      </c>
      <c r="B163" s="3" t="s">
        <v>158</v>
      </c>
      <c r="C163" s="3" t="s">
        <v>1551</v>
      </c>
      <c r="D163" s="3" t="str">
        <f>IFERROR(MID(VLOOKUP($B163,Seqs!$A:$B,2,0),E163,1),"")</f>
        <v>H</v>
      </c>
      <c r="E163" s="3">
        <v>24</v>
      </c>
      <c r="F163" s="3" t="str">
        <f>IFERROR(MID(VLOOKUP($B163,Seqs!$A:$B,2,0),G163,1),"")</f>
        <v>Y</v>
      </c>
      <c r="G163" s="3">
        <v>56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T</v>
      </c>
      <c r="M163" s="3">
        <v>61</v>
      </c>
      <c r="N163" s="3" t="str">
        <f>IFERROR(MID(VLOOKUP($B163,Seqs!$A:$B,2,0),O163,1),"")</f>
        <v>E</v>
      </c>
      <c r="O163" s="3">
        <v>91</v>
      </c>
      <c r="P163" s="3" t="str">
        <f>IFERROR(MID(VLOOKUP($B163,Seqs!$A:$B,2,0),Q163,1),"")</f>
        <v>R</v>
      </c>
      <c r="Q163" s="3">
        <v>93</v>
      </c>
      <c r="R163" s="3" t="str">
        <f>IFERROR(MID(VLOOKUP($B163,Seqs!$A:$B,2,0),S163,1),"")</f>
        <v>F</v>
      </c>
      <c r="S163" s="3">
        <v>96</v>
      </c>
      <c r="T163" s="3" t="str">
        <f>IFERROR(MID(VLOOKUP($B163,Seqs!$A:$B,2,0),U163,1),"")</f>
        <v>G</v>
      </c>
      <c r="U163" s="3">
        <v>97</v>
      </c>
      <c r="V163" s="3" t="str">
        <f>IFERROR(MID(VLOOKUP($B163,Seqs!$A:$B,2,0),W163,1),"")</f>
        <v>H</v>
      </c>
      <c r="W163" s="3">
        <v>132</v>
      </c>
      <c r="X163" s="3" t="str">
        <f>IFERROR(MID(VLOOKUP($B163,Seqs!$A:$B,2,0),Y163,1),"")</f>
        <v>P</v>
      </c>
      <c r="Y163" s="3">
        <v>133</v>
      </c>
      <c r="Z163" s="3" t="str">
        <f>IFERROR(MID(VLOOKUP($B163,Seqs!$A:$B,2,0),AA163,1),"")</f>
        <v>R</v>
      </c>
      <c r="AA163" s="3">
        <v>140</v>
      </c>
      <c r="AB163" s="3" t="str">
        <f>IFERROR(MID(VLOOKUP($B163,Seqs!$A:$B,2,0),AC163,1),"")</f>
        <v>T</v>
      </c>
      <c r="AC163" s="3">
        <v>141</v>
      </c>
      <c r="AD163" s="3" t="str">
        <f>IFERROR(MID(VLOOKUP($B163,Seqs!$A:$B,2,0),AE163,1),"")</f>
        <v>R</v>
      </c>
      <c r="AE163" s="3">
        <v>167</v>
      </c>
      <c r="AF163" s="3" t="str">
        <f>IFERROR(MID(VLOOKUP($B163,Seqs!$A:$B,2,0),AG163,1),"")</f>
        <v>C</v>
      </c>
      <c r="AG163" s="3">
        <v>180</v>
      </c>
      <c r="AH163" s="3" t="str">
        <f>IFERROR(MID(VLOOKUP($B163,Seqs!$A:$B,2,0),AI163,1),"")</f>
        <v>F</v>
      </c>
      <c r="AI163" s="3">
        <v>182</v>
      </c>
      <c r="AJ163" s="3" t="str">
        <f>IFERROR(MID(VLOOKUP($B163,Seqs!$A:$B,2,0),AK163,1),"")</f>
        <v>P</v>
      </c>
      <c r="AK163" s="3">
        <v>192</v>
      </c>
      <c r="AL163" s="3" t="str">
        <f>IFERROR(MID(VLOOKUP($B163,Seqs!$A:$B,2,0),AM163,1),"")</f>
        <v>N</v>
      </c>
      <c r="AM163" s="3">
        <v>231</v>
      </c>
      <c r="AN163" s="3" t="str">
        <f>IFERROR(MID(VLOOKUP($B163,Seqs!$A:$B,2,0),AO163,1),"")</f>
        <v>T</v>
      </c>
      <c r="AO163" s="3">
        <v>336</v>
      </c>
      <c r="AP163" s="3" t="str">
        <f>IFERROR(MID(VLOOKUP($B163,Seqs!$A:$B,2,0),AQ163,1),"")</f>
        <v/>
      </c>
      <c r="AQ163" s="3">
        <v>368</v>
      </c>
      <c r="AR163" s="3" t="str">
        <f>IFERROR(MID(VLOOKUP($B163,Seqs!$A:$B,2,0),AS163,1),"")</f>
        <v/>
      </c>
      <c r="AS163" s="3">
        <v>372</v>
      </c>
      <c r="AT163" s="3" t="str">
        <f>IFERROR(MID(VLOOKUP($B163,Seqs!$A:$B,2,0),AU163,1),"")</f>
        <v/>
      </c>
      <c r="AU163" s="3">
        <v>404</v>
      </c>
      <c r="AV163" s="3" t="str">
        <f>IFERROR(MID(VLOOKUP($B163,Seqs!$A:$B,2,0),AW163,1),"")</f>
        <v/>
      </c>
      <c r="AW163" s="3">
        <v>405</v>
      </c>
      <c r="AX163" s="3" t="str">
        <f>IFERROR(MID(VLOOKUP($B163,Seqs!$A:$B,2,0),AY163,1),"")</f>
        <v/>
      </c>
      <c r="AY163" s="3">
        <v>416</v>
      </c>
      <c r="AZ163" s="77" t="str">
        <f>VLOOKUP(B163,Classification!A:D,2,0)</f>
        <v>A</v>
      </c>
      <c r="BA163" s="94" t="str">
        <f>VLOOKUP(B163,Classification!A:D,4,0)</f>
        <v>Angiotensin</v>
      </c>
      <c r="BB163" s="27" t="b">
        <f t="shared" ref="BB163" si="1289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23">
        <f t="shared" ref="BC163" si="1290">_xlfn.AGGREGATE(9,6,CH163:CS163)-_xlfn.AGGREGATE(9,6,BV163:CG163)+12</f>
        <v>261</v>
      </c>
      <c r="BD163" s="2" t="s">
        <v>1371</v>
      </c>
      <c r="BE163" s="3" t="s">
        <v>1287</v>
      </c>
      <c r="BF163" s="118">
        <v>2.9</v>
      </c>
      <c r="BG163" s="49" t="s">
        <v>1</v>
      </c>
      <c r="BH163" s="49" t="s">
        <v>1</v>
      </c>
      <c r="BI163" s="1"/>
      <c r="BJ163" s="70" t="s">
        <v>1283</v>
      </c>
      <c r="BK163" s="57" t="s">
        <v>1283</v>
      </c>
      <c r="BL163" s="57" t="s">
        <v>1283</v>
      </c>
      <c r="BM163" s="57" t="s">
        <v>1283</v>
      </c>
      <c r="BN163" s="57" t="s">
        <v>1283</v>
      </c>
      <c r="BO163" s="57" t="s">
        <v>1283</v>
      </c>
      <c r="BP163" s="57" t="s">
        <v>1283</v>
      </c>
      <c r="BQ163" s="57" t="s">
        <v>1283</v>
      </c>
      <c r="BR163" s="57" t="s">
        <v>1283</v>
      </c>
      <c r="BS163" s="57" t="s">
        <v>1283</v>
      </c>
      <c r="BT163" s="57" t="s">
        <v>1283</v>
      </c>
      <c r="BU163" s="57" t="s">
        <v>1283</v>
      </c>
      <c r="BV163" s="70">
        <f t="shared" ref="BV163" si="1291">E163</f>
        <v>24</v>
      </c>
      <c r="BW163" s="71" t="str">
        <f t="shared" ref="BW163" si="1292">I163</f>
        <v>-</v>
      </c>
      <c r="BX163" s="72">
        <f t="shared" ref="BX163" si="1293">M163</f>
        <v>61</v>
      </c>
      <c r="BY163" s="71">
        <f t="shared" ref="BY163" si="1294">Q163</f>
        <v>93</v>
      </c>
      <c r="BZ163" s="72">
        <f t="shared" ref="BZ163" si="1295">U163</f>
        <v>97</v>
      </c>
      <c r="CA163" s="71">
        <f t="shared" ref="CA163" si="1296">Y163</f>
        <v>133</v>
      </c>
      <c r="CB163" s="72">
        <f t="shared" ref="CB163" si="1297">AC163</f>
        <v>141</v>
      </c>
      <c r="CC163" s="71">
        <f t="shared" ref="CC163" si="1298">AG163</f>
        <v>180</v>
      </c>
      <c r="CD163" s="72">
        <f t="shared" ref="CD163" si="1299">AK163</f>
        <v>192</v>
      </c>
      <c r="CE163" s="71">
        <f t="shared" ref="CE163" si="1300">AO163</f>
        <v>336</v>
      </c>
      <c r="CF163" s="72">
        <f t="shared" ref="CF163" si="1301">AS163</f>
        <v>372</v>
      </c>
      <c r="CG163" s="71">
        <f t="shared" ref="CG163" si="1302">AW163</f>
        <v>405</v>
      </c>
      <c r="CH163" s="70">
        <f t="shared" ref="CH163" si="1303">G163</f>
        <v>56</v>
      </c>
      <c r="CI163" s="71" t="str">
        <f t="shared" ref="CI163" si="1304">K163</f>
        <v>-</v>
      </c>
      <c r="CJ163" s="72">
        <f t="shared" ref="CJ163" si="1305">O163</f>
        <v>91</v>
      </c>
      <c r="CK163" s="72">
        <f t="shared" ref="CK163" si="1306">S163</f>
        <v>96</v>
      </c>
      <c r="CL163" s="72">
        <f t="shared" ref="CL163" si="1307">W163</f>
        <v>132</v>
      </c>
      <c r="CM163" s="72">
        <f t="shared" ref="CM163" si="1308">AA163</f>
        <v>140</v>
      </c>
      <c r="CN163" s="72">
        <f t="shared" ref="CN163" si="1309">AE163</f>
        <v>167</v>
      </c>
      <c r="CO163" s="72">
        <f t="shared" ref="CO163" si="1310">AI163</f>
        <v>182</v>
      </c>
      <c r="CP163" s="72">
        <f t="shared" ref="CP163" si="1311">AM163</f>
        <v>231</v>
      </c>
      <c r="CQ163" s="72">
        <f t="shared" ref="CQ163" si="1312">AQ163</f>
        <v>368</v>
      </c>
      <c r="CR163" s="72">
        <f t="shared" ref="CR163" si="1313">AU163</f>
        <v>404</v>
      </c>
      <c r="CS163" s="72">
        <f t="shared" ref="CS163" si="1314">AY163</f>
        <v>416</v>
      </c>
      <c r="CT163" s="23" t="e">
        <f t="shared" ref="CT163" si="1315">M163-K163</f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ref="A164" si="1316">CONCATENATE(B164,"_",C164)</f>
        <v>agtr1_human_6OS0</v>
      </c>
      <c r="B164" s="3" t="s">
        <v>158</v>
      </c>
      <c r="C164" s="3" t="s">
        <v>1655</v>
      </c>
      <c r="D164" s="3" t="str">
        <f>IFERROR(MID(VLOOKUP($B164,Seqs!$A:$B,2,0),E164,1),"")</f>
        <v>H</v>
      </c>
      <c r="E164" s="3">
        <v>24</v>
      </c>
      <c r="F164" s="3" t="str">
        <f>IFERROR(MID(VLOOKUP($B164,Seqs!$A:$B,2,0),G164,1),"")</f>
        <v>Y</v>
      </c>
      <c r="G164" s="3">
        <v>56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61</v>
      </c>
      <c r="N164" s="3" t="str">
        <f>IFERROR(MID(VLOOKUP($B164,Seqs!$A:$B,2,0),O164,1),"")</f>
        <v>E</v>
      </c>
      <c r="O164" s="3">
        <v>91</v>
      </c>
      <c r="P164" s="3" t="str">
        <f>IFERROR(MID(VLOOKUP($B164,Seqs!$A:$B,2,0),Q164,1),"")</f>
        <v>R</v>
      </c>
      <c r="Q164" s="3">
        <v>93</v>
      </c>
      <c r="R164" s="3" t="str">
        <f>IFERROR(MID(VLOOKUP($B164,Seqs!$A:$B,2,0),S164,1),"")</f>
        <v>F</v>
      </c>
      <c r="S164" s="3">
        <v>96</v>
      </c>
      <c r="T164" s="3" t="str">
        <f>IFERROR(MID(VLOOKUP($B164,Seqs!$A:$B,2,0),U164,1),"")</f>
        <v>G</v>
      </c>
      <c r="U164" s="3">
        <v>97</v>
      </c>
      <c r="V164" s="3" t="str">
        <f>IFERROR(MID(VLOOKUP($B164,Seqs!$A:$B,2,0),W164,1),"")</f>
        <v>H</v>
      </c>
      <c r="W164" s="3">
        <v>132</v>
      </c>
      <c r="X164" s="3" t="str">
        <f>IFERROR(MID(VLOOKUP($B164,Seqs!$A:$B,2,0),Y164,1),"")</f>
        <v>P</v>
      </c>
      <c r="Y164" s="3">
        <v>133</v>
      </c>
      <c r="Z164" s="3" t="str">
        <f>IFERROR(MID(VLOOKUP($B164,Seqs!$A:$B,2,0),AA164,1),"")</f>
        <v>R</v>
      </c>
      <c r="AA164" s="3">
        <v>140</v>
      </c>
      <c r="AB164" s="3" t="str">
        <f>IFERROR(MID(VLOOKUP($B164,Seqs!$A:$B,2,0),AC164,1),"")</f>
        <v>T</v>
      </c>
      <c r="AC164" s="3">
        <v>141</v>
      </c>
      <c r="AD164" s="3" t="str">
        <f>IFERROR(MID(VLOOKUP($B164,Seqs!$A:$B,2,0),AE164,1),"")</f>
        <v>H</v>
      </c>
      <c r="AE164" s="3">
        <v>166</v>
      </c>
      <c r="AF164" s="3" t="str">
        <f>IFERROR(MID(VLOOKUP($B164,Seqs!$A:$B,2,0),AG164,1),"")</f>
        <v>C</v>
      </c>
      <c r="AG164" s="3">
        <v>180</v>
      </c>
      <c r="AH164" s="3" t="str">
        <f>IFERROR(MID(VLOOKUP($B164,Seqs!$A:$B,2,0),AI164,1),"")</f>
        <v>F</v>
      </c>
      <c r="AI164" s="3">
        <v>182</v>
      </c>
      <c r="AJ164" s="3" t="str">
        <f>IFERROR(MID(VLOOKUP($B164,Seqs!$A:$B,2,0),AK164,1),"")</f>
        <v>I</v>
      </c>
      <c r="AK164" s="3">
        <v>193</v>
      </c>
      <c r="AL164" s="3" t="str">
        <f>IFERROR(MID(VLOOKUP($B164,Seqs!$A:$B,2,0),AM164,1),"")</f>
        <v>Y</v>
      </c>
      <c r="AM164" s="3">
        <v>226</v>
      </c>
      <c r="AN164" s="3" t="str">
        <f>IFERROR(MID(VLOOKUP($B164,Seqs!$A:$B,2,0),AO164,1),"")</f>
        <v/>
      </c>
      <c r="AO164" s="3">
        <v>1237</v>
      </c>
      <c r="AP164" s="3" t="str">
        <f>IFERROR(MID(VLOOKUP($B164,Seqs!$A:$B,2,0),AQ164,1),"")</f>
        <v/>
      </c>
      <c r="AQ164" s="3">
        <v>1268</v>
      </c>
      <c r="AR164" s="3" t="str">
        <f>IFERROR(MID(VLOOKUP($B164,Seqs!$A:$B,2,0),AS164,1),"")</f>
        <v/>
      </c>
      <c r="AS164" s="3">
        <v>1273</v>
      </c>
      <c r="AT164" s="3" t="str">
        <f>IFERROR(MID(VLOOKUP($B164,Seqs!$A:$B,2,0),AU164,1),"")</f>
        <v/>
      </c>
      <c r="AU164" s="3">
        <v>1305</v>
      </c>
      <c r="AV164" s="3" t="str">
        <f>IFERROR(MID(VLOOKUP($B164,Seqs!$A:$B,2,0),AW164,1),"")</f>
        <v/>
      </c>
      <c r="AW164" s="3">
        <v>1306</v>
      </c>
      <c r="AX164" s="3" t="str">
        <f>IFERROR(MID(VLOOKUP($B164,Seqs!$A:$B,2,0),AY164,1),"")</f>
        <v/>
      </c>
      <c r="AY164" s="3">
        <v>1316</v>
      </c>
      <c r="AZ164" s="77" t="str">
        <f>VLOOKUP(B164,Classification!A:D,2,0)</f>
        <v>A</v>
      </c>
      <c r="BA164" s="94" t="str">
        <f>VLOOKUP(B164,Classification!A:D,4,0)</f>
        <v>Angiotensin</v>
      </c>
      <c r="BB164" s="27" t="b">
        <f t="shared" ref="BB164" si="1317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 t="shared" ref="BC164" si="1318">_xlfn.AGGREGATE(9,6,CH164:CS164)-_xlfn.AGGREGATE(9,6,BV164:CG164)+12</f>
        <v>252</v>
      </c>
      <c r="BD164" s="2" t="s">
        <v>23</v>
      </c>
      <c r="BE164" s="3" t="s">
        <v>1287</v>
      </c>
      <c r="BF164" s="118">
        <v>2.9</v>
      </c>
      <c r="BG164" s="49" t="s">
        <v>1</v>
      </c>
      <c r="BH164" s="49" t="s">
        <v>1</v>
      </c>
      <c r="BI164" s="1"/>
      <c r="BJ164" s="70" t="s">
        <v>1283</v>
      </c>
      <c r="BK164" s="57" t="s">
        <v>1283</v>
      </c>
      <c r="BL164" s="57" t="s">
        <v>1283</v>
      </c>
      <c r="BM164" s="57" t="s">
        <v>1283</v>
      </c>
      <c r="BN164" s="57" t="s">
        <v>1283</v>
      </c>
      <c r="BO164" s="57" t="s">
        <v>1283</v>
      </c>
      <c r="BP164" s="57" t="s">
        <v>1283</v>
      </c>
      <c r="BQ164" s="57" t="s">
        <v>1283</v>
      </c>
      <c r="BR164" s="57" t="s">
        <v>1283</v>
      </c>
      <c r="BS164" s="57" t="s">
        <v>1283</v>
      </c>
      <c r="BT164" s="57" t="s">
        <v>1283</v>
      </c>
      <c r="BU164" s="57" t="s">
        <v>1283</v>
      </c>
      <c r="BV164" s="70">
        <f t="shared" ref="BV164" si="1319">E164</f>
        <v>24</v>
      </c>
      <c r="BW164" s="71" t="str">
        <f t="shared" ref="BW164" si="1320">I164</f>
        <v>-</v>
      </c>
      <c r="BX164" s="72">
        <f t="shared" ref="BX164" si="1321">M164</f>
        <v>61</v>
      </c>
      <c r="BY164" s="71">
        <f t="shared" ref="BY164" si="1322">Q164</f>
        <v>93</v>
      </c>
      <c r="BZ164" s="72">
        <f t="shared" ref="BZ164" si="1323">U164</f>
        <v>97</v>
      </c>
      <c r="CA164" s="71">
        <f t="shared" ref="CA164" si="1324">Y164</f>
        <v>133</v>
      </c>
      <c r="CB164" s="72">
        <f t="shared" ref="CB164" si="1325">AC164</f>
        <v>141</v>
      </c>
      <c r="CC164" s="71">
        <f t="shared" ref="CC164" si="1326">AG164</f>
        <v>180</v>
      </c>
      <c r="CD164" s="72">
        <f t="shared" ref="CD164" si="1327">AK164</f>
        <v>193</v>
      </c>
      <c r="CE164" s="71">
        <f t="shared" ref="CE164" si="1328">AO164</f>
        <v>1237</v>
      </c>
      <c r="CF164" s="72">
        <f t="shared" ref="CF164" si="1329">AS164</f>
        <v>1273</v>
      </c>
      <c r="CG164" s="71">
        <f t="shared" ref="CG164" si="1330">AW164</f>
        <v>1306</v>
      </c>
      <c r="CH164" s="70">
        <f t="shared" ref="CH164" si="1331">G164</f>
        <v>56</v>
      </c>
      <c r="CI164" s="71" t="str">
        <f t="shared" ref="CI164" si="1332">K164</f>
        <v>-</v>
      </c>
      <c r="CJ164" s="72">
        <f t="shared" ref="CJ164" si="1333">O164</f>
        <v>91</v>
      </c>
      <c r="CK164" s="72">
        <f t="shared" ref="CK164" si="1334">S164</f>
        <v>96</v>
      </c>
      <c r="CL164" s="72">
        <f t="shared" ref="CL164" si="1335">W164</f>
        <v>132</v>
      </c>
      <c r="CM164" s="72">
        <f t="shared" ref="CM164" si="1336">AA164</f>
        <v>140</v>
      </c>
      <c r="CN164" s="72">
        <f t="shared" ref="CN164" si="1337">AE164</f>
        <v>166</v>
      </c>
      <c r="CO164" s="72">
        <f t="shared" ref="CO164" si="1338">AI164</f>
        <v>182</v>
      </c>
      <c r="CP164" s="72">
        <f t="shared" ref="CP164" si="1339">AM164</f>
        <v>226</v>
      </c>
      <c r="CQ164" s="72">
        <f t="shared" ref="CQ164" si="1340">AQ164</f>
        <v>1268</v>
      </c>
      <c r="CR164" s="72">
        <f t="shared" ref="CR164" si="1341">AU164</f>
        <v>1305</v>
      </c>
      <c r="CS164" s="72">
        <f t="shared" ref="CS164" si="1342">AY164</f>
        <v>1316</v>
      </c>
      <c r="CT164" s="23" t="e">
        <f t="shared" ref="CT164" si="1343">M164-K164</f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ht="18" x14ac:dyDescent="0.2">
      <c r="A165" s="3" t="str">
        <f t="shared" ref="A165" si="1344">CONCATENATE(B165,"_",C165)</f>
        <v>agtr1_human_6OS1</v>
      </c>
      <c r="B165" s="3" t="s">
        <v>158</v>
      </c>
      <c r="C165" s="3" t="s">
        <v>1656</v>
      </c>
      <c r="D165" s="3" t="str">
        <f>IFERROR(MID(VLOOKUP($B165,Seqs!$A:$B,2,0),E165,1),"")</f>
        <v>H</v>
      </c>
      <c r="E165" s="3">
        <v>24</v>
      </c>
      <c r="F165" s="3" t="str">
        <f>IFERROR(MID(VLOOKUP($B165,Seqs!$A:$B,2,0),G165,1),"")</f>
        <v>Y</v>
      </c>
      <c r="G165" s="3">
        <v>56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61</v>
      </c>
      <c r="N165" s="3" t="str">
        <f>IFERROR(MID(VLOOKUP($B165,Seqs!$A:$B,2,0),O165,1),"")</f>
        <v>E</v>
      </c>
      <c r="O165" s="3">
        <v>91</v>
      </c>
      <c r="P165" s="3" t="str">
        <f>IFERROR(MID(VLOOKUP($B165,Seqs!$A:$B,2,0),Q165,1),"")</f>
        <v>R</v>
      </c>
      <c r="Q165" s="3">
        <v>93</v>
      </c>
      <c r="R165" s="3" t="str">
        <f>IFERROR(MID(VLOOKUP($B165,Seqs!$A:$B,2,0),S165,1),"")</f>
        <v>F</v>
      </c>
      <c r="S165" s="3">
        <v>96</v>
      </c>
      <c r="T165" s="3" t="str">
        <f>IFERROR(MID(VLOOKUP($B165,Seqs!$A:$B,2,0),U165,1),"")</f>
        <v>G</v>
      </c>
      <c r="U165" s="3">
        <v>97</v>
      </c>
      <c r="V165" s="3" t="str">
        <f>IFERROR(MID(VLOOKUP($B165,Seqs!$A:$B,2,0),W165,1),"")</f>
        <v>H</v>
      </c>
      <c r="W165" s="3">
        <v>132</v>
      </c>
      <c r="X165" s="3" t="str">
        <f>IFERROR(MID(VLOOKUP($B165,Seqs!$A:$B,2,0),Y165,1),"")</f>
        <v>P</v>
      </c>
      <c r="Y165" s="3">
        <v>133</v>
      </c>
      <c r="Z165" s="3" t="str">
        <f>IFERROR(MID(VLOOKUP($B165,Seqs!$A:$B,2,0),AA165,1),"")</f>
        <v>R</v>
      </c>
      <c r="AA165" s="3">
        <v>140</v>
      </c>
      <c r="AB165" s="3" t="str">
        <f>IFERROR(MID(VLOOKUP($B165,Seqs!$A:$B,2,0),AC165,1),"")</f>
        <v>T</v>
      </c>
      <c r="AC165" s="3">
        <v>141</v>
      </c>
      <c r="AD165" s="3" t="str">
        <f>IFERROR(MID(VLOOKUP($B165,Seqs!$A:$B,2,0),AE165,1),"")</f>
        <v>H</v>
      </c>
      <c r="AE165" s="3">
        <v>166</v>
      </c>
      <c r="AF165" s="3" t="str">
        <f>IFERROR(MID(VLOOKUP($B165,Seqs!$A:$B,2,0),AG165,1),"")</f>
        <v>C</v>
      </c>
      <c r="AG165" s="3">
        <v>180</v>
      </c>
      <c r="AH165" s="3" t="str">
        <f>IFERROR(MID(VLOOKUP($B165,Seqs!$A:$B,2,0),AI165,1),"")</f>
        <v>F</v>
      </c>
      <c r="AI165" s="3">
        <v>182</v>
      </c>
      <c r="AJ165" s="3" t="str">
        <f>IFERROR(MID(VLOOKUP($B165,Seqs!$A:$B,2,0),AK165,1),"")</f>
        <v>L</v>
      </c>
      <c r="AK165" s="3">
        <v>195</v>
      </c>
      <c r="AL165" s="3" t="str">
        <f>IFERROR(MID(VLOOKUP($B165,Seqs!$A:$B,2,0),AM165,1),"")</f>
        <v>Y</v>
      </c>
      <c r="AM165" s="3">
        <v>226</v>
      </c>
      <c r="AN165" s="3" t="str">
        <f>IFERROR(MID(VLOOKUP($B165,Seqs!$A:$B,2,0),AO165,1),"")</f>
        <v/>
      </c>
      <c r="AO165" s="3">
        <v>1237</v>
      </c>
      <c r="AP165" s="3" t="str">
        <f>IFERROR(MID(VLOOKUP($B165,Seqs!$A:$B,2,0),AQ165,1),"")</f>
        <v/>
      </c>
      <c r="AQ165" s="3">
        <v>1269</v>
      </c>
      <c r="AR165" s="3" t="str">
        <f>IFERROR(MID(VLOOKUP($B165,Seqs!$A:$B,2,0),AS165,1),"")</f>
        <v/>
      </c>
      <c r="AS165" s="3">
        <v>1273</v>
      </c>
      <c r="AT165" s="3" t="str">
        <f>IFERROR(MID(VLOOKUP($B165,Seqs!$A:$B,2,0),AU165,1),"")</f>
        <v/>
      </c>
      <c r="AU165" s="3">
        <v>1305</v>
      </c>
      <c r="AV165" s="3" t="str">
        <f>IFERROR(MID(VLOOKUP($B165,Seqs!$A:$B,2,0),AW165,1),"")</f>
        <v/>
      </c>
      <c r="AW165" s="3">
        <v>1306</v>
      </c>
      <c r="AX165" s="3" t="str">
        <f>IFERROR(MID(VLOOKUP($B165,Seqs!$A:$B,2,0),AY165,1),"")</f>
        <v/>
      </c>
      <c r="AY165" s="3">
        <v>1318</v>
      </c>
      <c r="AZ165" s="77" t="str">
        <f>VLOOKUP(B165,Classification!A:D,2,0)</f>
        <v>A</v>
      </c>
      <c r="BA165" s="94" t="str">
        <f>VLOOKUP(B165,Classification!A:D,4,0)</f>
        <v>Angiotensin</v>
      </c>
      <c r="BB165" s="27" t="b">
        <f t="shared" ref="BB165" si="1345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 t="shared" ref="BC165" si="1346">_xlfn.AGGREGATE(9,6,CH165:CS165)-_xlfn.AGGREGATE(9,6,BV165:CG165)+12</f>
        <v>253</v>
      </c>
      <c r="BD165" s="2" t="s">
        <v>23</v>
      </c>
      <c r="BE165" s="3" t="s">
        <v>1287</v>
      </c>
      <c r="BF165" s="118">
        <v>2.79</v>
      </c>
      <c r="BG165" s="49" t="s">
        <v>1</v>
      </c>
      <c r="BH165" s="49" t="s">
        <v>1</v>
      </c>
      <c r="BI165" s="135"/>
      <c r="BJ165" s="70" t="s">
        <v>1283</v>
      </c>
      <c r="BK165" s="57" t="s">
        <v>1283</v>
      </c>
      <c r="BL165" s="57" t="s">
        <v>1283</v>
      </c>
      <c r="BM165" s="57" t="s">
        <v>1283</v>
      </c>
      <c r="BN165" s="57" t="s">
        <v>1283</v>
      </c>
      <c r="BO165" s="57" t="s">
        <v>1283</v>
      </c>
      <c r="BP165" s="57" t="s">
        <v>1283</v>
      </c>
      <c r="BQ165" s="57" t="s">
        <v>1283</v>
      </c>
      <c r="BR165" s="57" t="s">
        <v>1283</v>
      </c>
      <c r="BS165" s="57" t="s">
        <v>1283</v>
      </c>
      <c r="BT165" s="57" t="s">
        <v>1283</v>
      </c>
      <c r="BU165" s="57" t="s">
        <v>1283</v>
      </c>
      <c r="BV165" s="70">
        <f t="shared" ref="BV165" si="1347">E165</f>
        <v>24</v>
      </c>
      <c r="BW165" s="71" t="str">
        <f t="shared" ref="BW165" si="1348">I165</f>
        <v>-</v>
      </c>
      <c r="BX165" s="72">
        <f t="shared" ref="BX165" si="1349">M165</f>
        <v>61</v>
      </c>
      <c r="BY165" s="71">
        <f t="shared" ref="BY165" si="1350">Q165</f>
        <v>93</v>
      </c>
      <c r="BZ165" s="72">
        <f t="shared" ref="BZ165" si="1351">U165</f>
        <v>97</v>
      </c>
      <c r="CA165" s="71">
        <f t="shared" ref="CA165" si="1352">Y165</f>
        <v>133</v>
      </c>
      <c r="CB165" s="72">
        <f t="shared" ref="CB165" si="1353">AC165</f>
        <v>141</v>
      </c>
      <c r="CC165" s="71">
        <f t="shared" ref="CC165" si="1354">AG165</f>
        <v>180</v>
      </c>
      <c r="CD165" s="72">
        <f t="shared" ref="CD165" si="1355">AK165</f>
        <v>195</v>
      </c>
      <c r="CE165" s="71">
        <f t="shared" ref="CE165" si="1356">AO165</f>
        <v>1237</v>
      </c>
      <c r="CF165" s="72">
        <f t="shared" ref="CF165" si="1357">AS165</f>
        <v>1273</v>
      </c>
      <c r="CG165" s="71">
        <f t="shared" ref="CG165" si="1358">AW165</f>
        <v>1306</v>
      </c>
      <c r="CH165" s="70">
        <f t="shared" ref="CH165" si="1359">G165</f>
        <v>56</v>
      </c>
      <c r="CI165" s="71" t="str">
        <f t="shared" ref="CI165" si="1360">K165</f>
        <v>-</v>
      </c>
      <c r="CJ165" s="72">
        <f t="shared" ref="CJ165" si="1361">O165</f>
        <v>91</v>
      </c>
      <c r="CK165" s="72">
        <f t="shared" ref="CK165" si="1362">S165</f>
        <v>96</v>
      </c>
      <c r="CL165" s="72">
        <f t="shared" ref="CL165" si="1363">W165</f>
        <v>132</v>
      </c>
      <c r="CM165" s="72">
        <f t="shared" ref="CM165" si="1364">AA165</f>
        <v>140</v>
      </c>
      <c r="CN165" s="72">
        <f t="shared" ref="CN165" si="1365">AE165</f>
        <v>166</v>
      </c>
      <c r="CO165" s="72">
        <f t="shared" ref="CO165" si="1366">AI165</f>
        <v>182</v>
      </c>
      <c r="CP165" s="72">
        <f t="shared" ref="CP165" si="1367">AM165</f>
        <v>226</v>
      </c>
      <c r="CQ165" s="72">
        <f t="shared" ref="CQ165" si="1368">AQ165</f>
        <v>1269</v>
      </c>
      <c r="CR165" s="72">
        <f t="shared" ref="CR165" si="1369">AU165</f>
        <v>1305</v>
      </c>
      <c r="CS165" s="72">
        <f t="shared" ref="CS165" si="1370">AY165</f>
        <v>1318</v>
      </c>
      <c r="CT165" s="23" t="e">
        <f t="shared" ref="CT165" si="1371">M165-K165</f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ht="18" x14ac:dyDescent="0.2">
      <c r="A166" s="3" t="str">
        <f t="shared" ref="A166" si="1372">CONCATENATE(B166,"_",C166)</f>
        <v>agtr1_human_6OS2</v>
      </c>
      <c r="B166" s="3" t="s">
        <v>158</v>
      </c>
      <c r="C166" s="3" t="s">
        <v>1657</v>
      </c>
      <c r="D166" s="3" t="str">
        <f>IFERROR(MID(VLOOKUP($B166,Seqs!$A:$B,2,0),E166,1),"")</f>
        <v>N</v>
      </c>
      <c r="E166" s="3">
        <v>25</v>
      </c>
      <c r="F166" s="3" t="str">
        <f>IFERROR(MID(VLOOKUP($B166,Seqs!$A:$B,2,0),G166,1),"")</f>
        <v>M</v>
      </c>
      <c r="G166" s="3">
        <v>57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V</v>
      </c>
      <c r="M166" s="3">
        <v>62</v>
      </c>
      <c r="N166" s="3" t="str">
        <f>IFERROR(MID(VLOOKUP($B166,Seqs!$A:$B,2,0),O166,1),"")</f>
        <v>Y</v>
      </c>
      <c r="O166" s="3">
        <v>92</v>
      </c>
      <c r="P166" s="3" t="str">
        <f>IFERROR(MID(VLOOKUP($B166,Seqs!$A:$B,2,0),Q166,1),"")</f>
        <v>W</v>
      </c>
      <c r="Q166" s="3">
        <v>94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P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3">
        <v>141</v>
      </c>
      <c r="AD166" s="3" t="str">
        <f>IFERROR(MID(VLOOKUP($B166,Seqs!$A:$B,2,0),AE166,1),"")</f>
        <v>H</v>
      </c>
      <c r="AE166" s="3">
        <v>166</v>
      </c>
      <c r="AF166" s="3" t="str">
        <f>IFERROR(MID(VLOOKUP($B166,Seqs!$A:$B,2,0),AG166,1),"")</f>
        <v>C</v>
      </c>
      <c r="AG166" s="3">
        <v>180</v>
      </c>
      <c r="AH166" s="3" t="str">
        <f>IFERROR(MID(VLOOKUP($B166,Seqs!$A:$B,2,0),AI166,1),"")</f>
        <v>F</v>
      </c>
      <c r="AI166" s="3">
        <v>182</v>
      </c>
      <c r="AJ166" s="3" t="str">
        <f>IFERROR(MID(VLOOKUP($B166,Seqs!$A:$B,2,0),AK166,1),"")</f>
        <v>L</v>
      </c>
      <c r="AK166" s="3">
        <v>195</v>
      </c>
      <c r="AL166" s="3" t="str">
        <f>IFERROR(MID(VLOOKUP($B166,Seqs!$A:$B,2,0),AM166,1),"")</f>
        <v>Y</v>
      </c>
      <c r="AM166" s="3">
        <v>226</v>
      </c>
      <c r="AN166" s="3" t="str">
        <f>IFERROR(MID(VLOOKUP($B166,Seqs!$A:$B,2,0),AO166,1),"")</f>
        <v/>
      </c>
      <c r="AO166" s="3">
        <v>1237</v>
      </c>
      <c r="AP166" s="3" t="str">
        <f>IFERROR(MID(VLOOKUP($B166,Seqs!$A:$B,2,0),AQ166,1),"")</f>
        <v/>
      </c>
      <c r="AQ166" s="3">
        <v>1269</v>
      </c>
      <c r="AR166" s="3" t="str">
        <f>IFERROR(MID(VLOOKUP($B166,Seqs!$A:$B,2,0),AS166,1),"")</f>
        <v/>
      </c>
      <c r="AS166" s="3">
        <v>1273</v>
      </c>
      <c r="AT166" s="3" t="str">
        <f>IFERROR(MID(VLOOKUP($B166,Seqs!$A:$B,2,0),AU166,1),"")</f>
        <v/>
      </c>
      <c r="AU166" s="3">
        <v>1305</v>
      </c>
      <c r="AV166" s="3" t="str">
        <f>IFERROR(MID(VLOOKUP($B166,Seqs!$A:$B,2,0),AW166,1),"")</f>
        <v/>
      </c>
      <c r="AW166" s="3">
        <v>1306</v>
      </c>
      <c r="AX166" s="3" t="str">
        <f>IFERROR(MID(VLOOKUP($B166,Seqs!$A:$B,2,0),AY166,1),"")</f>
        <v/>
      </c>
      <c r="AY166" s="3">
        <v>1318</v>
      </c>
      <c r="AZ166" s="77" t="str">
        <f>VLOOKUP(B166,Classification!A:D,2,0)</f>
        <v>A</v>
      </c>
      <c r="BA166" s="94" t="str">
        <f>VLOOKUP(B166,Classification!A:D,4,0)</f>
        <v>Angiotensin</v>
      </c>
      <c r="BB166" s="27" t="b">
        <f t="shared" ref="BB166" si="1373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374">_xlfn.AGGREGATE(9,6,CH166:CS166)-_xlfn.AGGREGATE(9,6,BV166:CG166)+12</f>
        <v>252</v>
      </c>
      <c r="BD166" s="2" t="s">
        <v>23</v>
      </c>
      <c r="BE166" s="3" t="s">
        <v>1287</v>
      </c>
      <c r="BF166" s="118">
        <v>2.7</v>
      </c>
      <c r="BG166" s="49" t="s">
        <v>1</v>
      </c>
      <c r="BH166" s="49" t="s">
        <v>1</v>
      </c>
      <c r="BI166" s="135"/>
      <c r="BJ166" s="70" t="s">
        <v>1283</v>
      </c>
      <c r="BK166" s="57" t="s">
        <v>1283</v>
      </c>
      <c r="BL166" s="57" t="s">
        <v>1283</v>
      </c>
      <c r="BM166" s="57" t="s">
        <v>1283</v>
      </c>
      <c r="BN166" s="57" t="s">
        <v>1283</v>
      </c>
      <c r="BO166" s="57" t="s">
        <v>1283</v>
      </c>
      <c r="BP166" s="57" t="s">
        <v>1283</v>
      </c>
      <c r="BQ166" s="57" t="s">
        <v>1283</v>
      </c>
      <c r="BR166" s="57" t="s">
        <v>1283</v>
      </c>
      <c r="BS166" s="57" t="s">
        <v>1283</v>
      </c>
      <c r="BT166" s="57" t="s">
        <v>1283</v>
      </c>
      <c r="BU166" s="57" t="s">
        <v>1283</v>
      </c>
      <c r="BV166" s="70">
        <f t="shared" ref="BV166" si="1375">E166</f>
        <v>25</v>
      </c>
      <c r="BW166" s="71" t="str">
        <f t="shared" ref="BW166" si="1376">I166</f>
        <v>-</v>
      </c>
      <c r="BX166" s="72">
        <f t="shared" ref="BX166" si="1377">M166</f>
        <v>62</v>
      </c>
      <c r="BY166" s="71">
        <f t="shared" ref="BY166" si="1378">Q166</f>
        <v>94</v>
      </c>
      <c r="BZ166" s="72">
        <f t="shared" ref="BZ166" si="1379">U166</f>
        <v>97</v>
      </c>
      <c r="CA166" s="71">
        <f t="shared" ref="CA166" si="1380">Y166</f>
        <v>133</v>
      </c>
      <c r="CB166" s="72">
        <f t="shared" ref="CB166" si="1381">AC166</f>
        <v>141</v>
      </c>
      <c r="CC166" s="71">
        <f t="shared" ref="CC166" si="1382">AG166</f>
        <v>180</v>
      </c>
      <c r="CD166" s="72">
        <f t="shared" ref="CD166" si="1383">AK166</f>
        <v>195</v>
      </c>
      <c r="CE166" s="71">
        <f t="shared" ref="CE166" si="1384">AO166</f>
        <v>1237</v>
      </c>
      <c r="CF166" s="72">
        <f t="shared" ref="CF166" si="1385">AS166</f>
        <v>1273</v>
      </c>
      <c r="CG166" s="71">
        <f t="shared" ref="CG166" si="1386">AW166</f>
        <v>1306</v>
      </c>
      <c r="CH166" s="70">
        <f t="shared" ref="CH166" si="1387">G166</f>
        <v>57</v>
      </c>
      <c r="CI166" s="71" t="str">
        <f t="shared" ref="CI166" si="1388">K166</f>
        <v>-</v>
      </c>
      <c r="CJ166" s="72">
        <f t="shared" ref="CJ166" si="1389">O166</f>
        <v>92</v>
      </c>
      <c r="CK166" s="72">
        <f t="shared" ref="CK166" si="1390">S166</f>
        <v>96</v>
      </c>
      <c r="CL166" s="72">
        <f t="shared" ref="CL166" si="1391">W166</f>
        <v>132</v>
      </c>
      <c r="CM166" s="72">
        <f t="shared" ref="CM166" si="1392">AA166</f>
        <v>140</v>
      </c>
      <c r="CN166" s="72">
        <f t="shared" ref="CN166" si="1393">AE166</f>
        <v>166</v>
      </c>
      <c r="CO166" s="72">
        <f t="shared" ref="CO166" si="1394">AI166</f>
        <v>182</v>
      </c>
      <c r="CP166" s="72">
        <f t="shared" ref="CP166" si="1395">AM166</f>
        <v>226</v>
      </c>
      <c r="CQ166" s="72">
        <f t="shared" ref="CQ166" si="1396">AQ166</f>
        <v>1269</v>
      </c>
      <c r="CR166" s="72">
        <f t="shared" ref="CR166" si="1397">AU166</f>
        <v>1305</v>
      </c>
      <c r="CS166" s="72">
        <f t="shared" ref="CS166" si="1398">AY166</f>
        <v>1318</v>
      </c>
      <c r="CT166" s="23" t="e">
        <f t="shared" ref="CT166" si="1399">M166-K166</f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 t="shared" ref="A167:A179" si="1400">CONCATENATE(B167,"_",C167)</f>
        <v>agtr2_human__wt</v>
      </c>
      <c r="B167" s="3" t="s">
        <v>159</v>
      </c>
      <c r="C167" s="3" t="s">
        <v>100</v>
      </c>
      <c r="D167" s="3" t="str">
        <f>IFERROR(MID(VLOOKUP($B167,Seqs!$A:$B,2,0),E167,1),"")</f>
        <v>D</v>
      </c>
      <c r="E167" s="3">
        <v>45</v>
      </c>
      <c r="F167" s="3" t="str">
        <f>IFERROR(MID(VLOOKUP($B167,Seqs!$A:$B,2,0),G167,1),"")</f>
        <v>Q</v>
      </c>
      <c r="G167" s="3">
        <v>72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V</v>
      </c>
      <c r="M167" s="3">
        <v>78</v>
      </c>
      <c r="N167" s="3" t="str">
        <f>IFERROR(MID(VLOOKUP($B167,Seqs!$A:$B,2,0),O167,1),"")</f>
        <v>Y</v>
      </c>
      <c r="O167" s="3">
        <v>106</v>
      </c>
      <c r="P167" s="3" t="str">
        <f>IFERROR(MID(VLOOKUP($B167,Seqs!$A:$B,2,0),Q167,1),"")</f>
        <v>R</v>
      </c>
      <c r="Q167" s="3">
        <v>107</v>
      </c>
      <c r="R167" s="3" t="str">
        <f>IFERROR(MID(VLOOKUP($B167,Seqs!$A:$B,2,0),S167,1),"")</f>
        <v>F</v>
      </c>
      <c r="S167" s="3">
        <v>112</v>
      </c>
      <c r="T167" s="3" t="str">
        <f>IFERROR(MID(VLOOKUP($B167,Seqs!$A:$B,2,0),U167,1),"")</f>
        <v>G</v>
      </c>
      <c r="U167" s="3">
        <v>113</v>
      </c>
      <c r="V167" s="3" t="str">
        <f>IFERROR(MID(VLOOKUP($B167,Seqs!$A:$B,2,0),W167,1),"")</f>
        <v>Y</v>
      </c>
      <c r="W167" s="3">
        <v>148</v>
      </c>
      <c r="X167" s="3" t="str">
        <f>IFERROR(MID(VLOOKUP($B167,Seqs!$A:$B,2,0),Y167,1),"")</f>
        <v>P</v>
      </c>
      <c r="Y167" s="3">
        <v>149</v>
      </c>
      <c r="Z167" s="3" t="str">
        <f>IFERROR(MID(VLOOKUP($B167,Seqs!$A:$B,2,0),AA167,1),"")</f>
        <v>R</v>
      </c>
      <c r="AA167" s="3">
        <v>155</v>
      </c>
      <c r="AB167" s="3" t="str">
        <f>IFERROR(MID(VLOOKUP($B167,Seqs!$A:$B,2,0),AC167,1),"")</f>
        <v>N</v>
      </c>
      <c r="AC167" s="3">
        <v>156</v>
      </c>
      <c r="AD167" s="3" t="str">
        <f>IFERROR(MID(VLOOKUP($B167,Seqs!$A:$B,2,0),AE167,1),"")</f>
        <v>R</v>
      </c>
      <c r="AE167" s="3">
        <v>182</v>
      </c>
      <c r="AF167" s="3" t="str">
        <f>IFERROR(MID(VLOOKUP($B167,Seqs!$A:$B,2,0),AG167,1),"")</f>
        <v>C</v>
      </c>
      <c r="AG167" s="3">
        <v>195</v>
      </c>
      <c r="AH167" s="3" t="str">
        <f>IFERROR(MID(VLOOKUP($B167,Seqs!$A:$B,2,0),AI167,1),"")</f>
        <v>M</v>
      </c>
      <c r="AI167" s="3">
        <v>197</v>
      </c>
      <c r="AJ167" s="3" t="str">
        <f>IFERROR(MID(VLOOKUP($B167,Seqs!$A:$B,2,0),AK167,1),"")</f>
        <v>K</v>
      </c>
      <c r="AK167" s="3">
        <v>203</v>
      </c>
      <c r="AL167" s="3" t="str">
        <f>IFERROR(MID(VLOOKUP($B167,Seqs!$A:$B,2,0),AM167,1),"")</f>
        <v>T</v>
      </c>
      <c r="AM167" s="3">
        <v>241</v>
      </c>
      <c r="AN167" s="3" t="str">
        <f>IFERROR(MID(VLOOKUP($B167,Seqs!$A:$B,2,0),AO167,1),"")</f>
        <v>G</v>
      </c>
      <c r="AO167" s="3">
        <v>245</v>
      </c>
      <c r="AP167" s="3" t="str">
        <f>IFERROR(MID(VLOOKUP($B167,Seqs!$A:$B,2,0),AQ167,1),"")</f>
        <v>G</v>
      </c>
      <c r="AQ167" s="3">
        <v>285</v>
      </c>
      <c r="AR167" s="3" t="str">
        <f>IFERROR(MID(VLOOKUP($B167,Seqs!$A:$B,2,0),AS167,1),"")</f>
        <v>S</v>
      </c>
      <c r="AS167" s="3">
        <v>289</v>
      </c>
      <c r="AT167" s="3" t="str">
        <f>IFERROR(MID(VLOOKUP($B167,Seqs!$A:$B,2,0),AU167,1),"")</f>
        <v>V</v>
      </c>
      <c r="AU167" s="3">
        <v>321</v>
      </c>
      <c r="AV167" s="3" t="str">
        <f>IFERROR(MID(VLOOKUP($B167,Seqs!$A:$B,2,0),AW167,1),"")</f>
        <v>G</v>
      </c>
      <c r="AW167" s="3">
        <v>322</v>
      </c>
      <c r="AX167" s="3" t="str">
        <f>IFERROR(MID(VLOOKUP($B167,Seqs!$A:$B,2,0),AY167,1),"")</f>
        <v>P</v>
      </c>
      <c r="AY167" s="3">
        <v>336</v>
      </c>
      <c r="AZ167" s="77" t="str">
        <f>VLOOKUP(B167,Classification!A:D,2,0)</f>
        <v>A</v>
      </c>
      <c r="BA167" s="94" t="str">
        <f>VLOOKUP(B167,Classification!A:D,4,0)</f>
        <v>Angiotensin</v>
      </c>
      <c r="BB167" s="27" t="b">
        <f t="shared" ref="BB167:BB179" si="1401"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 t="shared" ref="BC167:BC179" si="1402">_xlfn.AGGREGATE(9,6,CH167:CS167)-_xlfn.AGGREGATE(9,6,BV167:CG167)+12</f>
        <v>265</v>
      </c>
      <c r="BD167" s="2" t="s">
        <v>23</v>
      </c>
      <c r="BE167" s="3" t="s">
        <v>23</v>
      </c>
      <c r="BF167" s="118" t="s">
        <v>23</v>
      </c>
      <c r="BG167" s="49" t="s">
        <v>1373</v>
      </c>
      <c r="BH167" s="49" t="s">
        <v>1373</v>
      </c>
      <c r="BI167" s="1"/>
      <c r="BJ167" s="70" t="s">
        <v>1283</v>
      </c>
      <c r="BK167" s="57" t="s">
        <v>1283</v>
      </c>
      <c r="BL167" s="57" t="s">
        <v>1283</v>
      </c>
      <c r="BM167" s="57" t="s">
        <v>1283</v>
      </c>
      <c r="BN167" s="57" t="s">
        <v>1283</v>
      </c>
      <c r="BO167" s="57" t="s">
        <v>1283</v>
      </c>
      <c r="BP167" s="57" t="s">
        <v>1283</v>
      </c>
      <c r="BQ167" s="57" t="s">
        <v>1283</v>
      </c>
      <c r="BR167" s="57" t="s">
        <v>1283</v>
      </c>
      <c r="BS167" s="57" t="s">
        <v>1283</v>
      </c>
      <c r="BT167" s="57" t="s">
        <v>1283</v>
      </c>
      <c r="BU167" s="57" t="s">
        <v>1283</v>
      </c>
      <c r="BV167" s="70">
        <f t="shared" ref="BV167:BV179" si="1403">E167</f>
        <v>45</v>
      </c>
      <c r="BW167" s="71" t="str">
        <f t="shared" ref="BW167:BW179" si="1404">I167</f>
        <v>-</v>
      </c>
      <c r="BX167" s="72">
        <f t="shared" ref="BX167:BX179" si="1405">M167</f>
        <v>78</v>
      </c>
      <c r="BY167" s="71">
        <f t="shared" ref="BY167:BY179" si="1406">Q167</f>
        <v>107</v>
      </c>
      <c r="BZ167" s="72">
        <f t="shared" ref="BZ167:BZ179" si="1407">U167</f>
        <v>113</v>
      </c>
      <c r="CA167" s="71">
        <f t="shared" ref="CA167:CA179" si="1408">Y167</f>
        <v>149</v>
      </c>
      <c r="CB167" s="72">
        <f t="shared" ref="CB167:CB179" si="1409">AC167</f>
        <v>156</v>
      </c>
      <c r="CC167" s="71">
        <f t="shared" ref="CC167:CC179" si="1410">AG167</f>
        <v>195</v>
      </c>
      <c r="CD167" s="72">
        <f t="shared" ref="CD167:CD179" si="1411">AK167</f>
        <v>203</v>
      </c>
      <c r="CE167" s="71">
        <f t="shared" ref="CE167:CE179" si="1412">AO167</f>
        <v>245</v>
      </c>
      <c r="CF167" s="72">
        <f t="shared" ref="CF167:CF179" si="1413">AS167</f>
        <v>289</v>
      </c>
      <c r="CG167" s="71">
        <f t="shared" ref="CG167:CG179" si="1414">AW167</f>
        <v>322</v>
      </c>
      <c r="CH167" s="70">
        <f t="shared" ref="CH167:CH179" si="1415">G167</f>
        <v>72</v>
      </c>
      <c r="CI167" s="71" t="str">
        <f t="shared" ref="CI167:CI179" si="1416">K167</f>
        <v>-</v>
      </c>
      <c r="CJ167" s="72">
        <f t="shared" ref="CJ167:CJ179" si="1417">O167</f>
        <v>106</v>
      </c>
      <c r="CK167" s="72">
        <f t="shared" ref="CK167:CK179" si="1418">S167</f>
        <v>112</v>
      </c>
      <c r="CL167" s="72">
        <f t="shared" ref="CL167:CL179" si="1419">W167</f>
        <v>148</v>
      </c>
      <c r="CM167" s="72">
        <f t="shared" ref="CM167:CM179" si="1420">AA167</f>
        <v>155</v>
      </c>
      <c r="CN167" s="72">
        <f t="shared" ref="CN167:CN179" si="1421">AE167</f>
        <v>182</v>
      </c>
      <c r="CO167" s="72">
        <f t="shared" ref="CO167:CO179" si="1422">AI167</f>
        <v>197</v>
      </c>
      <c r="CP167" s="72">
        <f t="shared" ref="CP167:CP179" si="1423">AM167</f>
        <v>241</v>
      </c>
      <c r="CQ167" s="72">
        <f t="shared" ref="CQ167:CQ179" si="1424">AQ167</f>
        <v>285</v>
      </c>
      <c r="CR167" s="72">
        <f t="shared" ref="CR167:CR179" si="1425">AU167</f>
        <v>321</v>
      </c>
      <c r="CS167" s="72">
        <f t="shared" ref="CS167:CS179" si="1426">AY167</f>
        <v>336</v>
      </c>
      <c r="CT167" s="23" t="e">
        <f t="shared" ref="CT167:CT179" si="1427">M167-K167</f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1400"/>
        <v>agtr2_human_5UNF</v>
      </c>
      <c r="B168" s="3" t="s">
        <v>159</v>
      </c>
      <c r="C168" s="3" t="s">
        <v>1388</v>
      </c>
      <c r="D168" s="3" t="str">
        <f>IFERROR(MID(VLOOKUP($B168,Seqs!$A:$B,2,0),E168,1),"")</f>
        <v>A</v>
      </c>
      <c r="E168" s="3">
        <v>46</v>
      </c>
      <c r="F168" s="3" t="str">
        <f>IFERROR(MID(VLOOKUP($B168,Seqs!$A:$B,2,0),G168,1),"")</f>
        <v>Q</v>
      </c>
      <c r="G168" s="3">
        <v>72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V</v>
      </c>
      <c r="M168" s="3">
        <v>78</v>
      </c>
      <c r="N168" s="3" t="str">
        <f>IFERROR(MID(VLOOKUP($B168,Seqs!$A:$B,2,0),O168,1),"")</f>
        <v>Y</v>
      </c>
      <c r="O168" s="3">
        <v>106</v>
      </c>
      <c r="P168" s="3" t="str">
        <f>IFERROR(MID(VLOOKUP($B168,Seqs!$A:$B,2,0),Q168,1),"")</f>
        <v>R</v>
      </c>
      <c r="Q168" s="3">
        <v>107</v>
      </c>
      <c r="R168" s="3" t="str">
        <f>IFERROR(MID(VLOOKUP($B168,Seqs!$A:$B,2,0),S168,1),"")</f>
        <v>F</v>
      </c>
      <c r="S168" s="3">
        <v>112</v>
      </c>
      <c r="T168" s="3" t="str">
        <f>IFERROR(MID(VLOOKUP($B168,Seqs!$A:$B,2,0),U168,1),"")</f>
        <v>G</v>
      </c>
      <c r="U168" s="3">
        <v>113</v>
      </c>
      <c r="V168" s="3" t="str">
        <f>IFERROR(MID(VLOOKUP($B168,Seqs!$A:$B,2,0),W168,1),"")</f>
        <v>Y</v>
      </c>
      <c r="W168" s="3">
        <v>148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W</v>
      </c>
      <c r="AC168" s="3">
        <v>158</v>
      </c>
      <c r="AD168" s="3" t="str">
        <f>IFERROR(MID(VLOOKUP($B168,Seqs!$A:$B,2,0),AE168,1),"")</f>
        <v>R</v>
      </c>
      <c r="AE168" s="3">
        <v>182</v>
      </c>
      <c r="AF168" s="3" t="str">
        <f>IFERROR(MID(VLOOKUP($B168,Seqs!$A:$B,2,0),AG168,1),"")</f>
        <v>C</v>
      </c>
      <c r="AG168" s="3">
        <v>195</v>
      </c>
      <c r="AH168" s="3" t="str">
        <f>IFERROR(MID(VLOOKUP($B168,Seqs!$A:$B,2,0),AI168,1),"")</f>
        <v>M</v>
      </c>
      <c r="AI168" s="3">
        <v>197</v>
      </c>
      <c r="AJ168" s="3" t="str">
        <f>IFERROR(MID(VLOOKUP($B168,Seqs!$A:$B,2,0),AK168,1),"")</f>
        <v>Y</v>
      </c>
      <c r="AK168" s="3">
        <v>204</v>
      </c>
      <c r="AL168" s="3" t="str">
        <f>IFERROR(MID(VLOOKUP($B168,Seqs!$A:$B,2,0),AM168,1),"")</f>
        <v>T</v>
      </c>
      <c r="AM168" s="3">
        <v>241</v>
      </c>
      <c r="AN168" s="3" t="str">
        <f>IFERROR(MID(VLOOKUP($B168,Seqs!$A:$B,2,0),AO168,1),"")</f>
        <v>G</v>
      </c>
      <c r="AO168" s="3">
        <v>245</v>
      </c>
      <c r="AP168" s="3" t="str">
        <f>IFERROR(MID(VLOOKUP($B168,Seqs!$A:$B,2,0),AQ168,1),"")</f>
        <v>G</v>
      </c>
      <c r="AQ168" s="3">
        <v>285</v>
      </c>
      <c r="AR168" s="3" t="str">
        <f>IFERROR(MID(VLOOKUP($B168,Seqs!$A:$B,2,0),AS168,1),"")</f>
        <v>C</v>
      </c>
      <c r="AS168" s="3">
        <v>290</v>
      </c>
      <c r="AT168" s="3" t="str">
        <f>IFERROR(MID(VLOOKUP($B168,Seqs!$A:$B,2,0),AU168,1),"")</f>
        <v>V</v>
      </c>
      <c r="AU168" s="3">
        <v>321</v>
      </c>
      <c r="AV168" s="3" t="str">
        <f>IFERROR(MID(VLOOKUP($B168,Seqs!$A:$B,2,0),AW168,1),"")</f>
        <v>G</v>
      </c>
      <c r="AW168" s="3">
        <v>322</v>
      </c>
      <c r="AX168" s="3" t="str">
        <f>IFERROR(MID(VLOOKUP($B168,Seqs!$A:$B,2,0),AY168,1),"")</f>
        <v>R</v>
      </c>
      <c r="AY168" s="3">
        <v>334</v>
      </c>
      <c r="AZ168" s="77"/>
      <c r="BA168" s="94" t="str">
        <f>VLOOKUP(B168,Classification!A:D,4,0)</f>
        <v>Angiotensin</v>
      </c>
      <c r="BB168" s="27" t="b">
        <f t="shared" si="1401"/>
        <v>1</v>
      </c>
      <c r="BC168" s="23">
        <f t="shared" si="1402"/>
        <v>252</v>
      </c>
      <c r="BD168" s="2" t="s">
        <v>23</v>
      </c>
      <c r="BE168" s="3" t="s">
        <v>1287</v>
      </c>
      <c r="BF168" s="118">
        <v>2.8</v>
      </c>
      <c r="BG168" s="49" t="s">
        <v>1373</v>
      </c>
      <c r="BH168" s="49" t="s">
        <v>1</v>
      </c>
      <c r="BI168" s="1"/>
      <c r="BJ168" s="70" t="s">
        <v>1283</v>
      </c>
      <c r="BK168" s="57" t="s">
        <v>1283</v>
      </c>
      <c r="BL168" s="57" t="s">
        <v>1283</v>
      </c>
      <c r="BM168" s="57" t="s">
        <v>1283</v>
      </c>
      <c r="BN168" s="57" t="s">
        <v>1283</v>
      </c>
      <c r="BO168" s="57" t="s">
        <v>1283</v>
      </c>
      <c r="BP168" s="57" t="s">
        <v>1283</v>
      </c>
      <c r="BQ168" s="57" t="s">
        <v>1283</v>
      </c>
      <c r="BR168" s="57" t="s">
        <v>1283</v>
      </c>
      <c r="BS168" s="57" t="s">
        <v>1283</v>
      </c>
      <c r="BT168" s="57" t="s">
        <v>1283</v>
      </c>
      <c r="BU168" s="57" t="s">
        <v>1283</v>
      </c>
      <c r="BV168" s="70">
        <f t="shared" si="1403"/>
        <v>46</v>
      </c>
      <c r="BW168" s="71" t="str">
        <f t="shared" si="1404"/>
        <v>-</v>
      </c>
      <c r="BX168" s="72">
        <f t="shared" si="1405"/>
        <v>78</v>
      </c>
      <c r="BY168" s="71">
        <f t="shared" si="1406"/>
        <v>107</v>
      </c>
      <c r="BZ168" s="72">
        <f t="shared" si="1407"/>
        <v>113</v>
      </c>
      <c r="CA168" s="71" t="str">
        <f t="shared" si="1408"/>
        <v>-</v>
      </c>
      <c r="CB168" s="72">
        <f t="shared" si="1409"/>
        <v>158</v>
      </c>
      <c r="CC168" s="71">
        <f t="shared" si="1410"/>
        <v>195</v>
      </c>
      <c r="CD168" s="72">
        <f t="shared" si="1411"/>
        <v>204</v>
      </c>
      <c r="CE168" s="71">
        <f t="shared" si="1412"/>
        <v>245</v>
      </c>
      <c r="CF168" s="72">
        <f t="shared" si="1413"/>
        <v>290</v>
      </c>
      <c r="CG168" s="71">
        <f t="shared" si="1414"/>
        <v>322</v>
      </c>
      <c r="CH168" s="70">
        <f t="shared" si="1415"/>
        <v>72</v>
      </c>
      <c r="CI168" s="71" t="str">
        <f t="shared" si="1416"/>
        <v>-</v>
      </c>
      <c r="CJ168" s="72">
        <f t="shared" si="1417"/>
        <v>106</v>
      </c>
      <c r="CK168" s="72">
        <f t="shared" si="1418"/>
        <v>112</v>
      </c>
      <c r="CL168" s="72">
        <f t="shared" si="1419"/>
        <v>148</v>
      </c>
      <c r="CM168" s="72" t="str">
        <f t="shared" si="1420"/>
        <v>-</v>
      </c>
      <c r="CN168" s="72">
        <f t="shared" si="1421"/>
        <v>182</v>
      </c>
      <c r="CO168" s="72">
        <f t="shared" si="1422"/>
        <v>197</v>
      </c>
      <c r="CP168" s="72">
        <f t="shared" si="1423"/>
        <v>241</v>
      </c>
      <c r="CQ168" s="72">
        <f t="shared" si="1424"/>
        <v>285</v>
      </c>
      <c r="CR168" s="72">
        <f t="shared" si="1425"/>
        <v>321</v>
      </c>
      <c r="CS168" s="72">
        <f t="shared" si="1426"/>
        <v>334</v>
      </c>
      <c r="CT168" s="23" t="e">
        <f t="shared" si="1427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1400"/>
        <v>agtr2_human_5UNG</v>
      </c>
      <c r="B169" s="3" t="s">
        <v>159</v>
      </c>
      <c r="C169" s="3" t="s">
        <v>1390</v>
      </c>
      <c r="D169" s="3" t="str">
        <f>IFERROR(MID(VLOOKUP($B169,Seqs!$A:$B,2,0),E169,1),"")</f>
        <v>D</v>
      </c>
      <c r="E169" s="3">
        <v>45</v>
      </c>
      <c r="F169" s="3" t="str">
        <f>IFERROR(MID(VLOOKUP($B169,Seqs!$A:$B,2,0),G169,1),"")</f>
        <v>C</v>
      </c>
      <c r="G169" s="3">
        <v>71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V</v>
      </c>
      <c r="M169" s="3">
        <v>78</v>
      </c>
      <c r="N169" s="3" t="str">
        <f>IFERROR(MID(VLOOKUP($B169,Seqs!$A:$B,2,0),O169,1),"")</f>
        <v>Y</v>
      </c>
      <c r="O169" s="3">
        <v>106</v>
      </c>
      <c r="P169" s="3" t="str">
        <f>IFERROR(MID(VLOOKUP($B169,Seqs!$A:$B,2,0),Q169,1),"")</f>
        <v>R</v>
      </c>
      <c r="Q169" s="3">
        <v>107</v>
      </c>
      <c r="R169" s="3" t="str">
        <f>IFERROR(MID(VLOOKUP($B169,Seqs!$A:$B,2,0),S169,1),"")</f>
        <v>F</v>
      </c>
      <c r="S169" s="3">
        <v>112</v>
      </c>
      <c r="T169" s="3" t="str">
        <f>IFERROR(MID(VLOOKUP($B169,Seqs!$A:$B,2,0),U169,1),"")</f>
        <v>G</v>
      </c>
      <c r="U169" s="3">
        <v>113</v>
      </c>
      <c r="V169" s="3" t="str">
        <f>IFERROR(MID(VLOOKUP($B169,Seqs!$A:$B,2,0),W169,1),"")</f>
        <v>Y</v>
      </c>
      <c r="W169" s="3">
        <v>148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Q</v>
      </c>
      <c r="AC169" s="3">
        <v>159</v>
      </c>
      <c r="AD169" s="3" t="str">
        <f>IFERROR(MID(VLOOKUP($B169,Seqs!$A:$B,2,0),AE169,1),"")</f>
        <v>R</v>
      </c>
      <c r="AE169" s="3">
        <v>182</v>
      </c>
      <c r="AF169" s="3" t="str">
        <f>IFERROR(MID(VLOOKUP($B169,Seqs!$A:$B,2,0),AG169,1),"")</f>
        <v>C</v>
      </c>
      <c r="AG169" s="3">
        <v>195</v>
      </c>
      <c r="AH169" s="3" t="str">
        <f>IFERROR(MID(VLOOKUP($B169,Seqs!$A:$B,2,0),AI169,1),"")</f>
        <v>M</v>
      </c>
      <c r="AI169" s="3">
        <v>197</v>
      </c>
      <c r="AJ169" s="3" t="str">
        <f>IFERROR(MID(VLOOKUP($B169,Seqs!$A:$B,2,0),AK169,1),"")</f>
        <v>K</v>
      </c>
      <c r="AK169" s="3">
        <v>203</v>
      </c>
      <c r="AL169" s="3" t="str">
        <f>IFERROR(MID(VLOOKUP($B169,Seqs!$A:$B,2,0),AM169,1),"")</f>
        <v>T</v>
      </c>
      <c r="AM169" s="3">
        <v>241</v>
      </c>
      <c r="AN169" s="3" t="str">
        <f>IFERROR(MID(VLOOKUP($B169,Seqs!$A:$B,2,0),AO169,1),"")</f>
        <v>G</v>
      </c>
      <c r="AO169" s="3">
        <v>245</v>
      </c>
      <c r="AP169" s="3" t="str">
        <f>IFERROR(MID(VLOOKUP($B169,Seqs!$A:$B,2,0),AQ169,1),"")</f>
        <v>G</v>
      </c>
      <c r="AQ169" s="3">
        <v>285</v>
      </c>
      <c r="AR169" s="3" t="str">
        <f>IFERROR(MID(VLOOKUP($B169,Seqs!$A:$B,2,0),AS169,1),"")</f>
        <v>S</v>
      </c>
      <c r="AS169" s="3">
        <v>289</v>
      </c>
      <c r="AT169" s="3" t="str">
        <f>IFERROR(MID(VLOOKUP($B169,Seqs!$A:$B,2,0),AU169,1),"")</f>
        <v>V</v>
      </c>
      <c r="AU169" s="3">
        <v>321</v>
      </c>
      <c r="AV169" s="3" t="str">
        <f>IFERROR(MID(VLOOKUP($B169,Seqs!$A:$B,2,0),AW169,1),"")</f>
        <v>G</v>
      </c>
      <c r="AW169" s="3">
        <v>322</v>
      </c>
      <c r="AX169" s="3" t="str">
        <f>IFERROR(MID(VLOOKUP($B169,Seqs!$A:$B,2,0),AY169,1),"")</f>
        <v>R</v>
      </c>
      <c r="AY169" s="3">
        <v>334</v>
      </c>
      <c r="AZ169" s="77" t="str">
        <f>VLOOKUP(B169,Classification!A:D,2,0)</f>
        <v>A</v>
      </c>
      <c r="BA169" s="94" t="str">
        <f>VLOOKUP(B169,Classification!A:D,4,0)</f>
        <v>Angiotensin</v>
      </c>
      <c r="BB169" s="27" t="b">
        <f t="shared" si="1401"/>
        <v>1</v>
      </c>
      <c r="BC169" s="23">
        <f t="shared" si="1402"/>
        <v>253</v>
      </c>
      <c r="BD169" s="2" t="s">
        <v>23</v>
      </c>
      <c r="BE169" s="3" t="s">
        <v>1287</v>
      </c>
      <c r="BF169" s="118">
        <v>2.8</v>
      </c>
      <c r="BG169" s="49" t="s">
        <v>1373</v>
      </c>
      <c r="BH169" s="49" t="s">
        <v>1277</v>
      </c>
      <c r="BI169" s="1"/>
      <c r="BJ169" s="70" t="s">
        <v>1283</v>
      </c>
      <c r="BK169" s="57" t="s">
        <v>1283</v>
      </c>
      <c r="BL169" s="57" t="s">
        <v>1283</v>
      </c>
      <c r="BM169" s="57" t="s">
        <v>1283</v>
      </c>
      <c r="BN169" s="57" t="s">
        <v>1283</v>
      </c>
      <c r="BO169" s="57" t="s">
        <v>1283</v>
      </c>
      <c r="BP169" s="57" t="s">
        <v>1283</v>
      </c>
      <c r="BQ169" s="57" t="s">
        <v>1283</v>
      </c>
      <c r="BR169" s="57" t="s">
        <v>1283</v>
      </c>
      <c r="BS169" s="57" t="s">
        <v>1283</v>
      </c>
      <c r="BT169" s="57" t="s">
        <v>1283</v>
      </c>
      <c r="BU169" s="57" t="s">
        <v>1283</v>
      </c>
      <c r="BV169" s="70">
        <f t="shared" si="1403"/>
        <v>45</v>
      </c>
      <c r="BW169" s="71" t="str">
        <f t="shared" si="1404"/>
        <v>-</v>
      </c>
      <c r="BX169" s="72">
        <f t="shared" si="1405"/>
        <v>78</v>
      </c>
      <c r="BY169" s="71">
        <f t="shared" si="1406"/>
        <v>107</v>
      </c>
      <c r="BZ169" s="72">
        <f t="shared" si="1407"/>
        <v>113</v>
      </c>
      <c r="CA169" s="71" t="str">
        <f t="shared" si="1408"/>
        <v>-</v>
      </c>
      <c r="CB169" s="72">
        <f t="shared" si="1409"/>
        <v>159</v>
      </c>
      <c r="CC169" s="71">
        <f t="shared" si="1410"/>
        <v>195</v>
      </c>
      <c r="CD169" s="72">
        <f t="shared" si="1411"/>
        <v>203</v>
      </c>
      <c r="CE169" s="71">
        <f t="shared" si="1412"/>
        <v>245</v>
      </c>
      <c r="CF169" s="72">
        <f t="shared" si="1413"/>
        <v>289</v>
      </c>
      <c r="CG169" s="71">
        <f t="shared" si="1414"/>
        <v>322</v>
      </c>
      <c r="CH169" s="70">
        <f t="shared" si="1415"/>
        <v>71</v>
      </c>
      <c r="CI169" s="71" t="str">
        <f t="shared" si="1416"/>
        <v>-</v>
      </c>
      <c r="CJ169" s="72">
        <f t="shared" si="1417"/>
        <v>106</v>
      </c>
      <c r="CK169" s="72">
        <f t="shared" si="1418"/>
        <v>112</v>
      </c>
      <c r="CL169" s="72">
        <f t="shared" si="1419"/>
        <v>148</v>
      </c>
      <c r="CM169" s="72" t="str">
        <f t="shared" si="1420"/>
        <v>-</v>
      </c>
      <c r="CN169" s="72">
        <f t="shared" si="1421"/>
        <v>182</v>
      </c>
      <c r="CO169" s="72">
        <f t="shared" si="1422"/>
        <v>197</v>
      </c>
      <c r="CP169" s="72">
        <f t="shared" si="1423"/>
        <v>241</v>
      </c>
      <c r="CQ169" s="72">
        <f t="shared" si="1424"/>
        <v>285</v>
      </c>
      <c r="CR169" s="72">
        <f t="shared" si="1425"/>
        <v>321</v>
      </c>
      <c r="CS169" s="72">
        <f t="shared" si="1426"/>
        <v>334</v>
      </c>
      <c r="CT169" s="23" t="e">
        <f t="shared" si="1427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 t="shared" si="1400"/>
        <v>agtr2_human_5UNH</v>
      </c>
      <c r="B170" s="3" t="s">
        <v>159</v>
      </c>
      <c r="C170" s="3" t="s">
        <v>1391</v>
      </c>
      <c r="D170" s="3" t="str">
        <f>IFERROR(MID(VLOOKUP($B170,Seqs!$A:$B,2,0),E170,1),"")</f>
        <v>D</v>
      </c>
      <c r="E170" s="3">
        <v>45</v>
      </c>
      <c r="F170" s="3" t="str">
        <f>IFERROR(MID(VLOOKUP($B170,Seqs!$A:$B,2,0),G170,1),"")</f>
        <v>C</v>
      </c>
      <c r="G170" s="3">
        <v>70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K</v>
      </c>
      <c r="M170" s="3">
        <v>77</v>
      </c>
      <c r="N170" s="3" t="str">
        <f>IFERROR(MID(VLOOKUP($B170,Seqs!$A:$B,2,0),O170,1),"")</f>
        <v>Y</v>
      </c>
      <c r="O170" s="3">
        <v>106</v>
      </c>
      <c r="P170" s="3" t="str">
        <f>IFERROR(MID(VLOOKUP($B170,Seqs!$A:$B,2,0),Q170,1),"")</f>
        <v>R</v>
      </c>
      <c r="Q170" s="3">
        <v>107</v>
      </c>
      <c r="R170" s="3" t="str">
        <f>IFERROR(MID(VLOOKUP($B170,Seqs!$A:$B,2,0),S170,1),"")</f>
        <v>F</v>
      </c>
      <c r="S170" s="3">
        <v>112</v>
      </c>
      <c r="T170" s="3" t="str">
        <f>IFERROR(MID(VLOOKUP($B170,Seqs!$A:$B,2,0),U170,1),"")</f>
        <v>G</v>
      </c>
      <c r="U170" s="3">
        <v>113</v>
      </c>
      <c r="V170" s="3" t="str">
        <f>IFERROR(MID(VLOOKUP($B170,Seqs!$A:$B,2,0),W170,1),"")</f>
        <v>Y</v>
      </c>
      <c r="W170" s="3">
        <v>148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Y</v>
      </c>
      <c r="AC170" s="3">
        <v>162</v>
      </c>
      <c r="AD170" s="3" t="str">
        <f>IFERROR(MID(VLOOKUP($B170,Seqs!$A:$B,2,0),AE170,1),"")</f>
        <v>R</v>
      </c>
      <c r="AE170" s="3">
        <v>182</v>
      </c>
      <c r="AF170" s="3" t="str">
        <f>IFERROR(MID(VLOOKUP($B170,Seqs!$A:$B,2,0),AG170,1),"")</f>
        <v>C</v>
      </c>
      <c r="AG170" s="3">
        <v>195</v>
      </c>
      <c r="AH170" s="3" t="str">
        <f>IFERROR(MID(VLOOKUP($B170,Seqs!$A:$B,2,0),AI170,1),"")</f>
        <v>M</v>
      </c>
      <c r="AI170" s="3">
        <v>197</v>
      </c>
      <c r="AJ170" s="3" t="str">
        <f>IFERROR(MID(VLOOKUP($B170,Seqs!$A:$B,2,0),AK170,1),"")</f>
        <v>Y</v>
      </c>
      <c r="AK170" s="3">
        <v>204</v>
      </c>
      <c r="AL170" s="3" t="str">
        <f>IFERROR(MID(VLOOKUP($B170,Seqs!$A:$B,2,0),AM170,1),"")</f>
        <v>T</v>
      </c>
      <c r="AM170" s="3">
        <v>241</v>
      </c>
      <c r="AN170" s="3" t="str">
        <f>IFERROR(MID(VLOOKUP($B170,Seqs!$A:$B,2,0),AO170,1),"")</f>
        <v>G</v>
      </c>
      <c r="AO170" s="3">
        <v>245</v>
      </c>
      <c r="AP170" s="3" t="str">
        <f>IFERROR(MID(VLOOKUP($B170,Seqs!$A:$B,2,0),AQ170,1),"")</f>
        <v>G</v>
      </c>
      <c r="AQ170" s="3">
        <v>285</v>
      </c>
      <c r="AR170" s="3" t="str">
        <f>IFERROR(MID(VLOOKUP($B170,Seqs!$A:$B,2,0),AS170,1),"")</f>
        <v>S</v>
      </c>
      <c r="AS170" s="3">
        <v>289</v>
      </c>
      <c r="AT170" s="3" t="str">
        <f>IFERROR(MID(VLOOKUP($B170,Seqs!$A:$B,2,0),AU170,1),"")</f>
        <v>V</v>
      </c>
      <c r="AU170" s="3">
        <v>321</v>
      </c>
      <c r="AV170" s="3" t="str">
        <f>IFERROR(MID(VLOOKUP($B170,Seqs!$A:$B,2,0),AW170,1),"")</f>
        <v>G</v>
      </c>
      <c r="AW170" s="3">
        <v>322</v>
      </c>
      <c r="AX170" s="3" t="str">
        <f>IFERROR(MID(VLOOKUP($B170,Seqs!$A:$B,2,0),AY170,1),"")</f>
        <v>V</v>
      </c>
      <c r="AY170" s="3">
        <v>332</v>
      </c>
      <c r="AZ170" s="77" t="str">
        <f>VLOOKUP(B170,Classification!A:D,2,0)</f>
        <v>A</v>
      </c>
      <c r="BA170" s="94" t="str">
        <f>VLOOKUP(B170,Classification!A:D,4,0)</f>
        <v>Angiotensin</v>
      </c>
      <c r="BB170" s="27" t="b">
        <f t="shared" si="1401"/>
        <v>1</v>
      </c>
      <c r="BC170" s="23">
        <f t="shared" si="1402"/>
        <v>247</v>
      </c>
      <c r="BD170" s="2" t="s">
        <v>23</v>
      </c>
      <c r="BE170" s="3" t="s">
        <v>1287</v>
      </c>
      <c r="BF170" s="118">
        <v>2.9</v>
      </c>
      <c r="BG170" s="49" t="s">
        <v>1373</v>
      </c>
      <c r="BH170" s="49" t="s">
        <v>1277</v>
      </c>
      <c r="BI170" s="1"/>
      <c r="BJ170" s="70" t="s">
        <v>1283</v>
      </c>
      <c r="BK170" s="57" t="s">
        <v>1283</v>
      </c>
      <c r="BL170" s="57" t="s">
        <v>1283</v>
      </c>
      <c r="BM170" s="57" t="s">
        <v>1283</v>
      </c>
      <c r="BN170" s="57" t="s">
        <v>1283</v>
      </c>
      <c r="BO170" s="57" t="s">
        <v>1283</v>
      </c>
      <c r="BP170" s="57" t="s">
        <v>1283</v>
      </c>
      <c r="BQ170" s="57" t="s">
        <v>1283</v>
      </c>
      <c r="BR170" s="57" t="s">
        <v>1283</v>
      </c>
      <c r="BS170" s="57" t="s">
        <v>1283</v>
      </c>
      <c r="BT170" s="57" t="s">
        <v>1283</v>
      </c>
      <c r="BU170" s="57" t="s">
        <v>1283</v>
      </c>
      <c r="BV170" s="70">
        <f t="shared" si="1403"/>
        <v>45</v>
      </c>
      <c r="BW170" s="71" t="str">
        <f t="shared" si="1404"/>
        <v>-</v>
      </c>
      <c r="BX170" s="72">
        <f t="shared" si="1405"/>
        <v>77</v>
      </c>
      <c r="BY170" s="71">
        <f t="shared" si="1406"/>
        <v>107</v>
      </c>
      <c r="BZ170" s="72">
        <f t="shared" si="1407"/>
        <v>113</v>
      </c>
      <c r="CA170" s="71" t="str">
        <f t="shared" si="1408"/>
        <v>-</v>
      </c>
      <c r="CB170" s="72">
        <f t="shared" si="1409"/>
        <v>162</v>
      </c>
      <c r="CC170" s="71">
        <f t="shared" si="1410"/>
        <v>195</v>
      </c>
      <c r="CD170" s="72">
        <f t="shared" si="1411"/>
        <v>204</v>
      </c>
      <c r="CE170" s="71">
        <f t="shared" si="1412"/>
        <v>245</v>
      </c>
      <c r="CF170" s="72">
        <f t="shared" si="1413"/>
        <v>289</v>
      </c>
      <c r="CG170" s="71">
        <f t="shared" si="1414"/>
        <v>322</v>
      </c>
      <c r="CH170" s="70">
        <f t="shared" si="1415"/>
        <v>70</v>
      </c>
      <c r="CI170" s="71" t="str">
        <f t="shared" si="1416"/>
        <v>-</v>
      </c>
      <c r="CJ170" s="72">
        <f t="shared" si="1417"/>
        <v>106</v>
      </c>
      <c r="CK170" s="72">
        <f t="shared" si="1418"/>
        <v>112</v>
      </c>
      <c r="CL170" s="72">
        <f t="shared" si="1419"/>
        <v>148</v>
      </c>
      <c r="CM170" s="72" t="str">
        <f t="shared" si="1420"/>
        <v>-</v>
      </c>
      <c r="CN170" s="72">
        <f t="shared" si="1421"/>
        <v>182</v>
      </c>
      <c r="CO170" s="72">
        <f t="shared" si="1422"/>
        <v>197</v>
      </c>
      <c r="CP170" s="72">
        <f t="shared" si="1423"/>
        <v>241</v>
      </c>
      <c r="CQ170" s="72">
        <f t="shared" si="1424"/>
        <v>285</v>
      </c>
      <c r="CR170" s="72">
        <f t="shared" si="1425"/>
        <v>321</v>
      </c>
      <c r="CS170" s="72">
        <f t="shared" si="1426"/>
        <v>332</v>
      </c>
      <c r="CT170" s="23" t="e">
        <f t="shared" si="1427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ref="A171" si="1428">CONCATENATE(B171,"_",C171)</f>
        <v>agtr2_human_5XJM</v>
      </c>
      <c r="B171" s="3" t="s">
        <v>159</v>
      </c>
      <c r="C171" s="3" t="s">
        <v>1507</v>
      </c>
      <c r="D171" s="3" t="str">
        <f>IFERROR(MID(VLOOKUP($B171,Seqs!$A:$B,2,0),E171,1),"")</f>
        <v>A</v>
      </c>
      <c r="E171" s="3">
        <v>46</v>
      </c>
      <c r="F171" s="3" t="str">
        <f>IFERROR(MID(VLOOKUP($B171,Seqs!$A:$B,2,0),G171,1),"")</f>
        <v>K</v>
      </c>
      <c r="G171" s="3">
        <v>73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V</v>
      </c>
      <c r="M171" s="3">
        <v>78</v>
      </c>
      <c r="N171" s="3" t="str">
        <f>IFERROR(MID(VLOOKUP($B171,Seqs!$A:$B,2,0),O171,1),"")</f>
        <v>Y</v>
      </c>
      <c r="O171" s="3">
        <v>106</v>
      </c>
      <c r="P171" s="3" t="str">
        <f>IFERROR(MID(VLOOKUP($B171,Seqs!$A:$B,2,0),Q171,1),"")</f>
        <v>R</v>
      </c>
      <c r="Q171" s="3">
        <v>107</v>
      </c>
      <c r="R171" s="3" t="str">
        <f>IFERROR(MID(VLOOKUP($B171,Seqs!$A:$B,2,0),S171,1),"")</f>
        <v>F</v>
      </c>
      <c r="S171" s="3">
        <v>112</v>
      </c>
      <c r="T171" s="3" t="str">
        <f>IFERROR(MID(VLOOKUP($B171,Seqs!$A:$B,2,0),U171,1),"")</f>
        <v>G</v>
      </c>
      <c r="U171" s="3">
        <v>113</v>
      </c>
      <c r="V171" s="3" t="str">
        <f>IFERROR(MID(VLOOKUP($B171,Seqs!$A:$B,2,0),W171,1),"")</f>
        <v>Y</v>
      </c>
      <c r="W171" s="3">
        <v>148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3">
        <v>155</v>
      </c>
      <c r="AD171" s="3" t="str">
        <f>IFERROR(MID(VLOOKUP($B171,Seqs!$A:$B,2,0),AE171,1),"")</f>
        <v>F</v>
      </c>
      <c r="AE171" s="3">
        <v>181</v>
      </c>
      <c r="AF171" s="3" t="str">
        <f>IFERROR(MID(VLOOKUP($B171,Seqs!$A:$B,2,0),AG171,1),"")</f>
        <v>C</v>
      </c>
      <c r="AG171" s="3">
        <v>195</v>
      </c>
      <c r="AH171" s="3" t="str">
        <f>IFERROR(MID(VLOOKUP($B171,Seqs!$A:$B,2,0),AI171,1),"")</f>
        <v>M</v>
      </c>
      <c r="AI171" s="3">
        <v>197</v>
      </c>
      <c r="AJ171" s="3" t="str">
        <f>IFERROR(MID(VLOOKUP($B171,Seqs!$A:$B,2,0),AK171,1),"")</f>
        <v>K</v>
      </c>
      <c r="AK171" s="3">
        <v>203</v>
      </c>
      <c r="AL171" s="3" t="str">
        <f>IFERROR(MID(VLOOKUP($B171,Seqs!$A:$B,2,0),AM171,1),"")</f>
        <v>N</v>
      </c>
      <c r="AM171" s="3">
        <v>242</v>
      </c>
      <c r="AN171" s="3" t="str">
        <f>IFERROR(MID(VLOOKUP($B171,Seqs!$A:$B,2,0),AO171,1),"")</f>
        <v>N</v>
      </c>
      <c r="AO171" s="3">
        <v>247</v>
      </c>
      <c r="AP171" s="3" t="str">
        <f>IFERROR(MID(VLOOKUP($B171,Seqs!$A:$B,2,0),AQ171,1),"")</f>
        <v>G</v>
      </c>
      <c r="AQ171" s="3">
        <v>285</v>
      </c>
      <c r="AR171" s="3" t="str">
        <f>IFERROR(MID(VLOOKUP($B171,Seqs!$A:$B,2,0),AS171,1),"")</f>
        <v>S</v>
      </c>
      <c r="AS171" s="3">
        <v>289</v>
      </c>
      <c r="AT171" s="3" t="str">
        <f>IFERROR(MID(VLOOKUP($B171,Seqs!$A:$B,2,0),AU171,1),"")</f>
        <v>F</v>
      </c>
      <c r="AU171" s="3">
        <v>320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Angiotensin</v>
      </c>
      <c r="BB171" s="27" t="b">
        <f t="shared" ref="BB171" si="1429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 t="shared" ref="BC171" si="1430">_xlfn.AGGREGATE(9,6,CH171:CS171)-_xlfn.AGGREGATE(9,6,BV171:CG171)+12</f>
        <v>243</v>
      </c>
      <c r="BD171" s="2" t="s">
        <v>23</v>
      </c>
      <c r="BE171" s="3" t="s">
        <v>1287</v>
      </c>
      <c r="BF171" s="118">
        <v>3.2</v>
      </c>
      <c r="BG171" s="49" t="s">
        <v>1</v>
      </c>
      <c r="BH171" s="49" t="s">
        <v>1</v>
      </c>
      <c r="BI171" s="1"/>
      <c r="BJ171" s="70" t="s">
        <v>1283</v>
      </c>
      <c r="BK171" s="57" t="s">
        <v>1283</v>
      </c>
      <c r="BL171" s="57" t="s">
        <v>1283</v>
      </c>
      <c r="BM171" s="57" t="s">
        <v>1283</v>
      </c>
      <c r="BN171" s="57" t="s">
        <v>1283</v>
      </c>
      <c r="BO171" s="57" t="s">
        <v>1283</v>
      </c>
      <c r="BP171" s="57" t="s">
        <v>1283</v>
      </c>
      <c r="BQ171" s="57" t="s">
        <v>1283</v>
      </c>
      <c r="BR171" s="57" t="s">
        <v>1283</v>
      </c>
      <c r="BS171" s="57" t="s">
        <v>1283</v>
      </c>
      <c r="BT171" s="57" t="s">
        <v>1283</v>
      </c>
      <c r="BU171" s="57" t="s">
        <v>1283</v>
      </c>
      <c r="BV171" s="70">
        <f t="shared" ref="BV171" si="1431">E171</f>
        <v>46</v>
      </c>
      <c r="BW171" s="71" t="str">
        <f t="shared" ref="BW171" si="1432">I171</f>
        <v>-</v>
      </c>
      <c r="BX171" s="72">
        <f t="shared" ref="BX171" si="1433">M171</f>
        <v>78</v>
      </c>
      <c r="BY171" s="71">
        <f t="shared" ref="BY171" si="1434">Q171</f>
        <v>107</v>
      </c>
      <c r="BZ171" s="72">
        <f t="shared" ref="BZ171" si="1435">U171</f>
        <v>113</v>
      </c>
      <c r="CA171" s="71" t="str">
        <f t="shared" ref="CA171" si="1436">Y171</f>
        <v>-</v>
      </c>
      <c r="CB171" s="72">
        <f t="shared" ref="CB171" si="1437">AC171</f>
        <v>155</v>
      </c>
      <c r="CC171" s="71">
        <f t="shared" ref="CC171" si="1438">AG171</f>
        <v>195</v>
      </c>
      <c r="CD171" s="72">
        <f t="shared" ref="CD171" si="1439">AK171</f>
        <v>203</v>
      </c>
      <c r="CE171" s="71">
        <f t="shared" ref="CE171" si="1440">AO171</f>
        <v>247</v>
      </c>
      <c r="CF171" s="72">
        <f t="shared" ref="CF171" si="1441">AS171</f>
        <v>289</v>
      </c>
      <c r="CG171" s="71" t="str">
        <f t="shared" ref="CG171" si="1442">AW171</f>
        <v>-</v>
      </c>
      <c r="CH171" s="70">
        <f t="shared" ref="CH171" si="1443">G171</f>
        <v>73</v>
      </c>
      <c r="CI171" s="71" t="str">
        <f t="shared" ref="CI171" si="1444">K171</f>
        <v>-</v>
      </c>
      <c r="CJ171" s="72">
        <f t="shared" ref="CJ171" si="1445">O171</f>
        <v>106</v>
      </c>
      <c r="CK171" s="72">
        <f t="shared" ref="CK171" si="1446">S171</f>
        <v>112</v>
      </c>
      <c r="CL171" s="72">
        <f t="shared" ref="CL171" si="1447">W171</f>
        <v>148</v>
      </c>
      <c r="CM171" s="72" t="str">
        <f t="shared" ref="CM171" si="1448">AA171</f>
        <v>-</v>
      </c>
      <c r="CN171" s="72">
        <f t="shared" ref="CN171" si="1449">AE171</f>
        <v>181</v>
      </c>
      <c r="CO171" s="72">
        <f t="shared" ref="CO171" si="1450">AI171</f>
        <v>197</v>
      </c>
      <c r="CP171" s="72">
        <f t="shared" ref="CP171" si="1451">AM171</f>
        <v>242</v>
      </c>
      <c r="CQ171" s="72">
        <f t="shared" ref="CQ171" si="1452">AQ171</f>
        <v>285</v>
      </c>
      <c r="CR171" s="72">
        <f t="shared" ref="CR171" si="1453">AU171</f>
        <v>320</v>
      </c>
      <c r="CS171" s="72" t="str">
        <f t="shared" ref="CS171" si="1454">AY171</f>
        <v>-</v>
      </c>
      <c r="CT171" s="23" t="e">
        <f t="shared" ref="CT171" si="1455">M171-K171</f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 t="shared" ref="A172" si="1456">CONCATENATE(B172,"_",C172)</f>
        <v>agtr2_human_6JOD</v>
      </c>
      <c r="B172" s="3" t="s">
        <v>159</v>
      </c>
      <c r="C172" s="3" t="s">
        <v>1630</v>
      </c>
      <c r="D172" s="3" t="str">
        <f>IFERROR(MID(VLOOKUP($B172,Seqs!$A:$B,2,0),E172,1),"")</f>
        <v>A</v>
      </c>
      <c r="E172" s="3">
        <v>46</v>
      </c>
      <c r="F172" s="3" t="str">
        <f>IFERROR(MID(VLOOKUP($B172,Seqs!$A:$B,2,0),G172,1),"")</f>
        <v>C</v>
      </c>
      <c r="G172" s="3">
        <v>70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K</v>
      </c>
      <c r="M172" s="3">
        <v>77</v>
      </c>
      <c r="N172" s="3" t="str">
        <f>IFERROR(MID(VLOOKUP($B172,Seqs!$A:$B,2,0),O172,1),"")</f>
        <v>Y</v>
      </c>
      <c r="O172" s="3">
        <v>106</v>
      </c>
      <c r="P172" s="3" t="str">
        <f>IFERROR(MID(VLOOKUP($B172,Seqs!$A:$B,2,0),Q172,1),"")</f>
        <v>R</v>
      </c>
      <c r="Q172" s="3">
        <v>107</v>
      </c>
      <c r="R172" s="3" t="str">
        <f>IFERROR(MID(VLOOKUP($B172,Seqs!$A:$B,2,0),S172,1),"")</f>
        <v>F</v>
      </c>
      <c r="S172" s="3">
        <v>112</v>
      </c>
      <c r="T172" s="3" t="str">
        <f>IFERROR(MID(VLOOKUP($B172,Seqs!$A:$B,2,0),U172,1),"")</f>
        <v>G</v>
      </c>
      <c r="U172" s="3">
        <v>113</v>
      </c>
      <c r="V172" s="3" t="str">
        <f>IFERROR(MID(VLOOKUP($B172,Seqs!$A:$B,2,0),W172,1),"")</f>
        <v>Y</v>
      </c>
      <c r="W172" s="3">
        <v>148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N</v>
      </c>
      <c r="AC172" s="3">
        <v>156</v>
      </c>
      <c r="AD172" s="3" t="str">
        <f>IFERROR(MID(VLOOKUP($B172,Seqs!$A:$B,2,0),AE172,1),"")</f>
        <v>R</v>
      </c>
      <c r="AE172" s="3">
        <v>182</v>
      </c>
      <c r="AF172" s="3" t="str">
        <f>IFERROR(MID(VLOOKUP($B172,Seqs!$A:$B,2,0),AG172,1),"")</f>
        <v>C</v>
      </c>
      <c r="AG172" s="3">
        <v>195</v>
      </c>
      <c r="AH172" s="3" t="str">
        <f>IFERROR(MID(VLOOKUP($B172,Seqs!$A:$B,2,0),AI172,1),"")</f>
        <v>M</v>
      </c>
      <c r="AI172" s="3">
        <v>197</v>
      </c>
      <c r="AJ172" s="3" t="str">
        <f>IFERROR(MID(VLOOKUP($B172,Seqs!$A:$B,2,0),AK172,1),"")</f>
        <v>K</v>
      </c>
      <c r="AK172" s="3">
        <v>203</v>
      </c>
      <c r="AL172" s="3" t="str">
        <f>IFERROR(MID(VLOOKUP($B172,Seqs!$A:$B,2,0),AM172,1),"")</f>
        <v>N</v>
      </c>
      <c r="AM172" s="3">
        <v>242</v>
      </c>
      <c r="AN172" s="3" t="str">
        <f>IFERROR(MID(VLOOKUP($B172,Seqs!$A:$B,2,0),AO172,1),"")</f>
        <v>G</v>
      </c>
      <c r="AO172" s="3">
        <v>245</v>
      </c>
      <c r="AP172" s="3" t="str">
        <f>IFERROR(MID(VLOOKUP($B172,Seqs!$A:$B,2,0),AQ172,1),"")</f>
        <v>G</v>
      </c>
      <c r="AQ172" s="3">
        <v>285</v>
      </c>
      <c r="AR172" s="3" t="str">
        <f>IFERROR(MID(VLOOKUP($B172,Seqs!$A:$B,2,0),AS172,1),"")</f>
        <v>S</v>
      </c>
      <c r="AS172" s="3">
        <v>289</v>
      </c>
      <c r="AT172" s="3" t="str">
        <f>IFERROR(MID(VLOOKUP($B172,Seqs!$A:$B,2,0),AU172,1),"")</f>
        <v>V</v>
      </c>
      <c r="AU172" s="3">
        <v>321</v>
      </c>
      <c r="AV172" s="3" t="str">
        <f>IFERROR(MID(VLOOKUP($B172,Seqs!$A:$B,2,0),AW172,1),"")</f>
        <v>G</v>
      </c>
      <c r="AW172" s="3">
        <v>322</v>
      </c>
      <c r="AX172" s="3" t="str">
        <f>IFERROR(MID(VLOOKUP($B172,Seqs!$A:$B,2,0),AY172,1),"")</f>
        <v>R</v>
      </c>
      <c r="AY172" s="3">
        <v>334</v>
      </c>
      <c r="AZ172" s="77" t="str">
        <f>VLOOKUP(B172,Classification!A:D,2,0)</f>
        <v>A</v>
      </c>
      <c r="BA172" s="94" t="str">
        <f>VLOOKUP(B172,Classification!A:D,4,0)</f>
        <v>Angiotensin</v>
      </c>
      <c r="BB172" s="27" t="b">
        <f t="shared" ref="BB172" si="1457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458">_xlfn.AGGREGATE(9,6,CH172:CS172)-_xlfn.AGGREGATE(9,6,BV172:CG172)+12</f>
        <v>256</v>
      </c>
      <c r="BD172" s="2" t="s">
        <v>1371</v>
      </c>
      <c r="BE172" s="3" t="s">
        <v>1287</v>
      </c>
      <c r="BF172" s="118">
        <v>3.2</v>
      </c>
      <c r="BG172" s="49" t="s">
        <v>1</v>
      </c>
      <c r="BH172" s="49" t="s">
        <v>1</v>
      </c>
      <c r="BI172" s="1"/>
      <c r="BJ172" s="70" t="s">
        <v>1283</v>
      </c>
      <c r="BK172" s="57" t="s">
        <v>1283</v>
      </c>
      <c r="BL172" s="57" t="s">
        <v>1283</v>
      </c>
      <c r="BM172" s="57" t="s">
        <v>1283</v>
      </c>
      <c r="BN172" s="57" t="s">
        <v>1283</v>
      </c>
      <c r="BO172" s="57" t="s">
        <v>1283</v>
      </c>
      <c r="BP172" s="57" t="s">
        <v>1283</v>
      </c>
      <c r="BQ172" s="57" t="s">
        <v>1283</v>
      </c>
      <c r="BR172" s="57" t="s">
        <v>1283</v>
      </c>
      <c r="BS172" s="57" t="s">
        <v>1283</v>
      </c>
      <c r="BT172" s="57" t="s">
        <v>1283</v>
      </c>
      <c r="BU172" s="57" t="s">
        <v>1283</v>
      </c>
      <c r="BV172" s="70">
        <f t="shared" ref="BV172" si="1459">E172</f>
        <v>46</v>
      </c>
      <c r="BW172" s="71" t="str">
        <f t="shared" ref="BW172" si="1460">I172</f>
        <v>-</v>
      </c>
      <c r="BX172" s="72">
        <f t="shared" ref="BX172" si="1461">M172</f>
        <v>77</v>
      </c>
      <c r="BY172" s="71">
        <f t="shared" ref="BY172" si="1462">Q172</f>
        <v>107</v>
      </c>
      <c r="BZ172" s="72">
        <f t="shared" ref="BZ172" si="1463">U172</f>
        <v>113</v>
      </c>
      <c r="CA172" s="71" t="str">
        <f t="shared" ref="CA172" si="1464">Y172</f>
        <v>-</v>
      </c>
      <c r="CB172" s="72">
        <f t="shared" ref="CB172" si="1465">AC172</f>
        <v>156</v>
      </c>
      <c r="CC172" s="71">
        <f t="shared" ref="CC172" si="1466">AG172</f>
        <v>195</v>
      </c>
      <c r="CD172" s="72">
        <f t="shared" ref="CD172" si="1467">AK172</f>
        <v>203</v>
      </c>
      <c r="CE172" s="71">
        <f t="shared" ref="CE172" si="1468">AO172</f>
        <v>245</v>
      </c>
      <c r="CF172" s="72">
        <f t="shared" ref="CF172" si="1469">AS172</f>
        <v>289</v>
      </c>
      <c r="CG172" s="71">
        <f t="shared" ref="CG172" si="1470">AW172</f>
        <v>322</v>
      </c>
      <c r="CH172" s="70">
        <f t="shared" ref="CH172" si="1471">G172</f>
        <v>70</v>
      </c>
      <c r="CI172" s="71" t="str">
        <f t="shared" ref="CI172" si="1472">K172</f>
        <v>-</v>
      </c>
      <c r="CJ172" s="72">
        <f t="shared" ref="CJ172" si="1473">O172</f>
        <v>106</v>
      </c>
      <c r="CK172" s="72">
        <f t="shared" ref="CK172" si="1474">S172</f>
        <v>112</v>
      </c>
      <c r="CL172" s="72">
        <f t="shared" ref="CL172" si="1475">W172</f>
        <v>148</v>
      </c>
      <c r="CM172" s="72" t="str">
        <f t="shared" ref="CM172" si="1476">AA172</f>
        <v>-</v>
      </c>
      <c r="CN172" s="72">
        <f t="shared" ref="CN172" si="1477">AE172</f>
        <v>182</v>
      </c>
      <c r="CO172" s="72">
        <f t="shared" ref="CO172" si="1478">AI172</f>
        <v>197</v>
      </c>
      <c r="CP172" s="72">
        <f t="shared" ref="CP172" si="1479">AM172</f>
        <v>242</v>
      </c>
      <c r="CQ172" s="72">
        <f t="shared" ref="CQ172" si="1480">AQ172</f>
        <v>285</v>
      </c>
      <c r="CR172" s="72">
        <f t="shared" ref="CR172" si="1481">AU172</f>
        <v>321</v>
      </c>
      <c r="CS172" s="72">
        <f t="shared" ref="CS172" si="1482">AY172</f>
        <v>334</v>
      </c>
      <c r="CT172" s="23" t="e">
        <f t="shared" ref="CT172" si="1483"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si="1400"/>
        <v>apj_human__wt</v>
      </c>
      <c r="B173" s="3" t="s">
        <v>160</v>
      </c>
      <c r="C173" s="3" t="s">
        <v>100</v>
      </c>
      <c r="D173" s="3" t="str">
        <f>IFERROR(MID(VLOOKUP($B173,Seqs!$A:$B,2,0),E173,1),"")</f>
        <v>A</v>
      </c>
      <c r="E173" s="3">
        <v>29</v>
      </c>
      <c r="F173" s="3" t="str">
        <f>IFERROR(MID(VLOOKUP($B173,Seqs!$A:$B,2,0),G173,1),"")</f>
        <v>S</v>
      </c>
      <c r="G173" s="3">
        <v>56</v>
      </c>
      <c r="H173" s="3" t="str">
        <f>IFERROR(MID(VLOOKUP($B173,Seqs!$A:$B,2,0),I173,1),"")</f>
        <v>S</v>
      </c>
      <c r="I173" s="23">
        <v>57</v>
      </c>
      <c r="J173" s="3" t="str">
        <f>IFERROR(MID(VLOOKUP($B173,Seqs!$A:$B,2,0),K173,1),"")</f>
        <v>R</v>
      </c>
      <c r="K173" s="23">
        <v>61</v>
      </c>
      <c r="L173" s="3" t="str">
        <f>IFERROR(MID(VLOOKUP($B173,Seqs!$A:$B,2,0),M173,1),"")</f>
        <v>R</v>
      </c>
      <c r="M173" s="3">
        <v>62</v>
      </c>
      <c r="N173" s="3" t="str">
        <f>IFERROR(MID(VLOOKUP($B173,Seqs!$A:$B,2,0),O173,1),"")</f>
        <v>D</v>
      </c>
      <c r="O173" s="3">
        <v>92</v>
      </c>
      <c r="P173" s="3" t="str">
        <f>IFERROR(MID(VLOOKUP($B173,Seqs!$A:$B,2,0),Q173,1),"")</f>
        <v>D</v>
      </c>
      <c r="Q173" s="3">
        <v>94</v>
      </c>
      <c r="R173" s="3" t="str">
        <f>IFERROR(MID(VLOOKUP($B173,Seqs!$A:$B,2,0),S173,1),"")</f>
        <v>F</v>
      </c>
      <c r="S173" s="3">
        <v>97</v>
      </c>
      <c r="T173" s="3" t="str">
        <f>IFERROR(MID(VLOOKUP($B173,Seqs!$A:$B,2,0),U173,1),"")</f>
        <v>G</v>
      </c>
      <c r="U173" s="3">
        <v>98</v>
      </c>
      <c r="V173" s="3" t="str">
        <f>IFERROR(MID(VLOOKUP($B173,Seqs!$A:$B,2,0),W173,1),"")</f>
        <v>R</v>
      </c>
      <c r="W173" s="3">
        <v>133</v>
      </c>
      <c r="X173" s="3" t="str">
        <f>IFERROR(MID(VLOOKUP($B173,Seqs!$A:$B,2,0),Y173,1),"")</f>
        <v>P</v>
      </c>
      <c r="Y173" s="3">
        <v>134</v>
      </c>
      <c r="Z173" s="3" t="str">
        <f>IFERROR(MID(VLOOKUP($B173,Seqs!$A:$B,2,0),AA173,1),"")</f>
        <v>R</v>
      </c>
      <c r="AA173" s="3">
        <v>141</v>
      </c>
      <c r="AB173" s="3" t="str">
        <f>IFERROR(MID(VLOOKUP($B173,Seqs!$A:$B,2,0),AC173,1),"")</f>
        <v>L</v>
      </c>
      <c r="AC173" s="3">
        <v>142</v>
      </c>
      <c r="AD173" s="3" t="str">
        <f>IFERROR(MID(VLOOKUP($B173,Seqs!$A:$B,2,0),AE173,1),"")</f>
        <v>R</v>
      </c>
      <c r="AE173" s="3">
        <v>168</v>
      </c>
      <c r="AF173" s="3" t="str">
        <f>IFERROR(MID(VLOOKUP($B173,Seqs!$A:$B,2,0),AG173,1),"")</f>
        <v>C</v>
      </c>
      <c r="AG173" s="3">
        <v>181</v>
      </c>
      <c r="AH173" s="3" t="str">
        <f>IFERROR(MID(VLOOKUP($B173,Seqs!$A:$B,2,0),AI173,1),"")</f>
        <v>M</v>
      </c>
      <c r="AI173" s="3">
        <v>183</v>
      </c>
      <c r="AJ173" s="3" t="str">
        <f>IFERROR(MID(VLOOKUP($B173,Seqs!$A:$B,2,0),AK173,1),"")</f>
        <v>S</v>
      </c>
      <c r="AK173" s="3">
        <v>193</v>
      </c>
      <c r="AL173" s="3" t="str">
        <f>IFERROR(MID(VLOOKUP($B173,Seqs!$A:$B,2,0),AM173,1),"")</f>
        <v>E</v>
      </c>
      <c r="AM173" s="3">
        <v>235</v>
      </c>
      <c r="AN173" s="3" t="str">
        <f>IFERROR(MID(VLOOKUP($B173,Seqs!$A:$B,2,0),AO173,1),"")</f>
        <v>K</v>
      </c>
      <c r="AO173" s="3">
        <v>242</v>
      </c>
      <c r="AP173" s="3" t="str">
        <f>IFERROR(MID(VLOOKUP($B173,Seqs!$A:$B,2,0),AQ173,1),"")</f>
        <v>L</v>
      </c>
      <c r="AQ173" s="3">
        <v>276</v>
      </c>
      <c r="AR173" s="3" t="str">
        <f>IFERROR(MID(VLOOKUP($B173,Seqs!$A:$B,2,0),AS173,1),"")</f>
        <v>P</v>
      </c>
      <c r="AS173" s="3">
        <v>280</v>
      </c>
      <c r="AT173" s="3" t="str">
        <f>IFERROR(MID(VLOOKUP($B173,Seqs!$A:$B,2,0),AU173,1),"")</f>
        <v>F</v>
      </c>
      <c r="AU173" s="3">
        <v>312</v>
      </c>
      <c r="AV173" s="3" t="str">
        <f>IFERROR(MID(VLOOKUP($B173,Seqs!$A:$B,2,0),AW173,1),"")</f>
        <v>D</v>
      </c>
      <c r="AW173" s="3">
        <v>313</v>
      </c>
      <c r="AX173" s="3" t="str">
        <f>IFERROR(MID(VLOOKUP($B173,Seqs!$A:$B,2,0),AY173,1),"")</f>
        <v>G</v>
      </c>
      <c r="AY173" s="3">
        <v>327</v>
      </c>
      <c r="AZ173" s="77" t="str">
        <f>VLOOKUP(B173,Classification!A:D,2,0)</f>
        <v>A</v>
      </c>
      <c r="BA173" s="94" t="str">
        <f>VLOOKUP(B173,Classification!A:D,4,0)</f>
        <v>Apelin</v>
      </c>
      <c r="BB173" s="27" t="b">
        <f t="shared" si="1401"/>
        <v>1</v>
      </c>
      <c r="BC173" s="23">
        <f t="shared" si="1402"/>
        <v>268</v>
      </c>
      <c r="BD173" s="2"/>
      <c r="BE173" s="3" t="s">
        <v>23</v>
      </c>
      <c r="BF173" s="118" t="s">
        <v>23</v>
      </c>
      <c r="BG173" s="49" t="s">
        <v>1277</v>
      </c>
      <c r="BH173" s="49" t="s">
        <v>1277</v>
      </c>
      <c r="BI173" s="1"/>
      <c r="BJ173" s="70" t="s">
        <v>1283</v>
      </c>
      <c r="BK173" s="57" t="s">
        <v>1283</v>
      </c>
      <c r="BL173" s="57" t="s">
        <v>1283</v>
      </c>
      <c r="BM173" s="57" t="s">
        <v>1283</v>
      </c>
      <c r="BN173" s="57" t="s">
        <v>1283</v>
      </c>
      <c r="BO173" s="57" t="s">
        <v>1283</v>
      </c>
      <c r="BP173" s="57" t="s">
        <v>1283</v>
      </c>
      <c r="BQ173" s="57" t="s">
        <v>1283</v>
      </c>
      <c r="BR173" s="57" t="s">
        <v>1283</v>
      </c>
      <c r="BS173" s="57" t="s">
        <v>1283</v>
      </c>
      <c r="BT173" s="57" t="s">
        <v>1283</v>
      </c>
      <c r="BU173" s="57" t="s">
        <v>1283</v>
      </c>
      <c r="BV173" s="70">
        <f t="shared" si="1403"/>
        <v>29</v>
      </c>
      <c r="BW173" s="71">
        <f t="shared" si="1404"/>
        <v>57</v>
      </c>
      <c r="BX173" s="72">
        <f t="shared" si="1405"/>
        <v>62</v>
      </c>
      <c r="BY173" s="71">
        <f t="shared" si="1406"/>
        <v>94</v>
      </c>
      <c r="BZ173" s="72">
        <f t="shared" si="1407"/>
        <v>98</v>
      </c>
      <c r="CA173" s="71">
        <f t="shared" si="1408"/>
        <v>134</v>
      </c>
      <c r="CB173" s="72">
        <f t="shared" si="1409"/>
        <v>142</v>
      </c>
      <c r="CC173" s="71">
        <f t="shared" si="1410"/>
        <v>181</v>
      </c>
      <c r="CD173" s="72">
        <f t="shared" si="1411"/>
        <v>193</v>
      </c>
      <c r="CE173" s="71">
        <f t="shared" si="1412"/>
        <v>242</v>
      </c>
      <c r="CF173" s="72">
        <f t="shared" si="1413"/>
        <v>280</v>
      </c>
      <c r="CG173" s="71">
        <f t="shared" si="1414"/>
        <v>313</v>
      </c>
      <c r="CH173" s="70">
        <f t="shared" si="1415"/>
        <v>56</v>
      </c>
      <c r="CI173" s="71">
        <f t="shared" si="1416"/>
        <v>61</v>
      </c>
      <c r="CJ173" s="72">
        <f t="shared" si="1417"/>
        <v>92</v>
      </c>
      <c r="CK173" s="72">
        <f t="shared" si="1418"/>
        <v>97</v>
      </c>
      <c r="CL173" s="72">
        <f t="shared" si="1419"/>
        <v>133</v>
      </c>
      <c r="CM173" s="72">
        <f t="shared" si="1420"/>
        <v>141</v>
      </c>
      <c r="CN173" s="72">
        <f t="shared" si="1421"/>
        <v>168</v>
      </c>
      <c r="CO173" s="72">
        <f t="shared" si="1422"/>
        <v>183</v>
      </c>
      <c r="CP173" s="72">
        <f t="shared" si="1423"/>
        <v>235</v>
      </c>
      <c r="CQ173" s="72">
        <f t="shared" si="1424"/>
        <v>276</v>
      </c>
      <c r="CR173" s="72">
        <f t="shared" si="1425"/>
        <v>312</v>
      </c>
      <c r="CS173" s="72">
        <f t="shared" si="1426"/>
        <v>327</v>
      </c>
      <c r="CT173" s="23">
        <f t="shared" si="1427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1400"/>
        <v>apj_human_5VBL</v>
      </c>
      <c r="B174" s="3" t="s">
        <v>160</v>
      </c>
      <c r="C174" s="3" t="s">
        <v>1410</v>
      </c>
      <c r="D174" s="3" t="str">
        <f>IFERROR(MID(VLOOKUP($B174,Seqs!$A:$B,2,0),E174,1),"")</f>
        <v>A</v>
      </c>
      <c r="E174" s="3">
        <v>29</v>
      </c>
      <c r="F174" s="3" t="str">
        <f>IFERROR(MID(VLOOKUP($B174,Seqs!$A:$B,2,0),G174,1),"")</f>
        <v>S</v>
      </c>
      <c r="G174" s="3">
        <v>56</v>
      </c>
      <c r="H174" s="3" t="str">
        <f>IFERROR(MID(VLOOKUP($B174,Seqs!$A:$B,2,0),I174,1),"")</f>
        <v>S</v>
      </c>
      <c r="I174" s="23">
        <v>57</v>
      </c>
      <c r="J174" s="3" t="str">
        <f>IFERROR(MID(VLOOKUP($B174,Seqs!$A:$B,2,0),K174,1),"")</f>
        <v>R</v>
      </c>
      <c r="K174" s="23">
        <v>61</v>
      </c>
      <c r="L174" s="3" t="str">
        <f>IFERROR(MID(VLOOKUP($B174,Seqs!$A:$B,2,0),M174,1),"")</f>
        <v>R</v>
      </c>
      <c r="M174" s="3">
        <v>62</v>
      </c>
      <c r="N174" s="3" t="str">
        <f>IFERROR(MID(VLOOKUP($B174,Seqs!$A:$B,2,0),O174,1),"")</f>
        <v>D</v>
      </c>
      <c r="O174" s="3">
        <v>92</v>
      </c>
      <c r="P174" s="3" t="str">
        <f>IFERROR(MID(VLOOKUP($B174,Seqs!$A:$B,2,0),Q174,1),"")</f>
        <v>D</v>
      </c>
      <c r="Q174" s="3">
        <v>94</v>
      </c>
      <c r="R174" s="3" t="str">
        <f>IFERROR(MID(VLOOKUP($B174,Seqs!$A:$B,2,0),S174,1),"")</f>
        <v>F</v>
      </c>
      <c r="S174" s="3">
        <v>97</v>
      </c>
      <c r="T174" s="3" t="str">
        <f>IFERROR(MID(VLOOKUP($B174,Seqs!$A:$B,2,0),U174,1),"")</f>
        <v>G</v>
      </c>
      <c r="U174" s="3">
        <v>98</v>
      </c>
      <c r="V174" s="3" t="str">
        <f>IFERROR(MID(VLOOKUP($B174,Seqs!$A:$B,2,0),W174,1),"")</f>
        <v>R</v>
      </c>
      <c r="W174" s="3">
        <v>133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R</v>
      </c>
      <c r="AC174" s="3">
        <v>141</v>
      </c>
      <c r="AD174" s="3" t="str">
        <f>IFERROR(MID(VLOOKUP($B174,Seqs!$A:$B,2,0),AE174,1),"")</f>
        <v>R</v>
      </c>
      <c r="AE174" s="3">
        <v>168</v>
      </c>
      <c r="AF174" s="3" t="str">
        <f>IFERROR(MID(VLOOKUP($B174,Seqs!$A:$B,2,0),AG174,1),"")</f>
        <v>C</v>
      </c>
      <c r="AG174" s="3">
        <v>181</v>
      </c>
      <c r="AH174" s="3" t="str">
        <f>IFERROR(MID(VLOOKUP($B174,Seqs!$A:$B,2,0),AI174,1),"")</f>
        <v>M</v>
      </c>
      <c r="AI174" s="3">
        <v>183</v>
      </c>
      <c r="AJ174" s="3" t="str">
        <f>IFERROR(MID(VLOOKUP($B174,Seqs!$A:$B,2,0),AK174,1),"")</f>
        <v>S</v>
      </c>
      <c r="AK174" s="3">
        <v>193</v>
      </c>
      <c r="AL174" s="3" t="str">
        <f>IFERROR(MID(VLOOKUP($B174,Seqs!$A:$B,2,0),AM174,1),"")</f>
        <v>A</v>
      </c>
      <c r="AM174" s="3">
        <v>229</v>
      </c>
      <c r="AN174" s="3" t="str">
        <f>IFERROR(MID(VLOOKUP($B174,Seqs!$A:$B,2,0),AO174,1),"")</f>
        <v>R</v>
      </c>
      <c r="AO174" s="3">
        <v>244</v>
      </c>
      <c r="AP174" s="3" t="str">
        <f>IFERROR(MID(VLOOKUP($B174,Seqs!$A:$B,2,0),AQ174,1),"")</f>
        <v>L</v>
      </c>
      <c r="AQ174" s="3">
        <v>276</v>
      </c>
      <c r="AR174" s="3" t="str">
        <f>IFERROR(MID(VLOOKUP($B174,Seqs!$A:$B,2,0),AS174,1),"")</f>
        <v>P</v>
      </c>
      <c r="AS174" s="3">
        <v>280</v>
      </c>
      <c r="AT174" s="3" t="str">
        <f>IFERROR(MID(VLOOKUP($B174,Seqs!$A:$B,2,0),AU174,1),"")</f>
        <v>F</v>
      </c>
      <c r="AU174" s="3">
        <v>312</v>
      </c>
      <c r="AV174" s="3" t="str">
        <f>IFERROR(MID(VLOOKUP($B174,Seqs!$A:$B,2,0),AW174,1),"")</f>
        <v>D</v>
      </c>
      <c r="AW174" s="3">
        <v>313</v>
      </c>
      <c r="AX174" s="3" t="str">
        <f>IFERROR(MID(VLOOKUP($B174,Seqs!$A:$B,2,0),AY174,1),"")</f>
        <v>G</v>
      </c>
      <c r="AY174" s="3">
        <v>327</v>
      </c>
      <c r="AZ174" s="77" t="str">
        <f>VLOOKUP(B174,Classification!A:D,2,0)</f>
        <v>A</v>
      </c>
      <c r="BA174" s="94" t="str">
        <f>VLOOKUP(B174,Classification!A:D,4,0)</f>
        <v>Apelin</v>
      </c>
      <c r="BB174" s="27" t="b">
        <f t="shared" si="1401"/>
        <v>1</v>
      </c>
      <c r="BC174" s="23">
        <f t="shared" si="1402"/>
        <v>254</v>
      </c>
      <c r="BD174" s="2" t="s">
        <v>1372</v>
      </c>
      <c r="BE174" s="3" t="s">
        <v>1370</v>
      </c>
      <c r="BF174" s="118">
        <v>2.6</v>
      </c>
      <c r="BG174" s="49" t="s">
        <v>1277</v>
      </c>
      <c r="BH174" s="49" t="s">
        <v>1277</v>
      </c>
      <c r="BI174" s="1"/>
      <c r="BJ174" s="70" t="s">
        <v>1283</v>
      </c>
      <c r="BK174" s="57" t="s">
        <v>1283</v>
      </c>
      <c r="BL174" s="57" t="s">
        <v>1283</v>
      </c>
      <c r="BM174" s="57" t="s">
        <v>1283</v>
      </c>
      <c r="BN174" s="57" t="s">
        <v>1283</v>
      </c>
      <c r="BO174" s="57" t="s">
        <v>1283</v>
      </c>
      <c r="BP174" s="57" t="s">
        <v>1283</v>
      </c>
      <c r="BQ174" s="57" t="s">
        <v>1283</v>
      </c>
      <c r="BR174" s="57" t="s">
        <v>1283</v>
      </c>
      <c r="BS174" s="57" t="s">
        <v>1283</v>
      </c>
      <c r="BT174" s="57" t="s">
        <v>1283</v>
      </c>
      <c r="BU174" s="57" t="s">
        <v>1283</v>
      </c>
      <c r="BV174" s="70">
        <f t="shared" si="1403"/>
        <v>29</v>
      </c>
      <c r="BW174" s="71">
        <f t="shared" si="1404"/>
        <v>57</v>
      </c>
      <c r="BX174" s="72">
        <f t="shared" si="1405"/>
        <v>62</v>
      </c>
      <c r="BY174" s="71">
        <f t="shared" si="1406"/>
        <v>94</v>
      </c>
      <c r="BZ174" s="72">
        <f t="shared" si="1407"/>
        <v>98</v>
      </c>
      <c r="CA174" s="71" t="str">
        <f t="shared" si="1408"/>
        <v>-</v>
      </c>
      <c r="CB174" s="72">
        <f t="shared" si="1409"/>
        <v>141</v>
      </c>
      <c r="CC174" s="71">
        <f t="shared" si="1410"/>
        <v>181</v>
      </c>
      <c r="CD174" s="72">
        <f t="shared" si="1411"/>
        <v>193</v>
      </c>
      <c r="CE174" s="71">
        <f t="shared" si="1412"/>
        <v>244</v>
      </c>
      <c r="CF174" s="72">
        <f t="shared" si="1413"/>
        <v>280</v>
      </c>
      <c r="CG174" s="71">
        <f t="shared" si="1414"/>
        <v>313</v>
      </c>
      <c r="CH174" s="70">
        <f t="shared" si="1415"/>
        <v>56</v>
      </c>
      <c r="CI174" s="71">
        <f t="shared" si="1416"/>
        <v>61</v>
      </c>
      <c r="CJ174" s="72">
        <f t="shared" si="1417"/>
        <v>92</v>
      </c>
      <c r="CK174" s="72">
        <f t="shared" si="1418"/>
        <v>97</v>
      </c>
      <c r="CL174" s="72">
        <f t="shared" si="1419"/>
        <v>133</v>
      </c>
      <c r="CM174" s="72" t="str">
        <f t="shared" si="1420"/>
        <v>-</v>
      </c>
      <c r="CN174" s="72">
        <f t="shared" si="1421"/>
        <v>168</v>
      </c>
      <c r="CO174" s="72">
        <f t="shared" si="1422"/>
        <v>183</v>
      </c>
      <c r="CP174" s="72">
        <f t="shared" si="1423"/>
        <v>229</v>
      </c>
      <c r="CQ174" s="72">
        <f t="shared" si="1424"/>
        <v>276</v>
      </c>
      <c r="CR174" s="72">
        <f t="shared" si="1425"/>
        <v>312</v>
      </c>
      <c r="CS174" s="72">
        <f t="shared" si="1426"/>
        <v>327</v>
      </c>
      <c r="CT174" s="23">
        <f t="shared" si="1427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ref="A175" si="1484">CONCATENATE(B175,"_",C175)</f>
        <v>apj_human_6KNM</v>
      </c>
      <c r="B175" s="3" t="s">
        <v>160</v>
      </c>
      <c r="C175" s="3" t="s">
        <v>1640</v>
      </c>
      <c r="D175" s="3" t="str">
        <f>IFERROR(MID(VLOOKUP($B175,Seqs!$A:$B,2,0),E175,1),"")</f>
        <v>A</v>
      </c>
      <c r="E175" s="3">
        <v>29</v>
      </c>
      <c r="F175" s="3" t="str">
        <f>IFERROR(MID(VLOOKUP($B175,Seqs!$A:$B,2,0),G175,1),"")</f>
        <v>R</v>
      </c>
      <c r="G175" s="3">
        <v>55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D</v>
      </c>
      <c r="M175" s="3">
        <v>65</v>
      </c>
      <c r="N175" s="3" t="str">
        <f>IFERROR(MID(VLOOKUP($B175,Seqs!$A:$B,2,0),O175,1),"")</f>
        <v>D</v>
      </c>
      <c r="O175" s="3">
        <v>92</v>
      </c>
      <c r="P175" s="3" t="str">
        <f>IFERROR(MID(VLOOKUP($B175,Seqs!$A:$B,2,0),Q175,1),"")</f>
        <v>D</v>
      </c>
      <c r="Q175" s="3">
        <v>94</v>
      </c>
      <c r="R175" s="3" t="str">
        <f>IFERROR(MID(VLOOKUP($B175,Seqs!$A:$B,2,0),S175,1),"")</f>
        <v>F</v>
      </c>
      <c r="S175" s="3">
        <v>97</v>
      </c>
      <c r="T175" s="3" t="str">
        <f>IFERROR(MID(VLOOKUP($B175,Seqs!$A:$B,2,0),U175,1),"")</f>
        <v>G</v>
      </c>
      <c r="U175" s="3">
        <v>98</v>
      </c>
      <c r="V175" s="3" t="str">
        <f>IFERROR(MID(VLOOKUP($B175,Seqs!$A:$B,2,0),W175,1),"")</f>
        <v>R</v>
      </c>
      <c r="W175" s="3">
        <v>133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R</v>
      </c>
      <c r="AC175" s="3">
        <v>141</v>
      </c>
      <c r="AD175" s="3" t="str">
        <f>IFERROR(MID(VLOOKUP($B175,Seqs!$A:$B,2,0),AE175,1),"")</f>
        <v>R</v>
      </c>
      <c r="AE175" s="3">
        <v>168</v>
      </c>
      <c r="AF175" s="3" t="str">
        <f>IFERROR(MID(VLOOKUP($B175,Seqs!$A:$B,2,0),AG175,1),"")</f>
        <v>C</v>
      </c>
      <c r="AG175" s="3">
        <v>181</v>
      </c>
      <c r="AH175" s="3" t="str">
        <f>IFERROR(MID(VLOOKUP($B175,Seqs!$A:$B,2,0),AI175,1),"")</f>
        <v>M</v>
      </c>
      <c r="AI175" s="3">
        <v>183</v>
      </c>
      <c r="AJ175" s="3" t="str">
        <f>IFERROR(MID(VLOOKUP($B175,Seqs!$A:$B,2,0),AK175,1),"")</f>
        <v>S</v>
      </c>
      <c r="AK175" s="3">
        <v>193</v>
      </c>
      <c r="AL175" s="3" t="str">
        <f>IFERROR(MID(VLOOKUP($B175,Seqs!$A:$B,2,0),AM175,1),"")</f>
        <v>I</v>
      </c>
      <c r="AM175" s="3">
        <v>228</v>
      </c>
      <c r="AN175" s="3" t="str">
        <f>IFERROR(MID(VLOOKUP($B175,Seqs!$A:$B,2,0),AO175,1),"")</f>
        <v>R</v>
      </c>
      <c r="AO175" s="3">
        <v>245</v>
      </c>
      <c r="AP175" s="3" t="str">
        <f>IFERROR(MID(VLOOKUP($B175,Seqs!$A:$B,2,0),AQ175,1),"")</f>
        <v>L</v>
      </c>
      <c r="AQ175" s="3">
        <v>276</v>
      </c>
      <c r="AR175" s="3" t="str">
        <f>IFERROR(MID(VLOOKUP($B175,Seqs!$A:$B,2,0),AS175,1),"")</f>
        <v>P</v>
      </c>
      <c r="AS175" s="3">
        <v>280</v>
      </c>
      <c r="AT175" s="3" t="str">
        <f>IFERROR(MID(VLOOKUP($B175,Seqs!$A:$B,2,0),AU175,1),"")</f>
        <v>F</v>
      </c>
      <c r="AU175" s="3">
        <v>312</v>
      </c>
      <c r="AV175" s="3" t="str">
        <f>IFERROR(MID(VLOOKUP($B175,Seqs!$A:$B,2,0),AW175,1),"")</f>
        <v>D</v>
      </c>
      <c r="AW175" s="3">
        <v>313</v>
      </c>
      <c r="AX175" s="3" t="str">
        <f>IFERROR(MID(VLOOKUP($B175,Seqs!$A:$B,2,0),AY175,1),"")</f>
        <v>C</v>
      </c>
      <c r="AY175" s="3">
        <v>326</v>
      </c>
      <c r="AZ175" s="77" t="str">
        <f>VLOOKUP(B175,Classification!A:D,2,0)</f>
        <v>A</v>
      </c>
      <c r="BA175" s="94" t="str">
        <f>VLOOKUP(B175,Classification!A:D,4,0)</f>
        <v>Apelin</v>
      </c>
      <c r="BB175" s="27" t="b">
        <f t="shared" ref="BB175" si="1485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 t="shared" ref="BC175" si="1486">_xlfn.AGGREGATE(9,6,CH175:CS175)-_xlfn.AGGREGATE(9,6,BV175:CG175)+12</f>
        <v>243</v>
      </c>
      <c r="BD175" s="2" t="s">
        <v>23</v>
      </c>
      <c r="BE175" s="3" t="s">
        <v>1370</v>
      </c>
      <c r="BF175" s="118">
        <v>3.2</v>
      </c>
      <c r="BG175" s="49" t="s">
        <v>1277</v>
      </c>
      <c r="BH175" s="49" t="s">
        <v>1277</v>
      </c>
      <c r="BI175" s="1"/>
      <c r="BJ175" s="70" t="s">
        <v>1283</v>
      </c>
      <c r="BK175" s="57" t="s">
        <v>1283</v>
      </c>
      <c r="BL175" s="57" t="s">
        <v>1283</v>
      </c>
      <c r="BM175" s="57" t="s">
        <v>1283</v>
      </c>
      <c r="BN175" s="57" t="s">
        <v>1283</v>
      </c>
      <c r="BO175" s="57" t="s">
        <v>1283</v>
      </c>
      <c r="BP175" s="57" t="s">
        <v>1283</v>
      </c>
      <c r="BQ175" s="57" t="s">
        <v>1283</v>
      </c>
      <c r="BR175" s="57" t="s">
        <v>1283</v>
      </c>
      <c r="BS175" s="57" t="s">
        <v>1283</v>
      </c>
      <c r="BT175" s="57" t="s">
        <v>1283</v>
      </c>
      <c r="BU175" s="57" t="s">
        <v>1283</v>
      </c>
      <c r="BV175" s="70">
        <f t="shared" ref="BV175" si="1487">E175</f>
        <v>29</v>
      </c>
      <c r="BW175" s="71" t="str">
        <f t="shared" ref="BW175" si="1488">I175</f>
        <v>-</v>
      </c>
      <c r="BX175" s="72">
        <f t="shared" ref="BX175" si="1489">M175</f>
        <v>65</v>
      </c>
      <c r="BY175" s="71">
        <f t="shared" ref="BY175" si="1490">Q175</f>
        <v>94</v>
      </c>
      <c r="BZ175" s="72">
        <f t="shared" ref="BZ175" si="1491">U175</f>
        <v>98</v>
      </c>
      <c r="CA175" s="71" t="str">
        <f t="shared" ref="CA175" si="1492">Y175</f>
        <v>-</v>
      </c>
      <c r="CB175" s="72">
        <f t="shared" ref="CB175" si="1493">AC175</f>
        <v>141</v>
      </c>
      <c r="CC175" s="71">
        <f t="shared" ref="CC175" si="1494">AG175</f>
        <v>181</v>
      </c>
      <c r="CD175" s="72">
        <f t="shared" ref="CD175" si="1495">AK175</f>
        <v>193</v>
      </c>
      <c r="CE175" s="71">
        <f t="shared" ref="CE175" si="1496">AO175</f>
        <v>245</v>
      </c>
      <c r="CF175" s="72">
        <f t="shared" ref="CF175" si="1497">AS175</f>
        <v>280</v>
      </c>
      <c r="CG175" s="71">
        <f t="shared" ref="CG175" si="1498">AW175</f>
        <v>313</v>
      </c>
      <c r="CH175" s="70">
        <f t="shared" ref="CH175" si="1499">G175</f>
        <v>55</v>
      </c>
      <c r="CI175" s="71" t="str">
        <f t="shared" ref="CI175" si="1500">K175</f>
        <v>-</v>
      </c>
      <c r="CJ175" s="72">
        <f t="shared" ref="CJ175" si="1501">O175</f>
        <v>92</v>
      </c>
      <c r="CK175" s="72">
        <f t="shared" ref="CK175" si="1502">S175</f>
        <v>97</v>
      </c>
      <c r="CL175" s="72">
        <f t="shared" ref="CL175" si="1503">W175</f>
        <v>133</v>
      </c>
      <c r="CM175" s="72" t="str">
        <f t="shared" ref="CM175" si="1504">AA175</f>
        <v>-</v>
      </c>
      <c r="CN175" s="72">
        <f t="shared" ref="CN175" si="1505">AE175</f>
        <v>168</v>
      </c>
      <c r="CO175" s="72">
        <f t="shared" ref="CO175" si="1506">AI175</f>
        <v>183</v>
      </c>
      <c r="CP175" s="72">
        <f t="shared" ref="CP175" si="1507">AM175</f>
        <v>228</v>
      </c>
      <c r="CQ175" s="72">
        <f t="shared" ref="CQ175" si="1508">AQ175</f>
        <v>276</v>
      </c>
      <c r="CR175" s="72">
        <f t="shared" ref="CR175" si="1509">AU175</f>
        <v>312</v>
      </c>
      <c r="CS175" s="72">
        <f t="shared" ref="CS175" si="1510">AY175</f>
        <v>326</v>
      </c>
      <c r="CT175" s="23" t="e">
        <f t="shared" ref="CT175" si="1511">M175-K175</f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1400"/>
        <v>c5ar1_human__wt</v>
      </c>
      <c r="B176" s="3" t="s">
        <v>165</v>
      </c>
      <c r="C176" s="3" t="s">
        <v>100</v>
      </c>
      <c r="D176" s="3" t="str">
        <f>IFERROR(MID(VLOOKUP($B176,Seqs!$A:$B,2,0),E176,1),"")</f>
        <v>R</v>
      </c>
      <c r="E176" s="3">
        <v>34</v>
      </c>
      <c r="F176" s="3" t="str">
        <f>IFERROR(MID(VLOOKUP($B176,Seqs!$A:$B,2,0),G176,1),"")</f>
        <v>E</v>
      </c>
      <c r="G176" s="3">
        <v>65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T</v>
      </c>
      <c r="M176" s="3">
        <v>69</v>
      </c>
      <c r="N176" s="3" t="str">
        <f>IFERROR(MID(VLOOKUP($B176,Seqs!$A:$B,2,0),O176,1),"")</f>
        <v>H</v>
      </c>
      <c r="O176" s="3">
        <v>99</v>
      </c>
      <c r="P176" s="3" t="str">
        <f>IFERROR(MID(VLOOKUP($B176,Seqs!$A:$B,2,0),Q176,1),"")</f>
        <v>H</v>
      </c>
      <c r="Q176" s="3">
        <v>101</v>
      </c>
      <c r="R176" s="3" t="str">
        <f>IFERROR(MID(VLOOKUP($B176,Seqs!$A:$B,2,0),S176,1),"")</f>
        <v>F</v>
      </c>
      <c r="S176" s="3">
        <v>104</v>
      </c>
      <c r="T176" s="3" t="str">
        <f>IFERROR(MID(VLOOKUP($B176,Seqs!$A:$B,2,0),U176,1),"")</f>
        <v>G</v>
      </c>
      <c r="U176" s="3">
        <v>105</v>
      </c>
      <c r="V176" s="3" t="str">
        <f>IFERROR(MID(VLOOKUP($B176,Seqs!$A:$B,2,0),W176,1),"")</f>
        <v>K</v>
      </c>
      <c r="W176" s="3">
        <v>140</v>
      </c>
      <c r="X176" s="3" t="str">
        <f>IFERROR(MID(VLOOKUP($B176,Seqs!$A:$B,2,0),Y176,1),"")</f>
        <v>P</v>
      </c>
      <c r="Y176" s="3">
        <v>141</v>
      </c>
      <c r="Z176" s="3" t="str">
        <f>IFERROR(MID(VLOOKUP($B176,Seqs!$A:$B,2,0),AA176,1),"")</f>
        <v>R</v>
      </c>
      <c r="AA176" s="3">
        <v>148</v>
      </c>
      <c r="AB176" s="3" t="str">
        <f>IFERROR(MID(VLOOKUP($B176,Seqs!$A:$B,2,0),AC176,1),"")</f>
        <v>G</v>
      </c>
      <c r="AC176" s="3">
        <v>149</v>
      </c>
      <c r="AD176" s="3" t="str">
        <f>IFERROR(MID(VLOOKUP($B176,Seqs!$A:$B,2,0),AE176,1),"")</f>
        <v>R</v>
      </c>
      <c r="AE176" s="3">
        <v>175</v>
      </c>
      <c r="AF176" s="3" t="str">
        <f>IFERROR(MID(VLOOKUP($B176,Seqs!$A:$B,2,0),AG176,1),"")</f>
        <v>C</v>
      </c>
      <c r="AG176" s="3">
        <v>188</v>
      </c>
      <c r="AH176" s="3" t="str">
        <f>IFERROR(MID(VLOOKUP($B176,Seqs!$A:$B,2,0),AI176,1),"")</f>
        <v>V</v>
      </c>
      <c r="AI176" s="3">
        <v>190</v>
      </c>
      <c r="AJ176" s="3" t="str">
        <f>IFERROR(MID(VLOOKUP($B176,Seqs!$A:$B,2,0),AK176,1),"")</f>
        <v>D</v>
      </c>
      <c r="AK176" s="3">
        <v>195</v>
      </c>
      <c r="AL176" s="3" t="str">
        <f>IFERROR(MID(VLOOKUP($B176,Seqs!$A:$B,2,0),AM176,1),"")</f>
        <v>R</v>
      </c>
      <c r="AM176" s="3">
        <v>232</v>
      </c>
      <c r="AN176" s="3" t="str">
        <f>IFERROR(MID(VLOOKUP($B176,Seqs!$A:$B,2,0),AO176,1),"")</f>
        <v>T</v>
      </c>
      <c r="AO176" s="3">
        <v>238</v>
      </c>
      <c r="AP176" s="3" t="str">
        <f>IFERROR(MID(VLOOKUP($B176,Seqs!$A:$B,2,0),AQ176,1),"")</f>
        <v>L</v>
      </c>
      <c r="AQ176" s="3">
        <v>268</v>
      </c>
      <c r="AR176" s="3" t="str">
        <f>IFERROR(MID(VLOOKUP($B176,Seqs!$A:$B,2,0),AS176,1),"")</f>
        <v>S</v>
      </c>
      <c r="AS176" s="3">
        <v>272</v>
      </c>
      <c r="AT176" s="3" t="str">
        <f>IFERROR(MID(VLOOKUP($B176,Seqs!$A:$B,2,0),AU176,1),"")</f>
        <v>A</v>
      </c>
      <c r="AU176" s="3">
        <v>303</v>
      </c>
      <c r="AV176" s="3" t="str">
        <f>IFERROR(MID(VLOOKUP($B176,Seqs!$A:$B,2,0),AW176,1),"")</f>
        <v>G</v>
      </c>
      <c r="AW176" s="3">
        <v>304</v>
      </c>
      <c r="AX176" s="3" t="str">
        <f>IFERROR(MID(VLOOKUP($B176,Seqs!$A:$B,2,0),AY176,1),"")</f>
        <v>K</v>
      </c>
      <c r="AY176" s="3">
        <v>313</v>
      </c>
      <c r="AZ176" s="77" t="str">
        <f>VLOOKUP(B176,Classification!A:D,2,0)</f>
        <v>A</v>
      </c>
      <c r="BA176" s="94" t="str">
        <f>VLOOKUP(B176,Classification!A:D,4,0)</f>
        <v>Complementpeptide</v>
      </c>
      <c r="BB176" s="27" t="b">
        <f t="shared" si="1401"/>
        <v>1</v>
      </c>
      <c r="BC176" s="23">
        <f t="shared" si="1402"/>
        <v>253</v>
      </c>
      <c r="BD176" s="2" t="s">
        <v>23</v>
      </c>
      <c r="BE176" s="3" t="s">
        <v>1370</v>
      </c>
      <c r="BF176" s="118" t="s">
        <v>23</v>
      </c>
      <c r="BI176" s="1"/>
      <c r="BJ176" s="70" t="s">
        <v>1283</v>
      </c>
      <c r="BK176" s="57" t="s">
        <v>1283</v>
      </c>
      <c r="BL176" s="57" t="s">
        <v>1283</v>
      </c>
      <c r="BM176" s="57" t="s">
        <v>1283</v>
      </c>
      <c r="BN176" s="57" t="s">
        <v>1283</v>
      </c>
      <c r="BO176" s="57" t="s">
        <v>1283</v>
      </c>
      <c r="BP176" s="57" t="s">
        <v>1283</v>
      </c>
      <c r="BQ176" s="57" t="s">
        <v>1283</v>
      </c>
      <c r="BR176" s="57" t="s">
        <v>1283</v>
      </c>
      <c r="BS176" s="57" t="s">
        <v>1283</v>
      </c>
      <c r="BT176" s="57" t="s">
        <v>1283</v>
      </c>
      <c r="BU176" s="57" t="s">
        <v>1283</v>
      </c>
      <c r="BV176" s="70">
        <f t="shared" si="1403"/>
        <v>34</v>
      </c>
      <c r="BW176" s="71" t="str">
        <f t="shared" si="1404"/>
        <v>-</v>
      </c>
      <c r="BX176" s="72">
        <f t="shared" si="1405"/>
        <v>69</v>
      </c>
      <c r="BY176" s="71">
        <f t="shared" si="1406"/>
        <v>101</v>
      </c>
      <c r="BZ176" s="72">
        <f t="shared" si="1407"/>
        <v>105</v>
      </c>
      <c r="CA176" s="71">
        <f t="shared" si="1408"/>
        <v>141</v>
      </c>
      <c r="CB176" s="72">
        <f t="shared" si="1409"/>
        <v>149</v>
      </c>
      <c r="CC176" s="71">
        <f t="shared" si="1410"/>
        <v>188</v>
      </c>
      <c r="CD176" s="72">
        <f t="shared" si="1411"/>
        <v>195</v>
      </c>
      <c r="CE176" s="71">
        <f t="shared" si="1412"/>
        <v>238</v>
      </c>
      <c r="CF176" s="72">
        <f t="shared" si="1413"/>
        <v>272</v>
      </c>
      <c r="CG176" s="71">
        <f t="shared" si="1414"/>
        <v>304</v>
      </c>
      <c r="CH176" s="70">
        <f t="shared" si="1415"/>
        <v>65</v>
      </c>
      <c r="CI176" s="71" t="str">
        <f t="shared" si="1416"/>
        <v>-</v>
      </c>
      <c r="CJ176" s="72">
        <f t="shared" si="1417"/>
        <v>99</v>
      </c>
      <c r="CK176" s="72">
        <f t="shared" si="1418"/>
        <v>104</v>
      </c>
      <c r="CL176" s="72">
        <f t="shared" si="1419"/>
        <v>140</v>
      </c>
      <c r="CM176" s="72">
        <f t="shared" si="1420"/>
        <v>148</v>
      </c>
      <c r="CN176" s="72">
        <f t="shared" si="1421"/>
        <v>175</v>
      </c>
      <c r="CO176" s="72">
        <f t="shared" si="1422"/>
        <v>190</v>
      </c>
      <c r="CP176" s="72">
        <f t="shared" si="1423"/>
        <v>232</v>
      </c>
      <c r="CQ176" s="72">
        <f t="shared" si="1424"/>
        <v>268</v>
      </c>
      <c r="CR176" s="72">
        <f t="shared" si="1425"/>
        <v>303</v>
      </c>
      <c r="CS176" s="72">
        <f t="shared" si="1426"/>
        <v>313</v>
      </c>
      <c r="CT176" s="23" t="e">
        <f t="shared" si="1427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400"/>
        <v>c5ar1_human_5O9H</v>
      </c>
      <c r="B177" s="3" t="s">
        <v>165</v>
      </c>
      <c r="C177" s="3" t="s">
        <v>1475</v>
      </c>
      <c r="D177" s="3" t="str">
        <f>IFERROR(MID(VLOOKUP($B177,Seqs!$A:$B,2,0),E177,1),"")</f>
        <v>R</v>
      </c>
      <c r="E177" s="3">
        <v>34</v>
      </c>
      <c r="F177" s="3" t="str">
        <f>IFERROR(MID(VLOOKUP($B177,Seqs!$A:$B,2,0),G177,1),"")</f>
        <v>E</v>
      </c>
      <c r="G177" s="3">
        <v>65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T</v>
      </c>
      <c r="M177" s="3">
        <v>69</v>
      </c>
      <c r="N177" s="3" t="str">
        <f>IFERROR(MID(VLOOKUP($B177,Seqs!$A:$B,2,0),O177,1),"")</f>
        <v>H</v>
      </c>
      <c r="O177" s="3">
        <v>99</v>
      </c>
      <c r="P177" s="3" t="str">
        <f>IFERROR(MID(VLOOKUP($B177,Seqs!$A:$B,2,0),Q177,1),"")</f>
        <v>H</v>
      </c>
      <c r="Q177" s="3">
        <v>101</v>
      </c>
      <c r="R177" s="3" t="str">
        <f>IFERROR(MID(VLOOKUP($B177,Seqs!$A:$B,2,0),S177,1),"")</f>
        <v>F</v>
      </c>
      <c r="S177" s="3">
        <v>104</v>
      </c>
      <c r="T177" s="3" t="str">
        <f>IFERROR(MID(VLOOKUP($B177,Seqs!$A:$B,2,0),U177,1),"")</f>
        <v>G</v>
      </c>
      <c r="U177" s="3">
        <v>105</v>
      </c>
      <c r="V177" s="3" t="str">
        <f>IFERROR(MID(VLOOKUP($B177,Seqs!$A:$B,2,0),W177,1),"")</f>
        <v>K</v>
      </c>
      <c r="W177" s="3">
        <v>140</v>
      </c>
      <c r="X177" s="3" t="str">
        <f>IFERROR(MID(VLOOKUP($B177,Seqs!$A:$B,2,0),Y177,1),"")</f>
        <v>P</v>
      </c>
      <c r="Y177" s="3">
        <v>141</v>
      </c>
      <c r="Z177" s="3" t="str">
        <f>IFERROR(MID(VLOOKUP($B177,Seqs!$A:$B,2,0),AA177,1),"")</f>
        <v>R</v>
      </c>
      <c r="AA177" s="3">
        <v>148</v>
      </c>
      <c r="AB177" s="3" t="str">
        <f>IFERROR(MID(VLOOKUP($B177,Seqs!$A:$B,2,0),AC177,1),"")</f>
        <v>G</v>
      </c>
      <c r="AC177" s="3">
        <v>149</v>
      </c>
      <c r="AD177" s="3" t="str">
        <f>IFERROR(MID(VLOOKUP($B177,Seqs!$A:$B,2,0),AE177,1),"")</f>
        <v>R</v>
      </c>
      <c r="AE177" s="3">
        <v>175</v>
      </c>
      <c r="AF177" s="3" t="str">
        <f>IFERROR(MID(VLOOKUP($B177,Seqs!$A:$B,2,0),AG177,1),"")</f>
        <v>C</v>
      </c>
      <c r="AG177" s="3">
        <v>188</v>
      </c>
      <c r="AH177" s="3" t="str">
        <f>IFERROR(MID(VLOOKUP($B177,Seqs!$A:$B,2,0),AI177,1),"")</f>
        <v>V</v>
      </c>
      <c r="AI177" s="3">
        <v>190</v>
      </c>
      <c r="AJ177" s="3" t="str">
        <f>IFERROR(MID(VLOOKUP($B177,Seqs!$A:$B,2,0),AK177,1),"")</f>
        <v>D</v>
      </c>
      <c r="AK177" s="3">
        <v>195</v>
      </c>
      <c r="AL177" s="3" t="str">
        <f>IFERROR(MID(VLOOKUP($B177,Seqs!$A:$B,2,0),AM177,1),"")</f>
        <v>R</v>
      </c>
      <c r="AM177" s="3">
        <v>232</v>
      </c>
      <c r="AN177" s="3" t="str">
        <f>IFERROR(MID(VLOOKUP($B177,Seqs!$A:$B,2,0),AO177,1),"")</f>
        <v>T</v>
      </c>
      <c r="AO177" s="3">
        <v>238</v>
      </c>
      <c r="AP177" s="3" t="str">
        <f>IFERROR(MID(VLOOKUP($B177,Seqs!$A:$B,2,0),AQ177,1),"")</f>
        <v>L</v>
      </c>
      <c r="AQ177" s="3">
        <v>268</v>
      </c>
      <c r="AR177" s="3" t="str">
        <f>IFERROR(MID(VLOOKUP($B177,Seqs!$A:$B,2,0),AS177,1),"")</f>
        <v>S</v>
      </c>
      <c r="AS177" s="3">
        <v>272</v>
      </c>
      <c r="AT177" s="3" t="str">
        <f>IFERROR(MID(VLOOKUP($B177,Seqs!$A:$B,2,0),AU177,1),"")</f>
        <v>F</v>
      </c>
      <c r="AU177" s="3">
        <v>307</v>
      </c>
      <c r="AV177" s="3" t="str">
        <f>IFERROR(MID(VLOOKUP($B177,Seqs!$A:$B,2,0),AW177,1),"")</f>
        <v/>
      </c>
      <c r="AW177" s="3" t="s">
        <v>23</v>
      </c>
      <c r="AX177" s="3" t="str">
        <f>IFERROR(MID(VLOOKUP($B177,Seqs!$A:$B,2,0),AY177,1),"")</f>
        <v/>
      </c>
      <c r="AY177" s="3" t="s">
        <v>23</v>
      </c>
      <c r="AZ177" s="77" t="str">
        <f>VLOOKUP(B177,Classification!A:D,2,0)</f>
        <v>A</v>
      </c>
      <c r="BA177" s="94" t="str">
        <f>VLOOKUP(B177,Classification!A:D,4,0)</f>
        <v>Complementpeptide</v>
      </c>
      <c r="BB177" s="27" t="b">
        <f t="shared" si="1401"/>
        <v>1</v>
      </c>
      <c r="BC177" s="23">
        <f t="shared" si="1402"/>
        <v>248</v>
      </c>
      <c r="BD177" s="2" t="s">
        <v>1372</v>
      </c>
      <c r="BE177" s="3" t="s">
        <v>1370</v>
      </c>
      <c r="BF177" s="118">
        <v>2.7</v>
      </c>
      <c r="BG177" s="49" t="s">
        <v>1</v>
      </c>
      <c r="BH177" s="49" t="s">
        <v>1</v>
      </c>
      <c r="BI177" s="1"/>
      <c r="BJ177" s="70" t="s">
        <v>1283</v>
      </c>
      <c r="BK177" s="57" t="s">
        <v>1283</v>
      </c>
      <c r="BL177" s="57" t="s">
        <v>1283</v>
      </c>
      <c r="BM177" s="57" t="s">
        <v>1283</v>
      </c>
      <c r="BN177" s="57" t="s">
        <v>1283</v>
      </c>
      <c r="BO177" s="57" t="s">
        <v>1283</v>
      </c>
      <c r="BP177" s="57" t="s">
        <v>1283</v>
      </c>
      <c r="BQ177" s="57" t="s">
        <v>1283</v>
      </c>
      <c r="BR177" s="57" t="s">
        <v>1283</v>
      </c>
      <c r="BS177" s="57" t="s">
        <v>1283</v>
      </c>
      <c r="BT177" s="57" t="s">
        <v>1283</v>
      </c>
      <c r="BU177" s="57" t="s">
        <v>1283</v>
      </c>
      <c r="BV177" s="70">
        <f t="shared" si="1403"/>
        <v>34</v>
      </c>
      <c r="BW177" s="71" t="str">
        <f t="shared" si="1404"/>
        <v>-</v>
      </c>
      <c r="BX177" s="72">
        <f t="shared" si="1405"/>
        <v>69</v>
      </c>
      <c r="BY177" s="71">
        <f t="shared" si="1406"/>
        <v>101</v>
      </c>
      <c r="BZ177" s="72">
        <f t="shared" si="1407"/>
        <v>105</v>
      </c>
      <c r="CA177" s="71">
        <f t="shared" si="1408"/>
        <v>141</v>
      </c>
      <c r="CB177" s="72">
        <f t="shared" si="1409"/>
        <v>149</v>
      </c>
      <c r="CC177" s="71">
        <f t="shared" si="1410"/>
        <v>188</v>
      </c>
      <c r="CD177" s="72">
        <f t="shared" si="1411"/>
        <v>195</v>
      </c>
      <c r="CE177" s="71">
        <f t="shared" si="1412"/>
        <v>238</v>
      </c>
      <c r="CF177" s="72">
        <f t="shared" si="1413"/>
        <v>272</v>
      </c>
      <c r="CG177" s="71" t="str">
        <f t="shared" si="1414"/>
        <v>-</v>
      </c>
      <c r="CH177" s="70">
        <f t="shared" si="1415"/>
        <v>65</v>
      </c>
      <c r="CI177" s="71" t="str">
        <f t="shared" si="1416"/>
        <v>-</v>
      </c>
      <c r="CJ177" s="72">
        <f t="shared" si="1417"/>
        <v>99</v>
      </c>
      <c r="CK177" s="72">
        <f t="shared" si="1418"/>
        <v>104</v>
      </c>
      <c r="CL177" s="72">
        <f t="shared" si="1419"/>
        <v>140</v>
      </c>
      <c r="CM177" s="72">
        <f t="shared" si="1420"/>
        <v>148</v>
      </c>
      <c r="CN177" s="72">
        <f t="shared" si="1421"/>
        <v>175</v>
      </c>
      <c r="CO177" s="72">
        <f t="shared" si="1422"/>
        <v>190</v>
      </c>
      <c r="CP177" s="72">
        <f t="shared" si="1423"/>
        <v>232</v>
      </c>
      <c r="CQ177" s="72">
        <f t="shared" si="1424"/>
        <v>268</v>
      </c>
      <c r="CR177" s="72">
        <f t="shared" si="1425"/>
        <v>307</v>
      </c>
      <c r="CS177" s="72" t="str">
        <f t="shared" si="1426"/>
        <v>-</v>
      </c>
      <c r="CT177" s="23" t="e">
        <f t="shared" si="1427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si="1400"/>
        <v>c5ar1_human_6C1Q</v>
      </c>
      <c r="B178" s="3" t="s">
        <v>165</v>
      </c>
      <c r="C178" s="3" t="s">
        <v>1494</v>
      </c>
      <c r="D178" s="3" t="str">
        <f>IFERROR(MID(VLOOKUP($B178,Seqs!$A:$B,2,0),E178,1),"")</f>
        <v>M</v>
      </c>
      <c r="E178" s="3">
        <v>120</v>
      </c>
      <c r="F178" s="3" t="str">
        <f>IFERROR(MID(VLOOKUP($B178,Seqs!$A:$B,2,0),G178,1),"")</f>
        <v>G</v>
      </c>
      <c r="G178" s="3">
        <v>151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I</v>
      </c>
      <c r="M178" s="3">
        <v>155</v>
      </c>
      <c r="N178" s="3" t="str">
        <f>IFERROR(MID(VLOOKUP($B178,Seqs!$A:$B,2,0),O178,1),"")</f>
        <v>K</v>
      </c>
      <c r="O178" s="3">
        <v>185</v>
      </c>
      <c r="P178" s="3" t="str">
        <f>IFERROR(MID(VLOOKUP($B178,Seqs!$A:$B,2,0),Q178,1),"")</f>
        <v>L</v>
      </c>
      <c r="Q178" s="3">
        <v>187</v>
      </c>
      <c r="R178" s="3" t="str">
        <f>IFERROR(MID(VLOOKUP($B178,Seqs!$A:$B,2,0),S178,1),"")</f>
        <v>V</v>
      </c>
      <c r="S178" s="3">
        <v>190</v>
      </c>
      <c r="T178" s="3" t="str">
        <f>IFERROR(MID(VLOOKUP($B178,Seqs!$A:$B,2,0),U178,1),"")</f>
        <v>D</v>
      </c>
      <c r="U178" s="3">
        <v>191</v>
      </c>
      <c r="V178" s="3" t="str">
        <f>IFERROR(MID(VLOOKUP($B178,Seqs!$A:$B,2,0),W178,1),"")</f>
        <v>L</v>
      </c>
      <c r="W178" s="3">
        <v>226</v>
      </c>
      <c r="X178" s="3" t="str">
        <f>IFERROR(MID(VLOOKUP($B178,Seqs!$A:$B,2,0),Y178,1),"")</f>
        <v>L</v>
      </c>
      <c r="Y178" s="3">
        <v>227</v>
      </c>
      <c r="Z178" s="3" t="str">
        <f>IFERROR(MID(VLOOKUP($B178,Seqs!$A:$B,2,0),AA178,1),"")</f>
        <v>A</v>
      </c>
      <c r="AA178" s="3">
        <v>234</v>
      </c>
      <c r="AB178" s="3" t="str">
        <f>IFERROR(MID(VLOOKUP($B178,Seqs!$A:$B,2,0),AC178,1),"")</f>
        <v>T</v>
      </c>
      <c r="AC178" s="3">
        <v>235</v>
      </c>
      <c r="AD178" s="3" t="str">
        <f>IFERROR(MID(VLOOKUP($B178,Seqs!$A:$B,2,0),AE178,1),"")</f>
        <v>T</v>
      </c>
      <c r="AE178" s="3">
        <v>261</v>
      </c>
      <c r="AF178" s="3" t="str">
        <f>IFERROR(MID(VLOOKUP($B178,Seqs!$A:$B,2,0),AG178,1),"")</f>
        <v>T</v>
      </c>
      <c r="AG178" s="3">
        <v>274</v>
      </c>
      <c r="AH178" s="3" t="str">
        <f>IFERROR(MID(VLOOKUP($B178,Seqs!$A:$B,2,0),AI178,1),"")</f>
        <v>L</v>
      </c>
      <c r="AI178" s="3">
        <v>276</v>
      </c>
      <c r="AJ178" s="3" t="str">
        <f>IFERROR(MID(VLOOKUP($B178,Seqs!$A:$B,2,0),AK178,1),"")</f>
        <v>L</v>
      </c>
      <c r="AK178" s="3">
        <v>281</v>
      </c>
      <c r="AL178" s="3" t="str">
        <f>IFERROR(MID(VLOOKUP($B178,Seqs!$A:$B,2,0),AM178,1),"")</f>
        <v>L</v>
      </c>
      <c r="AM178" s="3">
        <v>318</v>
      </c>
      <c r="AN178" s="3" t="str">
        <f>IFERROR(MID(VLOOKUP($B178,Seqs!$A:$B,2,0),AO178,1),"")</f>
        <v>L</v>
      </c>
      <c r="AO178" s="3">
        <v>323</v>
      </c>
      <c r="AP178" s="3" t="str">
        <f>IFERROR(MID(VLOOKUP($B178,Seqs!$A:$B,2,0),AQ178,1),"")</f>
        <v/>
      </c>
      <c r="AQ178" s="3">
        <v>354</v>
      </c>
      <c r="AR178" s="3" t="str">
        <f>IFERROR(MID(VLOOKUP($B178,Seqs!$A:$B,2,0),AS178,1),"")</f>
        <v/>
      </c>
      <c r="AS178" s="3">
        <v>358</v>
      </c>
      <c r="AT178" s="3" t="str">
        <f>IFERROR(MID(VLOOKUP($B178,Seqs!$A:$B,2,0),AU178,1),"")</f>
        <v/>
      </c>
      <c r="AU178" s="3">
        <v>394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7" t="str">
        <f>VLOOKUP(B178,Classification!A:D,2,0)</f>
        <v>A</v>
      </c>
      <c r="BA178" s="94" t="str">
        <f>VLOOKUP(B178,Classification!A:D,4,0)</f>
        <v>Complementpeptide</v>
      </c>
      <c r="BB178" s="27" t="b">
        <f t="shared" si="1401"/>
        <v>1</v>
      </c>
      <c r="BC178" s="23">
        <f t="shared" si="1402"/>
        <v>250</v>
      </c>
      <c r="BD178" s="2" t="s">
        <v>23</v>
      </c>
      <c r="BE178" s="3" t="s">
        <v>1370</v>
      </c>
      <c r="BF178" s="118">
        <v>2.9</v>
      </c>
      <c r="BG178" s="49" t="s">
        <v>1277</v>
      </c>
      <c r="BH178" s="49" t="s">
        <v>1277</v>
      </c>
      <c r="BI178" s="1"/>
      <c r="BJ178" s="70" t="s">
        <v>1283</v>
      </c>
      <c r="BK178" s="57" t="s">
        <v>1283</v>
      </c>
      <c r="BL178" s="57" t="s">
        <v>1283</v>
      </c>
      <c r="BM178" s="57" t="s">
        <v>1283</v>
      </c>
      <c r="BN178" s="57" t="s">
        <v>1283</v>
      </c>
      <c r="BO178" s="57" t="s">
        <v>1283</v>
      </c>
      <c r="BP178" s="57" t="s">
        <v>1283</v>
      </c>
      <c r="BQ178" s="57" t="s">
        <v>1283</v>
      </c>
      <c r="BR178" s="57" t="s">
        <v>1283</v>
      </c>
      <c r="BS178" s="57" t="s">
        <v>1283</v>
      </c>
      <c r="BT178" s="57" t="s">
        <v>1283</v>
      </c>
      <c r="BU178" s="57" t="s">
        <v>1283</v>
      </c>
      <c r="BV178" s="70">
        <f t="shared" si="1403"/>
        <v>120</v>
      </c>
      <c r="BW178" s="71" t="str">
        <f t="shared" si="1404"/>
        <v>-</v>
      </c>
      <c r="BX178" s="72">
        <f t="shared" si="1405"/>
        <v>155</v>
      </c>
      <c r="BY178" s="71">
        <f t="shared" si="1406"/>
        <v>187</v>
      </c>
      <c r="BZ178" s="72">
        <f t="shared" si="1407"/>
        <v>191</v>
      </c>
      <c r="CA178" s="71">
        <f t="shared" si="1408"/>
        <v>227</v>
      </c>
      <c r="CB178" s="72">
        <f t="shared" si="1409"/>
        <v>235</v>
      </c>
      <c r="CC178" s="71">
        <f t="shared" si="1410"/>
        <v>274</v>
      </c>
      <c r="CD178" s="72">
        <f t="shared" si="1411"/>
        <v>281</v>
      </c>
      <c r="CE178" s="71">
        <f t="shared" si="1412"/>
        <v>323</v>
      </c>
      <c r="CF178" s="72">
        <f t="shared" si="1413"/>
        <v>358</v>
      </c>
      <c r="CG178" s="71" t="str">
        <f t="shared" si="1414"/>
        <v>-</v>
      </c>
      <c r="CH178" s="70">
        <f t="shared" si="1415"/>
        <v>151</v>
      </c>
      <c r="CI178" s="71" t="str">
        <f t="shared" si="1416"/>
        <v>-</v>
      </c>
      <c r="CJ178" s="72">
        <f t="shared" si="1417"/>
        <v>185</v>
      </c>
      <c r="CK178" s="72">
        <f t="shared" si="1418"/>
        <v>190</v>
      </c>
      <c r="CL178" s="72">
        <f t="shared" si="1419"/>
        <v>226</v>
      </c>
      <c r="CM178" s="72">
        <f t="shared" si="1420"/>
        <v>234</v>
      </c>
      <c r="CN178" s="72">
        <f t="shared" si="1421"/>
        <v>261</v>
      </c>
      <c r="CO178" s="72">
        <f t="shared" si="1422"/>
        <v>276</v>
      </c>
      <c r="CP178" s="72">
        <f t="shared" si="1423"/>
        <v>318</v>
      </c>
      <c r="CQ178" s="72">
        <f t="shared" si="1424"/>
        <v>354</v>
      </c>
      <c r="CR178" s="72">
        <f t="shared" si="1425"/>
        <v>394</v>
      </c>
      <c r="CS178" s="72" t="str">
        <f t="shared" si="1426"/>
        <v>-</v>
      </c>
      <c r="CT178" s="23" t="e">
        <f t="shared" si="1427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400"/>
        <v>c5ar1_human_6C1R</v>
      </c>
      <c r="B179" s="3" t="s">
        <v>165</v>
      </c>
      <c r="C179" s="3" t="s">
        <v>1495</v>
      </c>
      <c r="D179" s="3" t="str">
        <f>IFERROR(MID(VLOOKUP($B179,Seqs!$A:$B,2,0),E179,1),"")</f>
        <v>M</v>
      </c>
      <c r="E179" s="3">
        <v>120</v>
      </c>
      <c r="F179" s="3" t="str">
        <f>IFERROR(MID(VLOOKUP($B179,Seqs!$A:$B,2,0),G179,1),"")</f>
        <v>G</v>
      </c>
      <c r="G179" s="3">
        <v>151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I</v>
      </c>
      <c r="M179" s="3">
        <v>155</v>
      </c>
      <c r="N179" s="3" t="str">
        <f>IFERROR(MID(VLOOKUP($B179,Seqs!$A:$B,2,0),O179,1),"")</f>
        <v>K</v>
      </c>
      <c r="O179" s="3">
        <v>185</v>
      </c>
      <c r="P179" s="3" t="str">
        <f>IFERROR(MID(VLOOKUP($B179,Seqs!$A:$B,2,0),Q179,1),"")</f>
        <v>L</v>
      </c>
      <c r="Q179" s="3">
        <v>187</v>
      </c>
      <c r="R179" s="3" t="str">
        <f>IFERROR(MID(VLOOKUP($B179,Seqs!$A:$B,2,0),S179,1),"")</f>
        <v>V</v>
      </c>
      <c r="S179" s="3">
        <v>190</v>
      </c>
      <c r="T179" s="3" t="str">
        <f>IFERROR(MID(VLOOKUP($B179,Seqs!$A:$B,2,0),U179,1),"")</f>
        <v>D</v>
      </c>
      <c r="U179" s="3">
        <v>191</v>
      </c>
      <c r="V179" s="3" t="str">
        <f>IFERROR(MID(VLOOKUP($B179,Seqs!$A:$B,2,0),W179,1),"")</f>
        <v>L</v>
      </c>
      <c r="W179" s="3">
        <v>226</v>
      </c>
      <c r="X179" s="3" t="str">
        <f>IFERROR(MID(VLOOKUP($B179,Seqs!$A:$B,2,0),Y179,1),"")</f>
        <v>L</v>
      </c>
      <c r="Y179" s="3">
        <v>227</v>
      </c>
      <c r="Z179" s="3" t="str">
        <f>IFERROR(MID(VLOOKUP($B179,Seqs!$A:$B,2,0),AA179,1),"")</f>
        <v>A</v>
      </c>
      <c r="AA179" s="3">
        <v>234</v>
      </c>
      <c r="AB179" s="3" t="str">
        <f>IFERROR(MID(VLOOKUP($B179,Seqs!$A:$B,2,0),AC179,1),"")</f>
        <v>T</v>
      </c>
      <c r="AC179" s="3">
        <v>235</v>
      </c>
      <c r="AD179" s="3" t="str">
        <f>IFERROR(MID(VLOOKUP($B179,Seqs!$A:$B,2,0),AE179,1),"")</f>
        <v>T</v>
      </c>
      <c r="AE179" s="3">
        <v>261</v>
      </c>
      <c r="AF179" s="3" t="str">
        <f>IFERROR(MID(VLOOKUP($B179,Seqs!$A:$B,2,0),AG179,1),"")</f>
        <v>T</v>
      </c>
      <c r="AG179" s="3">
        <v>274</v>
      </c>
      <c r="AH179" s="3" t="str">
        <f>IFERROR(MID(VLOOKUP($B179,Seqs!$A:$B,2,0),AI179,1),"")</f>
        <v>L</v>
      </c>
      <c r="AI179" s="3">
        <v>276</v>
      </c>
      <c r="AJ179" s="3" t="str">
        <f>IFERROR(MID(VLOOKUP($B179,Seqs!$A:$B,2,0),AK179,1),"")</f>
        <v>L</v>
      </c>
      <c r="AK179" s="3">
        <v>281</v>
      </c>
      <c r="AL179" s="3" t="str">
        <f>IFERROR(MID(VLOOKUP($B179,Seqs!$A:$B,2,0),AM179,1),"")</f>
        <v>L</v>
      </c>
      <c r="AM179" s="3">
        <v>318</v>
      </c>
      <c r="AN179" s="3" t="str">
        <f>IFERROR(MID(VLOOKUP($B179,Seqs!$A:$B,2,0),AO179,1),"")</f>
        <v>L</v>
      </c>
      <c r="AO179" s="3">
        <v>323</v>
      </c>
      <c r="AP179" s="3" t="str">
        <f>IFERROR(MID(VLOOKUP($B179,Seqs!$A:$B,2,0),AQ179,1),"")</f>
        <v/>
      </c>
      <c r="AQ179" s="3">
        <v>354</v>
      </c>
      <c r="AR179" s="3" t="str">
        <f>IFERROR(MID(VLOOKUP($B179,Seqs!$A:$B,2,0),AS179,1),"")</f>
        <v/>
      </c>
      <c r="AS179" s="3">
        <v>358</v>
      </c>
      <c r="AT179" s="3" t="str">
        <f>IFERROR(MID(VLOOKUP($B179,Seqs!$A:$B,2,0),AU179,1),"")</f>
        <v/>
      </c>
      <c r="AU179" s="3">
        <v>394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Complementpeptide</v>
      </c>
      <c r="BB179" s="27" t="b">
        <f t="shared" si="1401"/>
        <v>1</v>
      </c>
      <c r="BC179" s="23">
        <f t="shared" si="1402"/>
        <v>250</v>
      </c>
      <c r="BD179" s="2" t="s">
        <v>23</v>
      </c>
      <c r="BE179" s="3" t="s">
        <v>1370</v>
      </c>
      <c r="BF179" s="118">
        <v>2.2000000000000002</v>
      </c>
      <c r="BG179" s="49" t="s">
        <v>1277</v>
      </c>
      <c r="BH179" s="49" t="s">
        <v>1277</v>
      </c>
      <c r="BI179" s="1"/>
      <c r="BJ179" s="70" t="s">
        <v>1283</v>
      </c>
      <c r="BK179" s="57" t="s">
        <v>1283</v>
      </c>
      <c r="BL179" s="57" t="s">
        <v>1283</v>
      </c>
      <c r="BM179" s="57" t="s">
        <v>1283</v>
      </c>
      <c r="BN179" s="57" t="s">
        <v>1283</v>
      </c>
      <c r="BO179" s="57" t="s">
        <v>1283</v>
      </c>
      <c r="BP179" s="57" t="s">
        <v>1283</v>
      </c>
      <c r="BQ179" s="57" t="s">
        <v>1283</v>
      </c>
      <c r="BR179" s="57" t="s">
        <v>1283</v>
      </c>
      <c r="BS179" s="57" t="s">
        <v>1283</v>
      </c>
      <c r="BT179" s="57" t="s">
        <v>1283</v>
      </c>
      <c r="BU179" s="57" t="s">
        <v>1283</v>
      </c>
      <c r="BV179" s="70">
        <f t="shared" si="1403"/>
        <v>120</v>
      </c>
      <c r="BW179" s="71" t="str">
        <f t="shared" si="1404"/>
        <v>-</v>
      </c>
      <c r="BX179" s="72">
        <f t="shared" si="1405"/>
        <v>155</v>
      </c>
      <c r="BY179" s="71">
        <f t="shared" si="1406"/>
        <v>187</v>
      </c>
      <c r="BZ179" s="72">
        <f t="shared" si="1407"/>
        <v>191</v>
      </c>
      <c r="CA179" s="71">
        <f t="shared" si="1408"/>
        <v>227</v>
      </c>
      <c r="CB179" s="72">
        <f t="shared" si="1409"/>
        <v>235</v>
      </c>
      <c r="CC179" s="71">
        <f t="shared" si="1410"/>
        <v>274</v>
      </c>
      <c r="CD179" s="72">
        <f t="shared" si="1411"/>
        <v>281</v>
      </c>
      <c r="CE179" s="71">
        <f t="shared" si="1412"/>
        <v>323</v>
      </c>
      <c r="CF179" s="72">
        <f t="shared" si="1413"/>
        <v>358</v>
      </c>
      <c r="CG179" s="71" t="str">
        <f t="shared" si="1414"/>
        <v>-</v>
      </c>
      <c r="CH179" s="70">
        <f t="shared" si="1415"/>
        <v>151</v>
      </c>
      <c r="CI179" s="71" t="str">
        <f t="shared" si="1416"/>
        <v>-</v>
      </c>
      <c r="CJ179" s="72">
        <f t="shared" si="1417"/>
        <v>185</v>
      </c>
      <c r="CK179" s="72">
        <f t="shared" si="1418"/>
        <v>190</v>
      </c>
      <c r="CL179" s="72">
        <f t="shared" si="1419"/>
        <v>226</v>
      </c>
      <c r="CM179" s="72">
        <f t="shared" si="1420"/>
        <v>234</v>
      </c>
      <c r="CN179" s="72">
        <f t="shared" si="1421"/>
        <v>261</v>
      </c>
      <c r="CO179" s="72">
        <f t="shared" si="1422"/>
        <v>276</v>
      </c>
      <c r="CP179" s="72">
        <f t="shared" si="1423"/>
        <v>318</v>
      </c>
      <c r="CQ179" s="72">
        <f t="shared" si="1424"/>
        <v>354</v>
      </c>
      <c r="CR179" s="72">
        <f t="shared" si="1425"/>
        <v>394</v>
      </c>
      <c r="CS179" s="72" t="str">
        <f t="shared" si="1426"/>
        <v>-</v>
      </c>
      <c r="CT179" s="23" t="e">
        <f t="shared" si="1427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1231"/>
        <v>ccr2_human__wt</v>
      </c>
      <c r="B180" s="3" t="s">
        <v>170</v>
      </c>
      <c r="C180" s="3" t="s">
        <v>100</v>
      </c>
      <c r="D180" s="3" t="str">
        <f>IFERROR(MID(VLOOKUP($B180,Seqs!$A:$B,2,0),E180,1),"")</f>
        <v>V</v>
      </c>
      <c r="E180" s="3">
        <v>37</v>
      </c>
      <c r="F180" s="3" t="str">
        <f>IFERROR(MID(VLOOKUP($B180,Seqs!$A:$B,2,0),G180,1),"")</f>
        <v>C</v>
      </c>
      <c r="G180" s="3">
        <v>70</v>
      </c>
      <c r="H180" s="3" t="str">
        <f>IFERROR(MID(VLOOKUP($B180,Seqs!$A:$B,2,0),I180,1),"")</f>
        <v>K</v>
      </c>
      <c r="I180" s="23">
        <v>71</v>
      </c>
      <c r="J180" s="3" t="str">
        <f>IFERROR(MID(VLOOKUP($B180,Seqs!$A:$B,2,0),K180,1),"")</f>
        <v>K</v>
      </c>
      <c r="K180" s="23">
        <v>74</v>
      </c>
      <c r="L180" s="3" t="str">
        <f>IFERROR(MID(VLOOKUP($B180,Seqs!$A:$B,2,0),M180,1),"")</f>
        <v>C</v>
      </c>
      <c r="M180" s="3">
        <v>75</v>
      </c>
      <c r="N180" s="3" t="str">
        <f>IFERROR(MID(VLOOKUP($B180,Seqs!$A:$B,2,0),O180,1),"")</f>
        <v>N</v>
      </c>
      <c r="O180" s="3">
        <v>104</v>
      </c>
      <c r="P180" s="3" t="str">
        <f>IFERROR(MID(VLOOKUP($B180,Seqs!$A:$B,2,0),Q180,1),"")</f>
        <v>E</v>
      </c>
      <c r="Q180" s="3">
        <v>105</v>
      </c>
      <c r="R180" s="3" t="str">
        <f>IFERROR(MID(VLOOKUP($B180,Seqs!$A:$B,2,0),S180,1),"")</f>
        <v>F</v>
      </c>
      <c r="S180" s="3">
        <v>108</v>
      </c>
      <c r="T180" s="3" t="str">
        <f>IFERROR(MID(VLOOKUP($B180,Seqs!$A:$B,2,0),U180,1),"")</f>
        <v>G</v>
      </c>
      <c r="U180" s="3">
        <v>109</v>
      </c>
      <c r="V180" s="3" t="str">
        <f>IFERROR(MID(VLOOKUP($B180,Seqs!$A:$B,2,0),W180,1),"")</f>
        <v>H</v>
      </c>
      <c r="W180" s="3">
        <v>144</v>
      </c>
      <c r="X180" s="3" t="str">
        <f>IFERROR(MID(VLOOKUP($B180,Seqs!$A:$B,2,0),Y180,1),"")</f>
        <v>A</v>
      </c>
      <c r="Y180" s="3">
        <v>145</v>
      </c>
      <c r="Z180" s="3" t="str">
        <f>IFERROR(MID(VLOOKUP($B180,Seqs!$A:$B,2,0),AA180,1),"")</f>
        <v>R</v>
      </c>
      <c r="AA180" s="3">
        <v>152</v>
      </c>
      <c r="AB180" s="3" t="str">
        <f>IFERROR(MID(VLOOKUP($B180,Seqs!$A:$B,2,0),AC180,1),"")</f>
        <v>T</v>
      </c>
      <c r="AC180" s="9">
        <v>153</v>
      </c>
      <c r="AD180" s="3" t="str">
        <f>IFERROR(MID(VLOOKUP($B180,Seqs!$A:$B,2,0),AE180,1),"")</f>
        <v>T</v>
      </c>
      <c r="AE180" s="3">
        <v>179</v>
      </c>
      <c r="AF180" s="3" t="str">
        <f>IFERROR(MID(VLOOKUP($B180,Seqs!$A:$B,2,0),AG180,1),"")</f>
        <v>C</v>
      </c>
      <c r="AG180" s="3">
        <v>190</v>
      </c>
      <c r="AH180" s="3" t="str">
        <f>IFERROR(MID(VLOOKUP($B180,Seqs!$A:$B,2,0),AI180,1),"")</f>
        <v>P</v>
      </c>
      <c r="AI180" s="3">
        <v>192</v>
      </c>
      <c r="AJ180" s="3" t="str">
        <f>IFERROR(MID(VLOOKUP($B180,Seqs!$A:$B,2,0),AK180,1),"")</f>
        <v>P</v>
      </c>
      <c r="AK180" s="3">
        <v>195</v>
      </c>
      <c r="AL180" s="3" t="str">
        <f>IFERROR(MID(VLOOKUP($B180,Seqs!$A:$B,2,0),AM180,1),"")</f>
        <v>C</v>
      </c>
      <c r="AM180" s="3">
        <v>232</v>
      </c>
      <c r="AN180" s="3" t="str">
        <f>IFERROR(MID(VLOOKUP($B180,Seqs!$A:$B,2,0),AO180,1),"")</f>
        <v>K</v>
      </c>
      <c r="AO180" s="3">
        <v>236</v>
      </c>
      <c r="AP180" s="3" t="str">
        <f>IFERROR(MID(VLOOKUP($B180,Seqs!$A:$B,2,0),AQ180,1),"")</f>
        <v>G</v>
      </c>
      <c r="AQ180" s="3">
        <v>273</v>
      </c>
      <c r="AR180" s="3" t="str">
        <f>IFERROR(MID(VLOOKUP($B180,Seqs!$A:$B,2,0),AS180,1),"")</f>
        <v>E</v>
      </c>
      <c r="AS180" s="3">
        <v>278</v>
      </c>
      <c r="AT180" s="3" t="str">
        <f>IFERROR(MID(VLOOKUP($B180,Seqs!$A:$B,2,0),AU180,1),"")</f>
        <v>V</v>
      </c>
      <c r="AU180" s="3">
        <v>308</v>
      </c>
      <c r="AV180" s="3" t="str">
        <f>IFERROR(MID(VLOOKUP($B180,Seqs!$A:$B,2,0),AW180,1),"")</f>
        <v>G</v>
      </c>
      <c r="AW180" s="3">
        <v>309</v>
      </c>
      <c r="AX180" s="3" t="str">
        <f>IFERROR(MID(VLOOKUP($B180,Seqs!$A:$B,2,0),AY180,1),"")</f>
        <v>L</v>
      </c>
      <c r="AY180" s="3">
        <v>320</v>
      </c>
      <c r="AZ180" s="77" t="str">
        <f>VLOOKUP(B180,Classification!A:D,2,0)</f>
        <v>A</v>
      </c>
      <c r="BA180" s="94" t="str">
        <f>VLOOKUP(B180,Classification!A:D,4,0)</f>
        <v>Chemokine</v>
      </c>
      <c r="BB180" s="27" t="b">
        <f t="shared" si="1232"/>
        <v>1</v>
      </c>
      <c r="BC180" s="23">
        <f t="shared" si="981"/>
        <v>265</v>
      </c>
      <c r="BD180" s="2" t="s">
        <v>23</v>
      </c>
      <c r="BE180" s="3" t="s">
        <v>23</v>
      </c>
      <c r="BF180" s="118" t="s">
        <v>23</v>
      </c>
      <c r="BG180" s="49" t="s">
        <v>1368</v>
      </c>
      <c r="BH180" s="49" t="s">
        <v>1373</v>
      </c>
      <c r="BI180" s="1"/>
      <c r="BJ180" s="70" t="s">
        <v>1283</v>
      </c>
      <c r="BK180" s="57" t="s">
        <v>1283</v>
      </c>
      <c r="BL180" s="57" t="s">
        <v>1283</v>
      </c>
      <c r="BM180" s="57" t="s">
        <v>1283</v>
      </c>
      <c r="BN180" s="57" t="s">
        <v>1283</v>
      </c>
      <c r="BO180" s="57" t="s">
        <v>1283</v>
      </c>
      <c r="BP180" s="57" t="s">
        <v>1283</v>
      </c>
      <c r="BQ180" s="57" t="s">
        <v>1283</v>
      </c>
      <c r="BR180" s="57" t="s">
        <v>1283</v>
      </c>
      <c r="BS180" s="57" t="s">
        <v>1283</v>
      </c>
      <c r="BT180" s="57" t="s">
        <v>1283</v>
      </c>
      <c r="BU180" s="57" t="s">
        <v>1283</v>
      </c>
      <c r="BV180" s="70">
        <f t="shared" si="982"/>
        <v>37</v>
      </c>
      <c r="BW180" s="71">
        <f t="shared" si="983"/>
        <v>71</v>
      </c>
      <c r="BX180" s="72">
        <f t="shared" si="984"/>
        <v>75</v>
      </c>
      <c r="BY180" s="71">
        <f t="shared" si="985"/>
        <v>105</v>
      </c>
      <c r="BZ180" s="72">
        <f t="shared" si="986"/>
        <v>109</v>
      </c>
      <c r="CA180" s="71">
        <f t="shared" si="987"/>
        <v>145</v>
      </c>
      <c r="CB180" s="72">
        <f t="shared" si="988"/>
        <v>153</v>
      </c>
      <c r="CC180" s="71">
        <f t="shared" si="989"/>
        <v>190</v>
      </c>
      <c r="CD180" s="72">
        <f t="shared" si="990"/>
        <v>195</v>
      </c>
      <c r="CE180" s="71">
        <f t="shared" si="991"/>
        <v>236</v>
      </c>
      <c r="CF180" s="72">
        <f t="shared" si="992"/>
        <v>278</v>
      </c>
      <c r="CG180" s="71">
        <f t="shared" si="993"/>
        <v>309</v>
      </c>
      <c r="CH180" s="70">
        <f t="shared" si="994"/>
        <v>70</v>
      </c>
      <c r="CI180" s="71">
        <f t="shared" si="995"/>
        <v>74</v>
      </c>
      <c r="CJ180" s="72">
        <f t="shared" si="996"/>
        <v>104</v>
      </c>
      <c r="CK180" s="72">
        <f t="shared" si="997"/>
        <v>108</v>
      </c>
      <c r="CL180" s="72">
        <f t="shared" si="998"/>
        <v>144</v>
      </c>
      <c r="CM180" s="72">
        <f t="shared" si="999"/>
        <v>152</v>
      </c>
      <c r="CN180" s="72">
        <f t="shared" si="1000"/>
        <v>179</v>
      </c>
      <c r="CO180" s="72">
        <f t="shared" si="1001"/>
        <v>192</v>
      </c>
      <c r="CP180" s="72">
        <f t="shared" si="1002"/>
        <v>232</v>
      </c>
      <c r="CQ180" s="72">
        <f t="shared" si="1003"/>
        <v>273</v>
      </c>
      <c r="CR180" s="72">
        <f t="shared" si="1004"/>
        <v>308</v>
      </c>
      <c r="CS180" s="72">
        <f t="shared" si="1005"/>
        <v>320</v>
      </c>
      <c r="CT180" s="23">
        <f t="shared" si="1006"/>
        <v>1</v>
      </c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  <c r="SC180" s="6"/>
      <c r="SD180" s="6"/>
      <c r="SE180" s="6"/>
      <c r="SF180" s="6"/>
      <c r="SG180" s="6"/>
      <c r="SH180" s="6"/>
      <c r="SI180" s="6"/>
      <c r="SJ180" s="6"/>
      <c r="SK180" s="6"/>
      <c r="SL180" s="6"/>
      <c r="SM180" s="6"/>
      <c r="SN180" s="6"/>
      <c r="SO180" s="6"/>
      <c r="SP180" s="6"/>
      <c r="SQ180" s="6"/>
      <c r="SR180" s="6"/>
      <c r="SS180" s="6"/>
      <c r="ST180" s="6"/>
      <c r="SU180" s="6"/>
      <c r="SV180" s="6"/>
      <c r="SW180" s="6"/>
      <c r="SX180" s="6"/>
      <c r="SY180" s="6"/>
      <c r="SZ180" s="6"/>
      <c r="TA180" s="6"/>
      <c r="TB180" s="6"/>
      <c r="TC180" s="6"/>
      <c r="TD180" s="6"/>
      <c r="TE180" s="6"/>
      <c r="TF180" s="6"/>
      <c r="TG180" s="6"/>
      <c r="TH180" s="6"/>
      <c r="TI180" s="6"/>
      <c r="TJ180" s="6"/>
      <c r="TK180" s="6"/>
      <c r="TL180" s="6"/>
      <c r="TM180" s="6"/>
      <c r="TN180" s="6"/>
      <c r="TO180" s="6"/>
      <c r="TP180" s="6"/>
      <c r="TQ180" s="6"/>
      <c r="TR180" s="6"/>
      <c r="TS180" s="6"/>
      <c r="TT180" s="6"/>
      <c r="TU180" s="6"/>
      <c r="TV180" s="6"/>
      <c r="TW180" s="6"/>
      <c r="TX180" s="6"/>
      <c r="TY180" s="6"/>
      <c r="TZ180" s="6"/>
      <c r="UA180" s="6"/>
      <c r="UB180" s="6"/>
      <c r="UC180" s="6"/>
      <c r="UD180" s="6"/>
      <c r="UE180" s="6"/>
      <c r="UF180" s="6"/>
      <c r="UG180" s="6"/>
      <c r="UH180" s="6"/>
      <c r="UI180" s="6"/>
      <c r="UJ180" s="6"/>
      <c r="UK180" s="6"/>
      <c r="UL180" s="6"/>
      <c r="UM180" s="6"/>
      <c r="UN180" s="6"/>
      <c r="UO180" s="6"/>
      <c r="UP180" s="6"/>
      <c r="UQ180" s="6"/>
      <c r="UR180" s="6"/>
      <c r="US180" s="6"/>
      <c r="UT180" s="6"/>
      <c r="UU180" s="6"/>
      <c r="UV180" s="6"/>
      <c r="UW180" s="6"/>
      <c r="UX180" s="6"/>
      <c r="UY180" s="6"/>
      <c r="UZ180" s="6"/>
      <c r="VA180" s="6"/>
      <c r="VB180" s="6"/>
      <c r="VC180" s="6"/>
      <c r="VD180" s="6"/>
      <c r="VE180" s="6"/>
      <c r="VF180" s="6"/>
      <c r="VG180" s="6"/>
      <c r="VH180" s="6"/>
      <c r="VI180" s="6"/>
      <c r="VJ180" s="6"/>
      <c r="VK180" s="6"/>
      <c r="VL180" s="6"/>
      <c r="VM180" s="6"/>
      <c r="VN180" s="6"/>
      <c r="VO180" s="6"/>
      <c r="VP180" s="6"/>
      <c r="VQ180" s="6"/>
      <c r="VR180" s="6"/>
      <c r="VS180" s="6"/>
      <c r="VT180" s="6"/>
      <c r="VU180" s="6"/>
      <c r="VV180" s="6"/>
      <c r="VW180" s="6"/>
      <c r="VX180" s="6"/>
      <c r="VY180" s="6"/>
      <c r="VZ180" s="6"/>
      <c r="WA180" s="6"/>
      <c r="WB180" s="6"/>
      <c r="WC180" s="6"/>
      <c r="WD180" s="6"/>
      <c r="WE180" s="6"/>
      <c r="WF180" s="6"/>
      <c r="WG180" s="6"/>
      <c r="WH180" s="6"/>
      <c r="WI180" s="6"/>
      <c r="WJ180" s="6"/>
      <c r="WK180" s="6"/>
      <c r="WL180" s="6"/>
      <c r="WM180" s="6"/>
      <c r="WN180" s="6"/>
      <c r="WO180" s="6"/>
      <c r="WP180" s="6"/>
      <c r="WQ180" s="6"/>
      <c r="WR180" s="6"/>
      <c r="WS180" s="6"/>
      <c r="WT180" s="6"/>
      <c r="WU180" s="6"/>
      <c r="WV180" s="6"/>
      <c r="WW180" s="6"/>
      <c r="WX180" s="6"/>
      <c r="WY180" s="6"/>
      <c r="WZ180" s="6"/>
      <c r="XA180" s="6"/>
      <c r="XB180" s="6"/>
      <c r="XC180" s="6"/>
      <c r="XD180" s="6"/>
      <c r="XE180" s="6"/>
      <c r="XF180" s="6"/>
      <c r="XG180" s="6"/>
      <c r="XH180" s="6"/>
      <c r="XI180" s="6"/>
      <c r="XJ180" s="6"/>
      <c r="XK180" s="6"/>
      <c r="XL180" s="6"/>
      <c r="XM180" s="6"/>
      <c r="XN180" s="6"/>
      <c r="XO180" s="6"/>
      <c r="XP180" s="6"/>
      <c r="XQ180" s="6"/>
      <c r="XR180" s="6"/>
      <c r="XS180" s="6"/>
      <c r="XT180" s="6"/>
      <c r="XU180" s="6"/>
      <c r="XV180" s="6"/>
      <c r="XW180" s="6"/>
      <c r="XX180" s="6"/>
      <c r="XY180" s="6"/>
      <c r="XZ180" s="6"/>
      <c r="YA180" s="6"/>
      <c r="YB180" s="6"/>
      <c r="YC180" s="6"/>
      <c r="YD180" s="6"/>
      <c r="YE180" s="6"/>
      <c r="YF180" s="6"/>
      <c r="YG180" s="6"/>
      <c r="YH180" s="6"/>
      <c r="YI180" s="6"/>
      <c r="YJ180" s="6"/>
      <c r="YK180" s="6"/>
      <c r="YL180" s="6"/>
      <c r="YM180" s="6"/>
      <c r="YN180" s="6"/>
      <c r="YO180" s="6"/>
      <c r="YP180" s="6"/>
      <c r="YQ180" s="6"/>
      <c r="YR180" s="6"/>
      <c r="YS180" s="6"/>
      <c r="YT180" s="6"/>
      <c r="YU180" s="6"/>
      <c r="YV180" s="6"/>
      <c r="YW180" s="6"/>
      <c r="YX180" s="6"/>
      <c r="YY180" s="6"/>
      <c r="YZ180" s="6"/>
      <c r="ZA180" s="6"/>
      <c r="ZB180" s="6"/>
      <c r="ZC180" s="6"/>
      <c r="ZD180" s="6"/>
      <c r="ZE180" s="6"/>
      <c r="ZF180" s="6"/>
      <c r="ZG180" s="6"/>
      <c r="ZH180" s="6"/>
      <c r="ZI180" s="6"/>
      <c r="ZJ180" s="6"/>
      <c r="ZK180" s="6"/>
      <c r="ZL180" s="6"/>
      <c r="ZM180" s="6"/>
      <c r="ZN180" s="6"/>
      <c r="ZO180" s="6"/>
      <c r="ZP180" s="6"/>
      <c r="ZQ180" s="6"/>
      <c r="ZR180" s="6"/>
      <c r="ZS180" s="6"/>
      <c r="ZT180" s="6"/>
      <c r="ZU180" s="6"/>
      <c r="ZV180" s="6"/>
      <c r="ZW180" s="6"/>
      <c r="ZX180" s="6"/>
      <c r="ZY180" s="6"/>
      <c r="ZZ180" s="6"/>
      <c r="AAA180" s="6"/>
      <c r="AAB180" s="6"/>
      <c r="AAC180" s="6"/>
      <c r="AAD180" s="6"/>
      <c r="AAE180" s="6"/>
      <c r="AAF180" s="6"/>
      <c r="AAG180" s="6"/>
      <c r="AAH180" s="6"/>
      <c r="AAI180" s="6"/>
      <c r="AAJ180" s="6"/>
      <c r="AAK180" s="6"/>
      <c r="AAL180" s="6"/>
      <c r="AAM180" s="6"/>
      <c r="AAN180" s="6"/>
      <c r="AAO180" s="6"/>
      <c r="AAP180" s="6"/>
      <c r="AAQ180" s="6"/>
      <c r="AAR180" s="6"/>
      <c r="AAS180" s="6"/>
      <c r="AAT180" s="6"/>
      <c r="AAU180" s="6"/>
      <c r="AAV180" s="6"/>
      <c r="AAW180" s="6"/>
      <c r="AAX180" s="6"/>
      <c r="AAY180" s="6"/>
      <c r="AAZ180" s="6"/>
      <c r="ABA180" s="6"/>
      <c r="ABB180" s="6"/>
      <c r="ABC180" s="6"/>
      <c r="ABD180" s="6"/>
      <c r="ABE180" s="6"/>
      <c r="ABF180" s="6"/>
      <c r="ABG180" s="6"/>
      <c r="ABH180" s="6"/>
      <c r="ABI180" s="6"/>
      <c r="ABJ180" s="6"/>
      <c r="ABK180" s="6"/>
      <c r="ABL180" s="6"/>
      <c r="ABM180" s="6"/>
      <c r="ABN180" s="6"/>
      <c r="ABO180" s="6"/>
      <c r="ABP180" s="6"/>
      <c r="ABQ180" s="6"/>
      <c r="ABR180" s="6"/>
      <c r="ABS180" s="6"/>
      <c r="ABT180" s="6"/>
      <c r="ABU180" s="6"/>
      <c r="ABV180" s="6"/>
      <c r="ABW180" s="6"/>
      <c r="ABX180" s="6"/>
      <c r="ABY180" s="6"/>
      <c r="ABZ180" s="6"/>
      <c r="ACA180" s="6"/>
      <c r="ACB180" s="6"/>
      <c r="ACC180" s="6"/>
      <c r="ACD180" s="6"/>
      <c r="ACE180" s="6"/>
      <c r="ACF180" s="6"/>
      <c r="ACG180" s="6"/>
      <c r="ACH180" s="6"/>
      <c r="ACI180" s="6"/>
      <c r="ACJ180" s="6"/>
      <c r="ACK180" s="6"/>
      <c r="ACL180" s="6"/>
      <c r="ACM180" s="6"/>
      <c r="ACN180" s="6"/>
      <c r="ACO180" s="6"/>
      <c r="ACP180" s="6"/>
      <c r="ACQ180" s="6"/>
      <c r="ACR180" s="6"/>
      <c r="ACS180" s="6"/>
      <c r="ACT180" s="6"/>
      <c r="ACU180" s="6"/>
      <c r="ACV180" s="6"/>
      <c r="ACW180" s="6"/>
      <c r="ACX180" s="6"/>
      <c r="ACY180" s="6"/>
      <c r="ACZ180" s="6"/>
      <c r="ADA180" s="6"/>
      <c r="ADB180" s="6"/>
      <c r="ADC180" s="6"/>
      <c r="ADD180" s="6"/>
      <c r="ADE180" s="6"/>
      <c r="ADF180" s="6"/>
      <c r="ADG180" s="6"/>
      <c r="ADH180" s="6"/>
      <c r="ADI180" s="6"/>
      <c r="ADJ180" s="6"/>
      <c r="ADK180" s="6"/>
      <c r="ADL180" s="6"/>
      <c r="ADM180" s="6"/>
      <c r="ADN180" s="6"/>
      <c r="ADO180" s="6"/>
      <c r="ADP180" s="6"/>
      <c r="ADQ180" s="6"/>
      <c r="ADR180" s="6"/>
      <c r="ADS180" s="6"/>
      <c r="ADT180" s="6"/>
      <c r="ADU180" s="6"/>
      <c r="ADV180" s="6"/>
      <c r="ADW180" s="6"/>
      <c r="ADX180" s="6"/>
      <c r="ADY180" s="6"/>
      <c r="ADZ180" s="6"/>
      <c r="AEA180" s="6"/>
      <c r="AEB180" s="6"/>
      <c r="AEC180" s="6"/>
      <c r="AED180" s="6"/>
      <c r="AEE180" s="6"/>
      <c r="AEF180" s="6"/>
      <c r="AEG180" s="6"/>
      <c r="AEH180" s="6"/>
      <c r="AEI180" s="6"/>
      <c r="AEJ180" s="6"/>
      <c r="AEK180" s="6"/>
      <c r="AEL180" s="6"/>
      <c r="AEM180" s="6"/>
      <c r="AEN180" s="6"/>
      <c r="AEO180" s="6"/>
      <c r="AEP180" s="6"/>
      <c r="AEQ180" s="6"/>
      <c r="AER180" s="6"/>
      <c r="AES180" s="6"/>
      <c r="AET180" s="6"/>
      <c r="AEU180" s="6"/>
      <c r="AEV180" s="6"/>
      <c r="AEW180" s="6"/>
      <c r="AEX180" s="6"/>
      <c r="AEY180" s="6"/>
      <c r="AEZ180" s="6"/>
      <c r="AFA180" s="6"/>
      <c r="AFB180" s="6"/>
      <c r="AFC180" s="6"/>
      <c r="AFD180" s="6"/>
      <c r="AFE180" s="6"/>
      <c r="AFF180" s="6"/>
      <c r="AFG180" s="6"/>
      <c r="AFH180" s="6"/>
      <c r="AFI180" s="6"/>
      <c r="AFJ180" s="6"/>
      <c r="AFK180" s="6"/>
      <c r="AFL180" s="6"/>
      <c r="AFM180" s="6"/>
      <c r="AFN180" s="6"/>
      <c r="AFO180" s="6"/>
      <c r="AFP180" s="6"/>
      <c r="AFQ180" s="6"/>
      <c r="AFR180" s="6"/>
      <c r="AFS180" s="6"/>
      <c r="AFT180" s="6"/>
      <c r="AFU180" s="6"/>
      <c r="AFV180" s="6"/>
      <c r="AFW180" s="6"/>
      <c r="AFX180" s="6"/>
      <c r="AFY180" s="6"/>
      <c r="AFZ180" s="6"/>
      <c r="AGA180" s="6"/>
      <c r="AGB180" s="6"/>
      <c r="AGC180" s="6"/>
      <c r="AGD180" s="6"/>
      <c r="AGE180" s="6"/>
      <c r="AGF180" s="6"/>
      <c r="AGG180" s="6"/>
      <c r="AGH180" s="6"/>
      <c r="AGI180" s="6"/>
      <c r="AGJ180" s="6"/>
      <c r="AGK180" s="6"/>
      <c r="AGL180" s="6"/>
      <c r="AGM180" s="6"/>
      <c r="AGN180" s="6"/>
      <c r="AGO180" s="6"/>
      <c r="AGP180" s="6"/>
      <c r="AGQ180" s="6"/>
      <c r="AGR180" s="6"/>
      <c r="AGS180" s="6"/>
      <c r="AGT180" s="6"/>
      <c r="AGU180" s="6"/>
      <c r="AGV180" s="6"/>
      <c r="AGW180" s="6"/>
      <c r="AGX180" s="6"/>
      <c r="AGY180" s="6"/>
      <c r="AGZ180" s="6"/>
      <c r="AHA180" s="6"/>
      <c r="AHB180" s="6"/>
      <c r="AHC180" s="6"/>
      <c r="AHD180" s="6"/>
      <c r="AHE180" s="6"/>
      <c r="AHF180" s="6"/>
      <c r="AHG180" s="6"/>
      <c r="AHH180" s="6"/>
      <c r="AHI180" s="6"/>
      <c r="AHJ180" s="6"/>
      <c r="AHK180" s="6"/>
      <c r="AHL180" s="6"/>
      <c r="AHM180" s="6"/>
      <c r="AHN180" s="6"/>
      <c r="AHO180" s="6"/>
      <c r="AHP180" s="6"/>
      <c r="AHQ180" s="6"/>
      <c r="AHR180" s="6"/>
      <c r="AHS180" s="6"/>
      <c r="AHT180" s="6"/>
      <c r="AHU180" s="6"/>
      <c r="AHV180" s="6"/>
      <c r="AHW180" s="6"/>
      <c r="AHX180" s="6"/>
      <c r="AHY180" s="6"/>
      <c r="AHZ180" s="6"/>
      <c r="AIA180" s="6"/>
      <c r="AIB180" s="6"/>
      <c r="AIC180" s="6"/>
      <c r="AID180" s="6"/>
      <c r="AIE180" s="6"/>
      <c r="AIF180" s="6"/>
      <c r="AIG180" s="6"/>
      <c r="AIH180" s="6"/>
      <c r="AII180" s="6"/>
      <c r="AIJ180" s="6"/>
      <c r="AIK180" s="6"/>
      <c r="AIL180" s="6"/>
      <c r="AIM180" s="6"/>
      <c r="AIN180" s="6"/>
      <c r="AIO180" s="6"/>
      <c r="AIP180" s="6"/>
      <c r="AIQ180" s="6"/>
      <c r="AIR180" s="6"/>
      <c r="AIS180" s="6"/>
      <c r="AIT180" s="6"/>
      <c r="AIU180" s="6"/>
      <c r="AIV180" s="6"/>
      <c r="AIW180" s="6"/>
      <c r="AIX180" s="6"/>
      <c r="AIY180" s="6"/>
      <c r="AIZ180" s="6"/>
      <c r="AJA180" s="6"/>
      <c r="AJB180" s="6"/>
      <c r="AJC180" s="6"/>
      <c r="AJD180" s="6"/>
      <c r="AJE180" s="6"/>
      <c r="AJF180" s="6"/>
      <c r="AJG180" s="6"/>
      <c r="AJH180" s="6"/>
      <c r="AJI180" s="6"/>
      <c r="AJJ180" s="6"/>
      <c r="AJK180" s="6"/>
      <c r="AJL180" s="6"/>
      <c r="AJM180" s="6"/>
      <c r="AJN180" s="6"/>
      <c r="AJO180" s="6"/>
      <c r="AJP180" s="6"/>
      <c r="AJQ180" s="6"/>
      <c r="AJR180" s="6"/>
      <c r="AJS180" s="6"/>
      <c r="AJT180" s="6"/>
      <c r="AJU180" s="6"/>
      <c r="AJV180" s="6"/>
      <c r="AJW180" s="6"/>
      <c r="AJX180" s="6"/>
      <c r="AJY180" s="6"/>
      <c r="AJZ180" s="6"/>
      <c r="AKA180" s="6"/>
      <c r="AKB180" s="6"/>
      <c r="AKC180" s="6"/>
      <c r="AKD180" s="6"/>
      <c r="AKE180" s="6"/>
      <c r="AKF180" s="6"/>
      <c r="AKG180" s="6"/>
      <c r="AKH180" s="6"/>
      <c r="AKI180" s="6"/>
      <c r="AKJ180" s="6"/>
      <c r="AKK180" s="6"/>
      <c r="AKL180" s="6"/>
      <c r="AKM180" s="6"/>
      <c r="AKN180" s="6"/>
      <c r="AKO180" s="6"/>
      <c r="AKP180" s="6"/>
      <c r="AKQ180" s="6"/>
      <c r="AKR180" s="6"/>
      <c r="AKS180" s="6"/>
      <c r="AKT180" s="6"/>
      <c r="AKU180" s="6"/>
      <c r="AKV180" s="6"/>
      <c r="AKW180" s="6"/>
      <c r="AKX180" s="6"/>
      <c r="AKY180" s="6"/>
      <c r="AKZ180" s="6"/>
      <c r="ALA180" s="6"/>
      <c r="ALB180" s="6"/>
      <c r="ALC180" s="6"/>
      <c r="ALD180" s="6"/>
      <c r="ALE180" s="6"/>
      <c r="ALF180" s="6"/>
      <c r="ALG180" s="6"/>
      <c r="ALH180" s="6"/>
      <c r="ALI180" s="6"/>
      <c r="ALJ180" s="6"/>
      <c r="ALK180" s="6"/>
      <c r="ALL180" s="6"/>
      <c r="ALM180" s="6"/>
      <c r="ALN180" s="6"/>
      <c r="ALO180" s="6"/>
      <c r="ALP180" s="6"/>
      <c r="ALQ180" s="6"/>
      <c r="ALR180" s="6"/>
      <c r="ALS180" s="6"/>
      <c r="ALT180" s="6"/>
      <c r="ALU180" s="6"/>
      <c r="ALV180" s="6"/>
      <c r="ALW180" s="6"/>
      <c r="ALX180" s="6"/>
      <c r="ALY180" s="6"/>
      <c r="ALZ180" s="6"/>
      <c r="AMA180" s="6"/>
      <c r="AMB180" s="6"/>
      <c r="AMC180" s="6"/>
      <c r="AMD180" s="6"/>
      <c r="AME180" s="6"/>
      <c r="AMF180" s="6"/>
      <c r="AMG180" s="6"/>
      <c r="AMH180" s="6"/>
      <c r="AMI180" s="6"/>
      <c r="AMJ180" s="6"/>
      <c r="AMK180" s="6"/>
      <c r="AML180" s="6"/>
      <c r="AMM180" s="6"/>
      <c r="AMN180" s="6"/>
      <c r="AMO180" s="6"/>
      <c r="AMP180" s="6"/>
    </row>
    <row r="181" spans="1:1030" x14ac:dyDescent="0.2">
      <c r="A181" s="3" t="str">
        <f t="shared" si="1231"/>
        <v>ccr2_human_5T1A</v>
      </c>
      <c r="B181" s="3" t="s">
        <v>170</v>
      </c>
      <c r="C181" s="3" t="s">
        <v>1374</v>
      </c>
      <c r="D181" s="3" t="str">
        <f>IFERROR(MID(VLOOKUP($B181,Seqs!$A:$B,2,0),E181,1),"")</f>
        <v>V</v>
      </c>
      <c r="E181" s="3">
        <v>37</v>
      </c>
      <c r="F181" s="3" t="str">
        <f>IFERROR(MID(VLOOKUP($B181,Seqs!$A:$B,2,0),G181,1),"")</f>
        <v>C</v>
      </c>
      <c r="G181" s="3">
        <v>70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C</v>
      </c>
      <c r="M181" s="3">
        <v>75</v>
      </c>
      <c r="N181" s="3" t="str">
        <f>IFERROR(MID(VLOOKUP($B181,Seqs!$A:$B,2,0),O181,1),"")</f>
        <v>N</v>
      </c>
      <c r="O181" s="3">
        <v>104</v>
      </c>
      <c r="P181" s="3" t="str">
        <f>IFERROR(MID(VLOOKUP($B181,Seqs!$A:$B,2,0),Q181,1),"")</f>
        <v>E</v>
      </c>
      <c r="Q181" s="3">
        <v>105</v>
      </c>
      <c r="R181" s="3" t="str">
        <f>IFERROR(MID(VLOOKUP($B181,Seqs!$A:$B,2,0),S181,1),"")</f>
        <v>F</v>
      </c>
      <c r="S181" s="3">
        <v>108</v>
      </c>
      <c r="T181" s="3" t="str">
        <f>IFERROR(MID(VLOOKUP($B181,Seqs!$A:$B,2,0),U181,1),"")</f>
        <v>G</v>
      </c>
      <c r="U181" s="3">
        <v>109</v>
      </c>
      <c r="V181" s="3" t="str">
        <f>IFERROR(MID(VLOOKUP($B181,Seqs!$A:$B,2,0),W181,1),"")</f>
        <v>H</v>
      </c>
      <c r="W181" s="3">
        <v>144</v>
      </c>
      <c r="X181" s="3" t="str">
        <f>IFERROR(MID(VLOOKUP($B181,Seqs!$A:$B,2,0),Y181,1),"")</f>
        <v>A</v>
      </c>
      <c r="Y181" s="3">
        <v>145</v>
      </c>
      <c r="Z181" s="3" t="str">
        <f>IFERROR(MID(VLOOKUP($B181,Seqs!$A:$B,2,0),AA181,1),"")</f>
        <v>R</v>
      </c>
      <c r="AA181" s="3">
        <v>152</v>
      </c>
      <c r="AB181" s="3" t="str">
        <f>IFERROR(MID(VLOOKUP($B181,Seqs!$A:$B,2,0),AC181,1),"")</f>
        <v>T</v>
      </c>
      <c r="AC181" s="9">
        <v>153</v>
      </c>
      <c r="AD181" s="3" t="str">
        <f>IFERROR(MID(VLOOKUP($B181,Seqs!$A:$B,2,0),AE181,1),"")</f>
        <v>T</v>
      </c>
      <c r="AE181" s="3">
        <v>179</v>
      </c>
      <c r="AF181" s="3" t="str">
        <f>IFERROR(MID(VLOOKUP($B181,Seqs!$A:$B,2,0),AG181,1),"")</f>
        <v>C</v>
      </c>
      <c r="AG181" s="3">
        <v>190</v>
      </c>
      <c r="AH181" s="3" t="str">
        <f>IFERROR(MID(VLOOKUP($B181,Seqs!$A:$B,2,0),AI181,1),"")</f>
        <v>P</v>
      </c>
      <c r="AI181" s="3">
        <v>192</v>
      </c>
      <c r="AJ181" s="3" t="str">
        <f>IFERROR(MID(VLOOKUP($B181,Seqs!$A:$B,2,0),AK181,1),"")</f>
        <v>P</v>
      </c>
      <c r="AK181" s="3">
        <v>195</v>
      </c>
      <c r="AL181" s="3" t="str">
        <f>IFERROR(MID(VLOOKUP($B181,Seqs!$A:$B,2,0),AM181,1),"")</f>
        <v>T</v>
      </c>
      <c r="AM181" s="3">
        <v>228</v>
      </c>
      <c r="AN181" s="3" t="str">
        <f>IFERROR(MID(VLOOKUP($B181,Seqs!$A:$B,2,0),AO181,1),"")</f>
        <v>K</v>
      </c>
      <c r="AO181" s="3">
        <v>236</v>
      </c>
      <c r="AP181" s="3" t="str">
        <f>IFERROR(MID(VLOOKUP($B181,Seqs!$A:$B,2,0),AQ181,1),"")</f>
        <v>G</v>
      </c>
      <c r="AQ181" s="3">
        <v>273</v>
      </c>
      <c r="AR181" s="3" t="str">
        <f>IFERROR(MID(VLOOKUP($B181,Seqs!$A:$B,2,0),AS181,1),"")</f>
        <v>E</v>
      </c>
      <c r="AS181" s="3">
        <v>278</v>
      </c>
      <c r="AT181" s="3" t="str">
        <f>IFERROR(MID(VLOOKUP($B181,Seqs!$A:$B,2,0),AU181,1),"")</f>
        <v>V</v>
      </c>
      <c r="AU181" s="3">
        <v>308</v>
      </c>
      <c r="AV181" s="3" t="str">
        <f>IFERROR(MID(VLOOKUP($B181,Seqs!$A:$B,2,0),AW181,1),"")</f>
        <v>G</v>
      </c>
      <c r="AW181" s="3">
        <v>309</v>
      </c>
      <c r="AX181" s="3" t="str">
        <f>IFERROR(MID(VLOOKUP($B181,Seqs!$A:$B,2,0),AY181,1),"")</f>
        <v>L</v>
      </c>
      <c r="AY181" s="3">
        <v>320</v>
      </c>
      <c r="AZ181" s="77" t="str">
        <f>VLOOKUP(B181,Classification!A:D,2,0)</f>
        <v>A</v>
      </c>
      <c r="BA181" s="94" t="str">
        <f>VLOOKUP(B181,Classification!A:D,4,0)</f>
        <v>Chemokine</v>
      </c>
      <c r="BB181" s="27" t="b">
        <f t="shared" si="1232"/>
        <v>1</v>
      </c>
      <c r="BC181" s="23">
        <f t="shared" si="981"/>
        <v>258</v>
      </c>
      <c r="BD181" s="16" t="s">
        <v>1372</v>
      </c>
      <c r="BE181" s="3" t="s">
        <v>1370</v>
      </c>
      <c r="BF181" s="118">
        <v>2.81</v>
      </c>
      <c r="BG181" s="49" t="s">
        <v>1</v>
      </c>
      <c r="BH181" s="49" t="s">
        <v>1373</v>
      </c>
      <c r="BI181" s="1"/>
      <c r="BJ181" s="70" t="s">
        <v>1283</v>
      </c>
      <c r="BK181" s="57" t="s">
        <v>1283</v>
      </c>
      <c r="BL181" s="57" t="s">
        <v>1283</v>
      </c>
      <c r="BM181" s="57" t="s">
        <v>1283</v>
      </c>
      <c r="BN181" s="57" t="s">
        <v>1283</v>
      </c>
      <c r="BO181" s="57" t="s">
        <v>1283</v>
      </c>
      <c r="BP181" s="57" t="s">
        <v>1283</v>
      </c>
      <c r="BQ181" s="57" t="s">
        <v>1283</v>
      </c>
      <c r="BR181" s="57" t="s">
        <v>1283</v>
      </c>
      <c r="BS181" s="57" t="s">
        <v>1283</v>
      </c>
      <c r="BT181" s="57" t="s">
        <v>1283</v>
      </c>
      <c r="BU181" s="57" t="s">
        <v>1283</v>
      </c>
      <c r="BV181" s="70">
        <f t="shared" si="982"/>
        <v>37</v>
      </c>
      <c r="BW181" s="71" t="str">
        <f t="shared" si="983"/>
        <v>-</v>
      </c>
      <c r="BX181" s="72">
        <f t="shared" si="984"/>
        <v>75</v>
      </c>
      <c r="BY181" s="71">
        <f t="shared" si="985"/>
        <v>105</v>
      </c>
      <c r="BZ181" s="72">
        <f t="shared" si="986"/>
        <v>109</v>
      </c>
      <c r="CA181" s="71">
        <f t="shared" si="987"/>
        <v>145</v>
      </c>
      <c r="CB181" s="72">
        <f t="shared" si="988"/>
        <v>153</v>
      </c>
      <c r="CC181" s="71">
        <f t="shared" si="989"/>
        <v>190</v>
      </c>
      <c r="CD181" s="72">
        <f t="shared" si="990"/>
        <v>195</v>
      </c>
      <c r="CE181" s="71">
        <f t="shared" si="991"/>
        <v>236</v>
      </c>
      <c r="CF181" s="72">
        <f t="shared" si="992"/>
        <v>278</v>
      </c>
      <c r="CG181" s="71">
        <f t="shared" si="993"/>
        <v>309</v>
      </c>
      <c r="CH181" s="70">
        <f t="shared" si="994"/>
        <v>70</v>
      </c>
      <c r="CI181" s="71" t="str">
        <f t="shared" si="995"/>
        <v>-</v>
      </c>
      <c r="CJ181" s="72">
        <f t="shared" si="996"/>
        <v>104</v>
      </c>
      <c r="CK181" s="72">
        <f t="shared" si="997"/>
        <v>108</v>
      </c>
      <c r="CL181" s="72">
        <f t="shared" si="998"/>
        <v>144</v>
      </c>
      <c r="CM181" s="72">
        <f t="shared" si="999"/>
        <v>152</v>
      </c>
      <c r="CN181" s="72">
        <f t="shared" si="1000"/>
        <v>179</v>
      </c>
      <c r="CO181" s="72">
        <f t="shared" si="1001"/>
        <v>192</v>
      </c>
      <c r="CP181" s="72">
        <f t="shared" si="1002"/>
        <v>228</v>
      </c>
      <c r="CQ181" s="72">
        <f t="shared" si="1003"/>
        <v>273</v>
      </c>
      <c r="CR181" s="72">
        <f t="shared" si="1004"/>
        <v>308</v>
      </c>
      <c r="CS181" s="72">
        <f t="shared" si="1005"/>
        <v>320</v>
      </c>
      <c r="CT181" s="23" t="e">
        <f t="shared" si="1006"/>
        <v>#VALUE!</v>
      </c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  <c r="SC181" s="6"/>
      <c r="SD181" s="6"/>
      <c r="SE181" s="6"/>
      <c r="SF181" s="6"/>
      <c r="SG181" s="6"/>
      <c r="SH181" s="6"/>
      <c r="SI181" s="6"/>
      <c r="SJ181" s="6"/>
      <c r="SK181" s="6"/>
      <c r="SL181" s="6"/>
      <c r="SM181" s="6"/>
      <c r="SN181" s="6"/>
      <c r="SO181" s="6"/>
      <c r="SP181" s="6"/>
      <c r="SQ181" s="6"/>
      <c r="SR181" s="6"/>
      <c r="SS181" s="6"/>
      <c r="ST181" s="6"/>
      <c r="SU181" s="6"/>
      <c r="SV181" s="6"/>
      <c r="SW181" s="6"/>
      <c r="SX181" s="6"/>
      <c r="SY181" s="6"/>
      <c r="SZ181" s="6"/>
      <c r="TA181" s="6"/>
      <c r="TB181" s="6"/>
      <c r="TC181" s="6"/>
      <c r="TD181" s="6"/>
      <c r="TE181" s="6"/>
      <c r="TF181" s="6"/>
      <c r="TG181" s="6"/>
      <c r="TH181" s="6"/>
      <c r="TI181" s="6"/>
      <c r="TJ181" s="6"/>
      <c r="TK181" s="6"/>
      <c r="TL181" s="6"/>
      <c r="TM181" s="6"/>
      <c r="TN181" s="6"/>
      <c r="TO181" s="6"/>
      <c r="TP181" s="6"/>
      <c r="TQ181" s="6"/>
      <c r="TR181" s="6"/>
      <c r="TS181" s="6"/>
      <c r="TT181" s="6"/>
      <c r="TU181" s="6"/>
      <c r="TV181" s="6"/>
      <c r="TW181" s="6"/>
      <c r="TX181" s="6"/>
      <c r="TY181" s="6"/>
      <c r="TZ181" s="6"/>
      <c r="UA181" s="6"/>
      <c r="UB181" s="6"/>
      <c r="UC181" s="6"/>
      <c r="UD181" s="6"/>
      <c r="UE181" s="6"/>
      <c r="UF181" s="6"/>
      <c r="UG181" s="6"/>
      <c r="UH181" s="6"/>
      <c r="UI181" s="6"/>
      <c r="UJ181" s="6"/>
      <c r="UK181" s="6"/>
      <c r="UL181" s="6"/>
      <c r="UM181" s="6"/>
      <c r="UN181" s="6"/>
      <c r="UO181" s="6"/>
      <c r="UP181" s="6"/>
      <c r="UQ181" s="6"/>
      <c r="UR181" s="6"/>
      <c r="US181" s="6"/>
      <c r="UT181" s="6"/>
      <c r="UU181" s="6"/>
      <c r="UV181" s="6"/>
      <c r="UW181" s="6"/>
      <c r="UX181" s="6"/>
      <c r="UY181" s="6"/>
      <c r="UZ181" s="6"/>
      <c r="VA181" s="6"/>
      <c r="VB181" s="6"/>
      <c r="VC181" s="6"/>
      <c r="VD181" s="6"/>
      <c r="VE181" s="6"/>
      <c r="VF181" s="6"/>
      <c r="VG181" s="6"/>
      <c r="VH181" s="6"/>
      <c r="VI181" s="6"/>
      <c r="VJ181" s="6"/>
      <c r="VK181" s="6"/>
      <c r="VL181" s="6"/>
      <c r="VM181" s="6"/>
      <c r="VN181" s="6"/>
      <c r="VO181" s="6"/>
      <c r="VP181" s="6"/>
      <c r="VQ181" s="6"/>
      <c r="VR181" s="6"/>
      <c r="VS181" s="6"/>
      <c r="VT181" s="6"/>
      <c r="VU181" s="6"/>
      <c r="VV181" s="6"/>
      <c r="VW181" s="6"/>
      <c r="VX181" s="6"/>
      <c r="VY181" s="6"/>
      <c r="VZ181" s="6"/>
      <c r="WA181" s="6"/>
      <c r="WB181" s="6"/>
      <c r="WC181" s="6"/>
      <c r="WD181" s="6"/>
      <c r="WE181" s="6"/>
      <c r="WF181" s="6"/>
      <c r="WG181" s="6"/>
      <c r="WH181" s="6"/>
      <c r="WI181" s="6"/>
      <c r="WJ181" s="6"/>
      <c r="WK181" s="6"/>
      <c r="WL181" s="6"/>
      <c r="WM181" s="6"/>
      <c r="WN181" s="6"/>
      <c r="WO181" s="6"/>
      <c r="WP181" s="6"/>
      <c r="WQ181" s="6"/>
      <c r="WR181" s="6"/>
      <c r="WS181" s="6"/>
      <c r="WT181" s="6"/>
      <c r="WU181" s="6"/>
      <c r="WV181" s="6"/>
      <c r="WW181" s="6"/>
      <c r="WX181" s="6"/>
      <c r="WY181" s="6"/>
      <c r="WZ181" s="6"/>
      <c r="XA181" s="6"/>
      <c r="XB181" s="6"/>
      <c r="XC181" s="6"/>
      <c r="XD181" s="6"/>
      <c r="XE181" s="6"/>
      <c r="XF181" s="6"/>
      <c r="XG181" s="6"/>
      <c r="XH181" s="6"/>
      <c r="XI181" s="6"/>
      <c r="XJ181" s="6"/>
      <c r="XK181" s="6"/>
      <c r="XL181" s="6"/>
      <c r="XM181" s="6"/>
      <c r="XN181" s="6"/>
      <c r="XO181" s="6"/>
      <c r="XP181" s="6"/>
      <c r="XQ181" s="6"/>
      <c r="XR181" s="6"/>
      <c r="XS181" s="6"/>
      <c r="XT181" s="6"/>
      <c r="XU181" s="6"/>
      <c r="XV181" s="6"/>
      <c r="XW181" s="6"/>
      <c r="XX181" s="6"/>
      <c r="XY181" s="6"/>
      <c r="XZ181" s="6"/>
      <c r="YA181" s="6"/>
      <c r="YB181" s="6"/>
      <c r="YC181" s="6"/>
      <c r="YD181" s="6"/>
      <c r="YE181" s="6"/>
      <c r="YF181" s="6"/>
      <c r="YG181" s="6"/>
      <c r="YH181" s="6"/>
      <c r="YI181" s="6"/>
      <c r="YJ181" s="6"/>
      <c r="YK181" s="6"/>
      <c r="YL181" s="6"/>
      <c r="YM181" s="6"/>
      <c r="YN181" s="6"/>
      <c r="YO181" s="6"/>
      <c r="YP181" s="6"/>
      <c r="YQ181" s="6"/>
      <c r="YR181" s="6"/>
      <c r="YS181" s="6"/>
      <c r="YT181" s="6"/>
      <c r="YU181" s="6"/>
      <c r="YV181" s="6"/>
      <c r="YW181" s="6"/>
      <c r="YX181" s="6"/>
      <c r="YY181" s="6"/>
      <c r="YZ181" s="6"/>
      <c r="ZA181" s="6"/>
      <c r="ZB181" s="6"/>
      <c r="ZC181" s="6"/>
      <c r="ZD181" s="6"/>
      <c r="ZE181" s="6"/>
      <c r="ZF181" s="6"/>
      <c r="ZG181" s="6"/>
      <c r="ZH181" s="6"/>
      <c r="ZI181" s="6"/>
      <c r="ZJ181" s="6"/>
      <c r="ZK181" s="6"/>
      <c r="ZL181" s="6"/>
      <c r="ZM181" s="6"/>
      <c r="ZN181" s="6"/>
      <c r="ZO181" s="6"/>
      <c r="ZP181" s="6"/>
      <c r="ZQ181" s="6"/>
      <c r="ZR181" s="6"/>
      <c r="ZS181" s="6"/>
      <c r="ZT181" s="6"/>
      <c r="ZU181" s="6"/>
      <c r="ZV181" s="6"/>
      <c r="ZW181" s="6"/>
      <c r="ZX181" s="6"/>
      <c r="ZY181" s="6"/>
      <c r="ZZ181" s="6"/>
      <c r="AAA181" s="6"/>
      <c r="AAB181" s="6"/>
      <c r="AAC181" s="6"/>
      <c r="AAD181" s="6"/>
      <c r="AAE181" s="6"/>
      <c r="AAF181" s="6"/>
      <c r="AAG181" s="6"/>
      <c r="AAH181" s="6"/>
      <c r="AAI181" s="6"/>
      <c r="AAJ181" s="6"/>
      <c r="AAK181" s="6"/>
      <c r="AAL181" s="6"/>
      <c r="AAM181" s="6"/>
      <c r="AAN181" s="6"/>
      <c r="AAO181" s="6"/>
      <c r="AAP181" s="6"/>
      <c r="AAQ181" s="6"/>
      <c r="AAR181" s="6"/>
      <c r="AAS181" s="6"/>
      <c r="AAT181" s="6"/>
      <c r="AAU181" s="6"/>
      <c r="AAV181" s="6"/>
      <c r="AAW181" s="6"/>
      <c r="AAX181" s="6"/>
      <c r="AAY181" s="6"/>
      <c r="AAZ181" s="6"/>
      <c r="ABA181" s="6"/>
      <c r="ABB181" s="6"/>
      <c r="ABC181" s="6"/>
      <c r="ABD181" s="6"/>
      <c r="ABE181" s="6"/>
      <c r="ABF181" s="6"/>
      <c r="ABG181" s="6"/>
      <c r="ABH181" s="6"/>
      <c r="ABI181" s="6"/>
      <c r="ABJ181" s="6"/>
      <c r="ABK181" s="6"/>
      <c r="ABL181" s="6"/>
      <c r="ABM181" s="6"/>
      <c r="ABN181" s="6"/>
      <c r="ABO181" s="6"/>
      <c r="ABP181" s="6"/>
      <c r="ABQ181" s="6"/>
      <c r="ABR181" s="6"/>
      <c r="ABS181" s="6"/>
      <c r="ABT181" s="6"/>
      <c r="ABU181" s="6"/>
      <c r="ABV181" s="6"/>
      <c r="ABW181" s="6"/>
      <c r="ABX181" s="6"/>
      <c r="ABY181" s="6"/>
      <c r="ABZ181" s="6"/>
      <c r="ACA181" s="6"/>
      <c r="ACB181" s="6"/>
      <c r="ACC181" s="6"/>
      <c r="ACD181" s="6"/>
      <c r="ACE181" s="6"/>
      <c r="ACF181" s="6"/>
      <c r="ACG181" s="6"/>
      <c r="ACH181" s="6"/>
      <c r="ACI181" s="6"/>
      <c r="ACJ181" s="6"/>
      <c r="ACK181" s="6"/>
      <c r="ACL181" s="6"/>
      <c r="ACM181" s="6"/>
      <c r="ACN181" s="6"/>
      <c r="ACO181" s="6"/>
      <c r="ACP181" s="6"/>
      <c r="ACQ181" s="6"/>
      <c r="ACR181" s="6"/>
      <c r="ACS181" s="6"/>
      <c r="ACT181" s="6"/>
      <c r="ACU181" s="6"/>
      <c r="ACV181" s="6"/>
      <c r="ACW181" s="6"/>
      <c r="ACX181" s="6"/>
      <c r="ACY181" s="6"/>
      <c r="ACZ181" s="6"/>
      <c r="ADA181" s="6"/>
      <c r="ADB181" s="6"/>
      <c r="ADC181" s="6"/>
      <c r="ADD181" s="6"/>
      <c r="ADE181" s="6"/>
      <c r="ADF181" s="6"/>
      <c r="ADG181" s="6"/>
      <c r="ADH181" s="6"/>
      <c r="ADI181" s="6"/>
      <c r="ADJ181" s="6"/>
      <c r="ADK181" s="6"/>
      <c r="ADL181" s="6"/>
      <c r="ADM181" s="6"/>
      <c r="ADN181" s="6"/>
      <c r="ADO181" s="6"/>
      <c r="ADP181" s="6"/>
      <c r="ADQ181" s="6"/>
      <c r="ADR181" s="6"/>
      <c r="ADS181" s="6"/>
      <c r="ADT181" s="6"/>
      <c r="ADU181" s="6"/>
      <c r="ADV181" s="6"/>
      <c r="ADW181" s="6"/>
      <c r="ADX181" s="6"/>
      <c r="ADY181" s="6"/>
      <c r="ADZ181" s="6"/>
      <c r="AEA181" s="6"/>
      <c r="AEB181" s="6"/>
      <c r="AEC181" s="6"/>
      <c r="AED181" s="6"/>
      <c r="AEE181" s="6"/>
      <c r="AEF181" s="6"/>
      <c r="AEG181" s="6"/>
      <c r="AEH181" s="6"/>
      <c r="AEI181" s="6"/>
      <c r="AEJ181" s="6"/>
      <c r="AEK181" s="6"/>
      <c r="AEL181" s="6"/>
      <c r="AEM181" s="6"/>
      <c r="AEN181" s="6"/>
      <c r="AEO181" s="6"/>
      <c r="AEP181" s="6"/>
      <c r="AEQ181" s="6"/>
      <c r="AER181" s="6"/>
      <c r="AES181" s="6"/>
      <c r="AET181" s="6"/>
      <c r="AEU181" s="6"/>
      <c r="AEV181" s="6"/>
      <c r="AEW181" s="6"/>
      <c r="AEX181" s="6"/>
      <c r="AEY181" s="6"/>
      <c r="AEZ181" s="6"/>
      <c r="AFA181" s="6"/>
      <c r="AFB181" s="6"/>
      <c r="AFC181" s="6"/>
      <c r="AFD181" s="6"/>
      <c r="AFE181" s="6"/>
      <c r="AFF181" s="6"/>
      <c r="AFG181" s="6"/>
      <c r="AFH181" s="6"/>
      <c r="AFI181" s="6"/>
      <c r="AFJ181" s="6"/>
      <c r="AFK181" s="6"/>
      <c r="AFL181" s="6"/>
      <c r="AFM181" s="6"/>
      <c r="AFN181" s="6"/>
      <c r="AFO181" s="6"/>
      <c r="AFP181" s="6"/>
      <c r="AFQ181" s="6"/>
      <c r="AFR181" s="6"/>
      <c r="AFS181" s="6"/>
      <c r="AFT181" s="6"/>
      <c r="AFU181" s="6"/>
      <c r="AFV181" s="6"/>
      <c r="AFW181" s="6"/>
      <c r="AFX181" s="6"/>
      <c r="AFY181" s="6"/>
      <c r="AFZ181" s="6"/>
      <c r="AGA181" s="6"/>
      <c r="AGB181" s="6"/>
      <c r="AGC181" s="6"/>
      <c r="AGD181" s="6"/>
      <c r="AGE181" s="6"/>
      <c r="AGF181" s="6"/>
      <c r="AGG181" s="6"/>
      <c r="AGH181" s="6"/>
      <c r="AGI181" s="6"/>
      <c r="AGJ181" s="6"/>
      <c r="AGK181" s="6"/>
      <c r="AGL181" s="6"/>
      <c r="AGM181" s="6"/>
      <c r="AGN181" s="6"/>
      <c r="AGO181" s="6"/>
      <c r="AGP181" s="6"/>
      <c r="AGQ181" s="6"/>
      <c r="AGR181" s="6"/>
      <c r="AGS181" s="6"/>
      <c r="AGT181" s="6"/>
      <c r="AGU181" s="6"/>
      <c r="AGV181" s="6"/>
      <c r="AGW181" s="6"/>
      <c r="AGX181" s="6"/>
      <c r="AGY181" s="6"/>
      <c r="AGZ181" s="6"/>
      <c r="AHA181" s="6"/>
      <c r="AHB181" s="6"/>
      <c r="AHC181" s="6"/>
      <c r="AHD181" s="6"/>
      <c r="AHE181" s="6"/>
      <c r="AHF181" s="6"/>
      <c r="AHG181" s="6"/>
      <c r="AHH181" s="6"/>
      <c r="AHI181" s="6"/>
      <c r="AHJ181" s="6"/>
      <c r="AHK181" s="6"/>
      <c r="AHL181" s="6"/>
      <c r="AHM181" s="6"/>
      <c r="AHN181" s="6"/>
      <c r="AHO181" s="6"/>
      <c r="AHP181" s="6"/>
      <c r="AHQ181" s="6"/>
      <c r="AHR181" s="6"/>
      <c r="AHS181" s="6"/>
      <c r="AHT181" s="6"/>
      <c r="AHU181" s="6"/>
      <c r="AHV181" s="6"/>
      <c r="AHW181" s="6"/>
      <c r="AHX181" s="6"/>
      <c r="AHY181" s="6"/>
      <c r="AHZ181" s="6"/>
      <c r="AIA181" s="6"/>
      <c r="AIB181" s="6"/>
      <c r="AIC181" s="6"/>
      <c r="AID181" s="6"/>
      <c r="AIE181" s="6"/>
      <c r="AIF181" s="6"/>
      <c r="AIG181" s="6"/>
      <c r="AIH181" s="6"/>
      <c r="AII181" s="6"/>
      <c r="AIJ181" s="6"/>
      <c r="AIK181" s="6"/>
      <c r="AIL181" s="6"/>
      <c r="AIM181" s="6"/>
      <c r="AIN181" s="6"/>
      <c r="AIO181" s="6"/>
      <c r="AIP181" s="6"/>
      <c r="AIQ181" s="6"/>
      <c r="AIR181" s="6"/>
      <c r="AIS181" s="6"/>
      <c r="AIT181" s="6"/>
      <c r="AIU181" s="6"/>
      <c r="AIV181" s="6"/>
      <c r="AIW181" s="6"/>
      <c r="AIX181" s="6"/>
      <c r="AIY181" s="6"/>
      <c r="AIZ181" s="6"/>
      <c r="AJA181" s="6"/>
      <c r="AJB181" s="6"/>
      <c r="AJC181" s="6"/>
      <c r="AJD181" s="6"/>
      <c r="AJE181" s="6"/>
      <c r="AJF181" s="6"/>
      <c r="AJG181" s="6"/>
      <c r="AJH181" s="6"/>
      <c r="AJI181" s="6"/>
      <c r="AJJ181" s="6"/>
      <c r="AJK181" s="6"/>
      <c r="AJL181" s="6"/>
      <c r="AJM181" s="6"/>
      <c r="AJN181" s="6"/>
      <c r="AJO181" s="6"/>
      <c r="AJP181" s="6"/>
      <c r="AJQ181" s="6"/>
      <c r="AJR181" s="6"/>
      <c r="AJS181" s="6"/>
      <c r="AJT181" s="6"/>
      <c r="AJU181" s="6"/>
      <c r="AJV181" s="6"/>
      <c r="AJW181" s="6"/>
      <c r="AJX181" s="6"/>
      <c r="AJY181" s="6"/>
      <c r="AJZ181" s="6"/>
      <c r="AKA181" s="6"/>
      <c r="AKB181" s="6"/>
      <c r="AKC181" s="6"/>
      <c r="AKD181" s="6"/>
      <c r="AKE181" s="6"/>
      <c r="AKF181" s="6"/>
      <c r="AKG181" s="6"/>
      <c r="AKH181" s="6"/>
      <c r="AKI181" s="6"/>
      <c r="AKJ181" s="6"/>
      <c r="AKK181" s="6"/>
      <c r="AKL181" s="6"/>
      <c r="AKM181" s="6"/>
      <c r="AKN181" s="6"/>
      <c r="AKO181" s="6"/>
      <c r="AKP181" s="6"/>
      <c r="AKQ181" s="6"/>
      <c r="AKR181" s="6"/>
      <c r="AKS181" s="6"/>
      <c r="AKT181" s="6"/>
      <c r="AKU181" s="6"/>
      <c r="AKV181" s="6"/>
      <c r="AKW181" s="6"/>
      <c r="AKX181" s="6"/>
      <c r="AKY181" s="6"/>
      <c r="AKZ181" s="6"/>
      <c r="ALA181" s="6"/>
      <c r="ALB181" s="6"/>
      <c r="ALC181" s="6"/>
      <c r="ALD181" s="6"/>
      <c r="ALE181" s="6"/>
      <c r="ALF181" s="6"/>
      <c r="ALG181" s="6"/>
      <c r="ALH181" s="6"/>
      <c r="ALI181" s="6"/>
      <c r="ALJ181" s="6"/>
      <c r="ALK181" s="6"/>
      <c r="ALL181" s="6"/>
      <c r="ALM181" s="6"/>
      <c r="ALN181" s="6"/>
      <c r="ALO181" s="6"/>
      <c r="ALP181" s="6"/>
      <c r="ALQ181" s="6"/>
      <c r="ALR181" s="6"/>
      <c r="ALS181" s="6"/>
      <c r="ALT181" s="6"/>
      <c r="ALU181" s="6"/>
      <c r="ALV181" s="6"/>
      <c r="ALW181" s="6"/>
      <c r="ALX181" s="6"/>
      <c r="ALY181" s="6"/>
      <c r="ALZ181" s="6"/>
      <c r="AMA181" s="6"/>
      <c r="AMB181" s="6"/>
      <c r="AMC181" s="6"/>
      <c r="AMD181" s="6"/>
      <c r="AME181" s="6"/>
      <c r="AMF181" s="6"/>
      <c r="AMG181" s="6"/>
      <c r="AMH181" s="6"/>
      <c r="AMI181" s="6"/>
      <c r="AMJ181" s="6"/>
      <c r="AMK181" s="6"/>
      <c r="AML181" s="6"/>
      <c r="AMM181" s="6"/>
      <c r="AMN181" s="6"/>
      <c r="AMO181" s="6"/>
      <c r="AMP181" s="6"/>
    </row>
    <row r="182" spans="1:1030" x14ac:dyDescent="0.2">
      <c r="A182" s="3" t="str">
        <f t="shared" ref="A182" si="1512">CONCATENATE(B182,"_",C182)</f>
        <v>ccr2_human_6GPS</v>
      </c>
      <c r="B182" s="3" t="s">
        <v>170</v>
      </c>
      <c r="C182" s="3" t="s">
        <v>1542</v>
      </c>
      <c r="D182" s="3" t="str">
        <f>IFERROR(MID(VLOOKUP($B182,Seqs!$A:$B,2,0),E182,1),"")</f>
        <v>V</v>
      </c>
      <c r="E182" s="3">
        <v>37</v>
      </c>
      <c r="F182" s="3" t="str">
        <f>IFERROR(MID(VLOOKUP($B182,Seqs!$A:$B,2,0),G182,1),"")</f>
        <v>K</v>
      </c>
      <c r="G182" s="3">
        <v>71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L</v>
      </c>
      <c r="M182" s="3">
        <v>76</v>
      </c>
      <c r="N182" s="3" t="str">
        <f>IFERROR(MID(VLOOKUP($B182,Seqs!$A:$B,2,0),O182,1),"")</f>
        <v>A</v>
      </c>
      <c r="O182" s="3">
        <v>102</v>
      </c>
      <c r="P182" s="3" t="str">
        <f>IFERROR(MID(VLOOKUP($B182,Seqs!$A:$B,2,0),Q182,1),"")</f>
        <v>E</v>
      </c>
      <c r="Q182" s="3">
        <v>105</v>
      </c>
      <c r="R182" s="3" t="str">
        <f>IFERROR(MID(VLOOKUP($B182,Seqs!$A:$B,2,0),S182,1),"")</f>
        <v>F</v>
      </c>
      <c r="S182" s="3">
        <v>108</v>
      </c>
      <c r="T182" s="3" t="str">
        <f>IFERROR(MID(VLOOKUP($B182,Seqs!$A:$B,2,0),U182,1),"")</f>
        <v>G</v>
      </c>
      <c r="U182" s="3">
        <v>109</v>
      </c>
      <c r="V182" s="3" t="str">
        <f>IFERROR(MID(VLOOKUP($B182,Seqs!$A:$B,2,0),W182,1),"")</f>
        <v>H</v>
      </c>
      <c r="W182" s="3">
        <v>144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R</v>
      </c>
      <c r="AC182" s="3">
        <v>152</v>
      </c>
      <c r="AD182" s="3" t="str">
        <f>IFERROR(MID(VLOOKUP($B182,Seqs!$A:$B,2,0),AE182,1),"")</f>
        <v>T</v>
      </c>
      <c r="AE182" s="3">
        <v>179</v>
      </c>
      <c r="AF182" s="3" t="str">
        <f>IFERROR(MID(VLOOKUP($B182,Seqs!$A:$B,2,0),AG182,1),"")</f>
        <v>C</v>
      </c>
      <c r="AG182" s="3">
        <v>190</v>
      </c>
      <c r="AH182" s="3" t="str">
        <f>IFERROR(MID(VLOOKUP($B182,Seqs!$A:$B,2,0),AI182,1),"")</f>
        <v>P</v>
      </c>
      <c r="AI182" s="3">
        <v>192</v>
      </c>
      <c r="AJ182" s="3" t="str">
        <f>IFERROR(MID(VLOOKUP($B182,Seqs!$A:$B,2,0),AK182,1),"")</f>
        <v>P</v>
      </c>
      <c r="AK182" s="3">
        <v>195</v>
      </c>
      <c r="AL182" s="3" t="str">
        <f>IFERROR(MID(VLOOKUP($B182,Seqs!$A:$B,2,0),AM182,1),"")</f>
        <v>R</v>
      </c>
      <c r="AM182" s="3">
        <v>231</v>
      </c>
      <c r="AN182" s="3" t="str">
        <f>IFERROR(MID(VLOOKUP($B182,Seqs!$A:$B,2,0),AO182,1),"")</f>
        <v>A</v>
      </c>
      <c r="AO182" s="3">
        <v>241</v>
      </c>
      <c r="AP182" s="3" t="str">
        <f>IFERROR(MID(VLOOKUP($B182,Seqs!$A:$B,2,0),AQ182,1),"")</f>
        <v>F</v>
      </c>
      <c r="AQ182" s="3">
        <v>268</v>
      </c>
      <c r="AR182" s="3" t="str">
        <f>IFERROR(MID(VLOOKUP($B182,Seqs!$A:$B,2,0),AS182,1),"")</f>
        <v>S</v>
      </c>
      <c r="AS182" s="3">
        <v>279</v>
      </c>
      <c r="AT182" s="3" t="str">
        <f>IFERROR(MID(VLOOKUP($B182,Seqs!$A:$B,2,0),AU182,1),"")</f>
        <v>G</v>
      </c>
      <c r="AU182" s="3">
        <v>309</v>
      </c>
      <c r="AV182" s="3" t="str">
        <f>IFERROR(MID(VLOOKUP($B182,Seqs!$A:$B,2,0),AW182,1),"")</f>
        <v>E</v>
      </c>
      <c r="AW182" s="3">
        <v>310</v>
      </c>
      <c r="AX182" s="3" t="str">
        <f>IFERROR(MID(VLOOKUP($B182,Seqs!$A:$B,2,0),AY182,1),"")</f>
        <v>G</v>
      </c>
      <c r="AY182" s="3">
        <v>321</v>
      </c>
      <c r="AZ182" s="77" t="str">
        <f>VLOOKUP(B182,Classification!A:D,2,0)</f>
        <v>A</v>
      </c>
      <c r="BA182" s="94" t="str">
        <f>VLOOKUP(B182,Classification!A:D,4,0)</f>
        <v>Chemokine</v>
      </c>
      <c r="BB182" s="27" t="b">
        <f t="shared" ref="BB182" si="1513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 t="shared" ref="BC182" si="1514">_xlfn.AGGREGATE(9,6,CH182:CS182)-_xlfn.AGGREGATE(9,6,BV182:CG182)+12</f>
        <v>243</v>
      </c>
      <c r="BD182" s="16" t="s">
        <v>23</v>
      </c>
      <c r="BE182" s="3" t="s">
        <v>1370</v>
      </c>
      <c r="BF182" s="118">
        <v>3.3</v>
      </c>
      <c r="BG182" s="49" t="s">
        <v>1</v>
      </c>
      <c r="BH182" s="49" t="s">
        <v>1</v>
      </c>
      <c r="BI182" s="1"/>
      <c r="BJ182" s="70" t="s">
        <v>1283</v>
      </c>
      <c r="BK182" s="57" t="s">
        <v>1283</v>
      </c>
      <c r="BL182" s="57" t="s">
        <v>1283</v>
      </c>
      <c r="BM182" s="57" t="s">
        <v>1283</v>
      </c>
      <c r="BN182" s="57" t="s">
        <v>1283</v>
      </c>
      <c r="BO182" s="57" t="s">
        <v>1283</v>
      </c>
      <c r="BP182" s="57" t="s">
        <v>1283</v>
      </c>
      <c r="BQ182" s="57" t="s">
        <v>1283</v>
      </c>
      <c r="BR182" s="57" t="s">
        <v>1283</v>
      </c>
      <c r="BS182" s="57" t="s">
        <v>1283</v>
      </c>
      <c r="BT182" s="57" t="s">
        <v>1283</v>
      </c>
      <c r="BU182" s="57" t="s">
        <v>1283</v>
      </c>
      <c r="BV182" s="70">
        <f t="shared" ref="BV182" si="1515">E182</f>
        <v>37</v>
      </c>
      <c r="BW182" s="71" t="str">
        <f t="shared" ref="BW182" si="1516">I182</f>
        <v>-</v>
      </c>
      <c r="BX182" s="72">
        <f t="shared" ref="BX182" si="1517">M182</f>
        <v>76</v>
      </c>
      <c r="BY182" s="71">
        <f t="shared" ref="BY182" si="1518">Q182</f>
        <v>105</v>
      </c>
      <c r="BZ182" s="72">
        <f t="shared" ref="BZ182" si="1519">U182</f>
        <v>109</v>
      </c>
      <c r="CA182" s="71" t="str">
        <f t="shared" ref="CA182" si="1520">Y182</f>
        <v>-</v>
      </c>
      <c r="CB182" s="72">
        <f t="shared" ref="CB182" si="1521">AC182</f>
        <v>152</v>
      </c>
      <c r="CC182" s="71">
        <f t="shared" ref="CC182" si="1522">AG182</f>
        <v>190</v>
      </c>
      <c r="CD182" s="72">
        <f t="shared" ref="CD182" si="1523">AK182</f>
        <v>195</v>
      </c>
      <c r="CE182" s="71">
        <f t="shared" ref="CE182" si="1524">AO182</f>
        <v>241</v>
      </c>
      <c r="CF182" s="72">
        <f t="shared" ref="CF182" si="1525">AS182</f>
        <v>279</v>
      </c>
      <c r="CG182" s="71">
        <f t="shared" ref="CG182" si="1526">AW182</f>
        <v>310</v>
      </c>
      <c r="CH182" s="70">
        <f t="shared" ref="CH182" si="1527">G182</f>
        <v>71</v>
      </c>
      <c r="CI182" s="71" t="str">
        <f t="shared" ref="CI182" si="1528">K182</f>
        <v>-</v>
      </c>
      <c r="CJ182" s="72">
        <f t="shared" ref="CJ182" si="1529">O182</f>
        <v>102</v>
      </c>
      <c r="CK182" s="72">
        <f t="shared" ref="CK182" si="1530">S182</f>
        <v>108</v>
      </c>
      <c r="CL182" s="72">
        <f t="shared" ref="CL182" si="1531">W182</f>
        <v>144</v>
      </c>
      <c r="CM182" s="72" t="str">
        <f t="shared" ref="CM182" si="1532">AA182</f>
        <v>-</v>
      </c>
      <c r="CN182" s="72">
        <f t="shared" ref="CN182" si="1533">AE182</f>
        <v>179</v>
      </c>
      <c r="CO182" s="72">
        <f t="shared" ref="CO182" si="1534">AI182</f>
        <v>192</v>
      </c>
      <c r="CP182" s="72">
        <f t="shared" ref="CP182" si="1535">AM182</f>
        <v>231</v>
      </c>
      <c r="CQ182" s="72">
        <f t="shared" ref="CQ182" si="1536">AQ182</f>
        <v>268</v>
      </c>
      <c r="CR182" s="72">
        <f t="shared" ref="CR182" si="1537">AU182</f>
        <v>309</v>
      </c>
      <c r="CS182" s="72">
        <f t="shared" ref="CS182" si="1538">AY182</f>
        <v>321</v>
      </c>
      <c r="CT182" s="23" t="e">
        <f t="shared" ref="CT182" si="1539">M182-K182</f>
        <v>#VALUE!</v>
      </c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  <c r="SG182" s="6"/>
      <c r="SH182" s="6"/>
      <c r="SI182" s="6"/>
      <c r="SJ182" s="6"/>
      <c r="SK182" s="6"/>
      <c r="SL182" s="6"/>
      <c r="SM182" s="6"/>
      <c r="SN182" s="6"/>
      <c r="SO182" s="6"/>
      <c r="SP182" s="6"/>
      <c r="SQ182" s="6"/>
      <c r="SR182" s="6"/>
      <c r="SS182" s="6"/>
      <c r="ST182" s="6"/>
      <c r="SU182" s="6"/>
      <c r="SV182" s="6"/>
      <c r="SW182" s="6"/>
      <c r="SX182" s="6"/>
      <c r="SY182" s="6"/>
      <c r="SZ182" s="6"/>
      <c r="TA182" s="6"/>
      <c r="TB182" s="6"/>
      <c r="TC182" s="6"/>
      <c r="TD182" s="6"/>
      <c r="TE182" s="6"/>
      <c r="TF182" s="6"/>
      <c r="TG182" s="6"/>
      <c r="TH182" s="6"/>
      <c r="TI182" s="6"/>
      <c r="TJ182" s="6"/>
      <c r="TK182" s="6"/>
      <c r="TL182" s="6"/>
      <c r="TM182" s="6"/>
      <c r="TN182" s="6"/>
      <c r="TO182" s="6"/>
      <c r="TP182" s="6"/>
      <c r="TQ182" s="6"/>
      <c r="TR182" s="6"/>
      <c r="TS182" s="6"/>
      <c r="TT182" s="6"/>
      <c r="TU182" s="6"/>
      <c r="TV182" s="6"/>
      <c r="TW182" s="6"/>
      <c r="TX182" s="6"/>
      <c r="TY182" s="6"/>
      <c r="TZ182" s="6"/>
      <c r="UA182" s="6"/>
      <c r="UB182" s="6"/>
      <c r="UC182" s="6"/>
      <c r="UD182" s="6"/>
      <c r="UE182" s="6"/>
      <c r="UF182" s="6"/>
      <c r="UG182" s="6"/>
      <c r="UH182" s="6"/>
      <c r="UI182" s="6"/>
      <c r="UJ182" s="6"/>
      <c r="UK182" s="6"/>
      <c r="UL182" s="6"/>
      <c r="UM182" s="6"/>
      <c r="UN182" s="6"/>
      <c r="UO182" s="6"/>
      <c r="UP182" s="6"/>
      <c r="UQ182" s="6"/>
      <c r="UR182" s="6"/>
      <c r="US182" s="6"/>
      <c r="UT182" s="6"/>
      <c r="UU182" s="6"/>
      <c r="UV182" s="6"/>
      <c r="UW182" s="6"/>
      <c r="UX182" s="6"/>
      <c r="UY182" s="6"/>
      <c r="UZ182" s="6"/>
      <c r="VA182" s="6"/>
      <c r="VB182" s="6"/>
      <c r="VC182" s="6"/>
      <c r="VD182" s="6"/>
      <c r="VE182" s="6"/>
      <c r="VF182" s="6"/>
      <c r="VG182" s="6"/>
      <c r="VH182" s="6"/>
      <c r="VI182" s="6"/>
      <c r="VJ182" s="6"/>
      <c r="VK182" s="6"/>
      <c r="VL182" s="6"/>
      <c r="VM182" s="6"/>
      <c r="VN182" s="6"/>
      <c r="VO182" s="6"/>
      <c r="VP182" s="6"/>
      <c r="VQ182" s="6"/>
      <c r="VR182" s="6"/>
      <c r="VS182" s="6"/>
      <c r="VT182" s="6"/>
      <c r="VU182" s="6"/>
      <c r="VV182" s="6"/>
      <c r="VW182" s="6"/>
      <c r="VX182" s="6"/>
      <c r="VY182" s="6"/>
      <c r="VZ182" s="6"/>
      <c r="WA182" s="6"/>
      <c r="WB182" s="6"/>
      <c r="WC182" s="6"/>
      <c r="WD182" s="6"/>
      <c r="WE182" s="6"/>
      <c r="WF182" s="6"/>
      <c r="WG182" s="6"/>
      <c r="WH182" s="6"/>
      <c r="WI182" s="6"/>
      <c r="WJ182" s="6"/>
      <c r="WK182" s="6"/>
      <c r="WL182" s="6"/>
      <c r="WM182" s="6"/>
      <c r="WN182" s="6"/>
      <c r="WO182" s="6"/>
      <c r="WP182" s="6"/>
      <c r="WQ182" s="6"/>
      <c r="WR182" s="6"/>
      <c r="WS182" s="6"/>
      <c r="WT182" s="6"/>
      <c r="WU182" s="6"/>
      <c r="WV182" s="6"/>
      <c r="WW182" s="6"/>
      <c r="WX182" s="6"/>
      <c r="WY182" s="6"/>
      <c r="WZ182" s="6"/>
      <c r="XA182" s="6"/>
      <c r="XB182" s="6"/>
      <c r="XC182" s="6"/>
      <c r="XD182" s="6"/>
      <c r="XE182" s="6"/>
      <c r="XF182" s="6"/>
      <c r="XG182" s="6"/>
      <c r="XH182" s="6"/>
      <c r="XI182" s="6"/>
      <c r="XJ182" s="6"/>
      <c r="XK182" s="6"/>
      <c r="XL182" s="6"/>
      <c r="XM182" s="6"/>
      <c r="XN182" s="6"/>
      <c r="XO182" s="6"/>
      <c r="XP182" s="6"/>
      <c r="XQ182" s="6"/>
      <c r="XR182" s="6"/>
      <c r="XS182" s="6"/>
      <c r="XT182" s="6"/>
      <c r="XU182" s="6"/>
      <c r="XV182" s="6"/>
      <c r="XW182" s="6"/>
      <c r="XX182" s="6"/>
      <c r="XY182" s="6"/>
      <c r="XZ182" s="6"/>
      <c r="YA182" s="6"/>
      <c r="YB182" s="6"/>
      <c r="YC182" s="6"/>
      <c r="YD182" s="6"/>
      <c r="YE182" s="6"/>
      <c r="YF182" s="6"/>
      <c r="YG182" s="6"/>
      <c r="YH182" s="6"/>
      <c r="YI182" s="6"/>
      <c r="YJ182" s="6"/>
      <c r="YK182" s="6"/>
      <c r="YL182" s="6"/>
      <c r="YM182" s="6"/>
      <c r="YN182" s="6"/>
      <c r="YO182" s="6"/>
      <c r="YP182" s="6"/>
      <c r="YQ182" s="6"/>
      <c r="YR182" s="6"/>
      <c r="YS182" s="6"/>
      <c r="YT182" s="6"/>
      <c r="YU182" s="6"/>
      <c r="YV182" s="6"/>
      <c r="YW182" s="6"/>
      <c r="YX182" s="6"/>
      <c r="YY182" s="6"/>
      <c r="YZ182" s="6"/>
      <c r="ZA182" s="6"/>
      <c r="ZB182" s="6"/>
      <c r="ZC182" s="6"/>
      <c r="ZD182" s="6"/>
      <c r="ZE182" s="6"/>
      <c r="ZF182" s="6"/>
      <c r="ZG182" s="6"/>
      <c r="ZH182" s="6"/>
      <c r="ZI182" s="6"/>
      <c r="ZJ182" s="6"/>
      <c r="ZK182" s="6"/>
      <c r="ZL182" s="6"/>
      <c r="ZM182" s="6"/>
      <c r="ZN182" s="6"/>
      <c r="ZO182" s="6"/>
      <c r="ZP182" s="6"/>
      <c r="ZQ182" s="6"/>
      <c r="ZR182" s="6"/>
      <c r="ZS182" s="6"/>
      <c r="ZT182" s="6"/>
      <c r="ZU182" s="6"/>
      <c r="ZV182" s="6"/>
      <c r="ZW182" s="6"/>
      <c r="ZX182" s="6"/>
      <c r="ZY182" s="6"/>
      <c r="ZZ182" s="6"/>
      <c r="AAA182" s="6"/>
      <c r="AAB182" s="6"/>
      <c r="AAC182" s="6"/>
      <c r="AAD182" s="6"/>
      <c r="AAE182" s="6"/>
      <c r="AAF182" s="6"/>
      <c r="AAG182" s="6"/>
      <c r="AAH182" s="6"/>
      <c r="AAI182" s="6"/>
      <c r="AAJ182" s="6"/>
      <c r="AAK182" s="6"/>
      <c r="AAL182" s="6"/>
      <c r="AAM182" s="6"/>
      <c r="AAN182" s="6"/>
      <c r="AAO182" s="6"/>
      <c r="AAP182" s="6"/>
      <c r="AAQ182" s="6"/>
      <c r="AAR182" s="6"/>
      <c r="AAS182" s="6"/>
      <c r="AAT182" s="6"/>
      <c r="AAU182" s="6"/>
      <c r="AAV182" s="6"/>
      <c r="AAW182" s="6"/>
      <c r="AAX182" s="6"/>
      <c r="AAY182" s="6"/>
      <c r="AAZ182" s="6"/>
      <c r="ABA182" s="6"/>
      <c r="ABB182" s="6"/>
      <c r="ABC182" s="6"/>
      <c r="ABD182" s="6"/>
      <c r="ABE182" s="6"/>
      <c r="ABF182" s="6"/>
      <c r="ABG182" s="6"/>
      <c r="ABH182" s="6"/>
      <c r="ABI182" s="6"/>
      <c r="ABJ182" s="6"/>
      <c r="ABK182" s="6"/>
      <c r="ABL182" s="6"/>
      <c r="ABM182" s="6"/>
      <c r="ABN182" s="6"/>
      <c r="ABO182" s="6"/>
      <c r="ABP182" s="6"/>
      <c r="ABQ182" s="6"/>
      <c r="ABR182" s="6"/>
      <c r="ABS182" s="6"/>
      <c r="ABT182" s="6"/>
      <c r="ABU182" s="6"/>
      <c r="ABV182" s="6"/>
      <c r="ABW182" s="6"/>
      <c r="ABX182" s="6"/>
      <c r="ABY182" s="6"/>
      <c r="ABZ182" s="6"/>
      <c r="ACA182" s="6"/>
      <c r="ACB182" s="6"/>
      <c r="ACC182" s="6"/>
      <c r="ACD182" s="6"/>
      <c r="ACE182" s="6"/>
      <c r="ACF182" s="6"/>
      <c r="ACG182" s="6"/>
      <c r="ACH182" s="6"/>
      <c r="ACI182" s="6"/>
      <c r="ACJ182" s="6"/>
      <c r="ACK182" s="6"/>
      <c r="ACL182" s="6"/>
      <c r="ACM182" s="6"/>
      <c r="ACN182" s="6"/>
      <c r="ACO182" s="6"/>
      <c r="ACP182" s="6"/>
      <c r="ACQ182" s="6"/>
      <c r="ACR182" s="6"/>
      <c r="ACS182" s="6"/>
      <c r="ACT182" s="6"/>
      <c r="ACU182" s="6"/>
      <c r="ACV182" s="6"/>
      <c r="ACW182" s="6"/>
      <c r="ACX182" s="6"/>
      <c r="ACY182" s="6"/>
      <c r="ACZ182" s="6"/>
      <c r="ADA182" s="6"/>
      <c r="ADB182" s="6"/>
      <c r="ADC182" s="6"/>
      <c r="ADD182" s="6"/>
      <c r="ADE182" s="6"/>
      <c r="ADF182" s="6"/>
      <c r="ADG182" s="6"/>
      <c r="ADH182" s="6"/>
      <c r="ADI182" s="6"/>
      <c r="ADJ182" s="6"/>
      <c r="ADK182" s="6"/>
      <c r="ADL182" s="6"/>
      <c r="ADM182" s="6"/>
      <c r="ADN182" s="6"/>
      <c r="ADO182" s="6"/>
      <c r="ADP182" s="6"/>
      <c r="ADQ182" s="6"/>
      <c r="ADR182" s="6"/>
      <c r="ADS182" s="6"/>
      <c r="ADT182" s="6"/>
      <c r="ADU182" s="6"/>
      <c r="ADV182" s="6"/>
      <c r="ADW182" s="6"/>
      <c r="ADX182" s="6"/>
      <c r="ADY182" s="6"/>
      <c r="ADZ182" s="6"/>
      <c r="AEA182" s="6"/>
      <c r="AEB182" s="6"/>
      <c r="AEC182" s="6"/>
      <c r="AED182" s="6"/>
      <c r="AEE182" s="6"/>
      <c r="AEF182" s="6"/>
      <c r="AEG182" s="6"/>
      <c r="AEH182" s="6"/>
      <c r="AEI182" s="6"/>
      <c r="AEJ182" s="6"/>
      <c r="AEK182" s="6"/>
      <c r="AEL182" s="6"/>
      <c r="AEM182" s="6"/>
      <c r="AEN182" s="6"/>
      <c r="AEO182" s="6"/>
      <c r="AEP182" s="6"/>
      <c r="AEQ182" s="6"/>
      <c r="AER182" s="6"/>
      <c r="AES182" s="6"/>
      <c r="AET182" s="6"/>
      <c r="AEU182" s="6"/>
      <c r="AEV182" s="6"/>
      <c r="AEW182" s="6"/>
      <c r="AEX182" s="6"/>
      <c r="AEY182" s="6"/>
      <c r="AEZ182" s="6"/>
      <c r="AFA182" s="6"/>
      <c r="AFB182" s="6"/>
      <c r="AFC182" s="6"/>
      <c r="AFD182" s="6"/>
      <c r="AFE182" s="6"/>
      <c r="AFF182" s="6"/>
      <c r="AFG182" s="6"/>
      <c r="AFH182" s="6"/>
      <c r="AFI182" s="6"/>
      <c r="AFJ182" s="6"/>
      <c r="AFK182" s="6"/>
      <c r="AFL182" s="6"/>
      <c r="AFM182" s="6"/>
      <c r="AFN182" s="6"/>
      <c r="AFO182" s="6"/>
      <c r="AFP182" s="6"/>
      <c r="AFQ182" s="6"/>
      <c r="AFR182" s="6"/>
      <c r="AFS182" s="6"/>
      <c r="AFT182" s="6"/>
      <c r="AFU182" s="6"/>
      <c r="AFV182" s="6"/>
      <c r="AFW182" s="6"/>
      <c r="AFX182" s="6"/>
      <c r="AFY182" s="6"/>
      <c r="AFZ182" s="6"/>
      <c r="AGA182" s="6"/>
      <c r="AGB182" s="6"/>
      <c r="AGC182" s="6"/>
      <c r="AGD182" s="6"/>
      <c r="AGE182" s="6"/>
      <c r="AGF182" s="6"/>
      <c r="AGG182" s="6"/>
      <c r="AGH182" s="6"/>
      <c r="AGI182" s="6"/>
      <c r="AGJ182" s="6"/>
      <c r="AGK182" s="6"/>
      <c r="AGL182" s="6"/>
      <c r="AGM182" s="6"/>
      <c r="AGN182" s="6"/>
      <c r="AGO182" s="6"/>
      <c r="AGP182" s="6"/>
      <c r="AGQ182" s="6"/>
      <c r="AGR182" s="6"/>
      <c r="AGS182" s="6"/>
      <c r="AGT182" s="6"/>
      <c r="AGU182" s="6"/>
      <c r="AGV182" s="6"/>
      <c r="AGW182" s="6"/>
      <c r="AGX182" s="6"/>
      <c r="AGY182" s="6"/>
      <c r="AGZ182" s="6"/>
      <c r="AHA182" s="6"/>
      <c r="AHB182" s="6"/>
      <c r="AHC182" s="6"/>
      <c r="AHD182" s="6"/>
      <c r="AHE182" s="6"/>
      <c r="AHF182" s="6"/>
      <c r="AHG182" s="6"/>
      <c r="AHH182" s="6"/>
      <c r="AHI182" s="6"/>
      <c r="AHJ182" s="6"/>
      <c r="AHK182" s="6"/>
      <c r="AHL182" s="6"/>
      <c r="AHM182" s="6"/>
      <c r="AHN182" s="6"/>
      <c r="AHO182" s="6"/>
      <c r="AHP182" s="6"/>
      <c r="AHQ182" s="6"/>
      <c r="AHR182" s="6"/>
      <c r="AHS182" s="6"/>
      <c r="AHT182" s="6"/>
      <c r="AHU182" s="6"/>
      <c r="AHV182" s="6"/>
      <c r="AHW182" s="6"/>
      <c r="AHX182" s="6"/>
      <c r="AHY182" s="6"/>
      <c r="AHZ182" s="6"/>
      <c r="AIA182" s="6"/>
      <c r="AIB182" s="6"/>
      <c r="AIC182" s="6"/>
      <c r="AID182" s="6"/>
      <c r="AIE182" s="6"/>
      <c r="AIF182" s="6"/>
      <c r="AIG182" s="6"/>
      <c r="AIH182" s="6"/>
      <c r="AII182" s="6"/>
      <c r="AIJ182" s="6"/>
      <c r="AIK182" s="6"/>
      <c r="AIL182" s="6"/>
      <c r="AIM182" s="6"/>
      <c r="AIN182" s="6"/>
      <c r="AIO182" s="6"/>
      <c r="AIP182" s="6"/>
      <c r="AIQ182" s="6"/>
      <c r="AIR182" s="6"/>
      <c r="AIS182" s="6"/>
      <c r="AIT182" s="6"/>
      <c r="AIU182" s="6"/>
      <c r="AIV182" s="6"/>
      <c r="AIW182" s="6"/>
      <c r="AIX182" s="6"/>
      <c r="AIY182" s="6"/>
      <c r="AIZ182" s="6"/>
      <c r="AJA182" s="6"/>
      <c r="AJB182" s="6"/>
      <c r="AJC182" s="6"/>
      <c r="AJD182" s="6"/>
      <c r="AJE182" s="6"/>
      <c r="AJF182" s="6"/>
      <c r="AJG182" s="6"/>
      <c r="AJH182" s="6"/>
      <c r="AJI182" s="6"/>
      <c r="AJJ182" s="6"/>
      <c r="AJK182" s="6"/>
      <c r="AJL182" s="6"/>
      <c r="AJM182" s="6"/>
      <c r="AJN182" s="6"/>
      <c r="AJO182" s="6"/>
      <c r="AJP182" s="6"/>
      <c r="AJQ182" s="6"/>
      <c r="AJR182" s="6"/>
      <c r="AJS182" s="6"/>
      <c r="AJT182" s="6"/>
      <c r="AJU182" s="6"/>
      <c r="AJV182" s="6"/>
      <c r="AJW182" s="6"/>
      <c r="AJX182" s="6"/>
      <c r="AJY182" s="6"/>
      <c r="AJZ182" s="6"/>
      <c r="AKA182" s="6"/>
      <c r="AKB182" s="6"/>
      <c r="AKC182" s="6"/>
      <c r="AKD182" s="6"/>
      <c r="AKE182" s="6"/>
      <c r="AKF182" s="6"/>
      <c r="AKG182" s="6"/>
      <c r="AKH182" s="6"/>
      <c r="AKI182" s="6"/>
      <c r="AKJ182" s="6"/>
      <c r="AKK182" s="6"/>
      <c r="AKL182" s="6"/>
      <c r="AKM182" s="6"/>
      <c r="AKN182" s="6"/>
      <c r="AKO182" s="6"/>
      <c r="AKP182" s="6"/>
      <c r="AKQ182" s="6"/>
      <c r="AKR182" s="6"/>
      <c r="AKS182" s="6"/>
      <c r="AKT182" s="6"/>
      <c r="AKU182" s="6"/>
      <c r="AKV182" s="6"/>
      <c r="AKW182" s="6"/>
      <c r="AKX182" s="6"/>
      <c r="AKY182" s="6"/>
      <c r="AKZ182" s="6"/>
      <c r="ALA182" s="6"/>
      <c r="ALB182" s="6"/>
      <c r="ALC182" s="6"/>
      <c r="ALD182" s="6"/>
      <c r="ALE182" s="6"/>
      <c r="ALF182" s="6"/>
      <c r="ALG182" s="6"/>
      <c r="ALH182" s="6"/>
      <c r="ALI182" s="6"/>
      <c r="ALJ182" s="6"/>
      <c r="ALK182" s="6"/>
      <c r="ALL182" s="6"/>
      <c r="ALM182" s="6"/>
      <c r="ALN182" s="6"/>
      <c r="ALO182" s="6"/>
      <c r="ALP182" s="6"/>
      <c r="ALQ182" s="6"/>
      <c r="ALR182" s="6"/>
      <c r="ALS182" s="6"/>
      <c r="ALT182" s="6"/>
      <c r="ALU182" s="6"/>
      <c r="ALV182" s="6"/>
      <c r="ALW182" s="6"/>
      <c r="ALX182" s="6"/>
      <c r="ALY182" s="6"/>
      <c r="ALZ182" s="6"/>
      <c r="AMA182" s="6"/>
      <c r="AMB182" s="6"/>
      <c r="AMC182" s="6"/>
      <c r="AMD182" s="6"/>
      <c r="AME182" s="6"/>
      <c r="AMF182" s="6"/>
      <c r="AMG182" s="6"/>
      <c r="AMH182" s="6"/>
      <c r="AMI182" s="6"/>
      <c r="AMJ182" s="6"/>
      <c r="AMK182" s="6"/>
      <c r="AML182" s="6"/>
      <c r="AMM182" s="6"/>
      <c r="AMN182" s="6"/>
      <c r="AMO182" s="6"/>
      <c r="AMP182" s="6"/>
    </row>
    <row r="183" spans="1:1030" x14ac:dyDescent="0.2">
      <c r="A183" s="3" t="str">
        <f t="shared" ref="A183" si="1540">CONCATENATE(B183,"_",C183)</f>
        <v>ccr2_human_6GPX</v>
      </c>
      <c r="B183" s="3" t="s">
        <v>170</v>
      </c>
      <c r="C183" s="3" t="s">
        <v>1543</v>
      </c>
      <c r="D183" s="3" t="str">
        <f>IFERROR(MID(VLOOKUP($B183,Seqs!$A:$B,2,0),E183,1),"")</f>
        <v>F</v>
      </c>
      <c r="E183" s="3">
        <v>35</v>
      </c>
      <c r="F183" s="3" t="str">
        <f>IFERROR(MID(VLOOKUP($B183,Seqs!$A:$B,2,0),G183,1),"")</f>
        <v>K</v>
      </c>
      <c r="G183" s="3">
        <v>71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C</v>
      </c>
      <c r="M183" s="3">
        <v>75</v>
      </c>
      <c r="N183" s="3" t="str">
        <f>IFERROR(MID(VLOOKUP($B183,Seqs!$A:$B,2,0),O183,1),"")</f>
        <v>A</v>
      </c>
      <c r="O183" s="3">
        <v>102</v>
      </c>
      <c r="P183" s="3" t="str">
        <f>IFERROR(MID(VLOOKUP($B183,Seqs!$A:$B,2,0),Q183,1),"")</f>
        <v>E</v>
      </c>
      <c r="Q183" s="3">
        <v>105</v>
      </c>
      <c r="R183" s="3" t="str">
        <f>IFERROR(MID(VLOOKUP($B183,Seqs!$A:$B,2,0),S183,1),"")</f>
        <v>F</v>
      </c>
      <c r="S183" s="3">
        <v>108</v>
      </c>
      <c r="T183" s="3" t="str">
        <f>IFERROR(MID(VLOOKUP($B183,Seqs!$A:$B,2,0),U183,1),"")</f>
        <v>G</v>
      </c>
      <c r="U183" s="3">
        <v>109</v>
      </c>
      <c r="V183" s="3" t="str">
        <f>IFERROR(MID(VLOOKUP($B183,Seqs!$A:$B,2,0),W183,1),"")</f>
        <v>H</v>
      </c>
      <c r="W183" s="3">
        <v>144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R</v>
      </c>
      <c r="AC183" s="3">
        <v>152</v>
      </c>
      <c r="AD183" s="3" t="str">
        <f>IFERROR(MID(VLOOKUP($B183,Seqs!$A:$B,2,0),AE183,1),"")</f>
        <v>T</v>
      </c>
      <c r="AE183" s="3">
        <v>179</v>
      </c>
      <c r="AF183" s="3" t="str">
        <f>IFERROR(MID(VLOOKUP($B183,Seqs!$A:$B,2,0),AG183,1),"")</f>
        <v>C</v>
      </c>
      <c r="AG183" s="3">
        <v>190</v>
      </c>
      <c r="AH183" s="3" t="str">
        <f>IFERROR(MID(VLOOKUP($B183,Seqs!$A:$B,2,0),AI183,1),"")</f>
        <v>P</v>
      </c>
      <c r="AI183" s="3">
        <v>192</v>
      </c>
      <c r="AJ183" s="3" t="str">
        <f>IFERROR(MID(VLOOKUP($B183,Seqs!$A:$B,2,0),AK183,1),"")</f>
        <v>P</v>
      </c>
      <c r="AK183" s="3">
        <v>195</v>
      </c>
      <c r="AL183" s="3" t="str">
        <f>IFERROR(MID(VLOOKUP($B183,Seqs!$A:$B,2,0),AM183,1),"")</f>
        <v>L</v>
      </c>
      <c r="AM183" s="3">
        <v>229</v>
      </c>
      <c r="AN183" s="3" t="str">
        <f>IFERROR(MID(VLOOKUP($B183,Seqs!$A:$B,2,0),AO183,1),"")</f>
        <v>A</v>
      </c>
      <c r="AO183" s="3">
        <v>241</v>
      </c>
      <c r="AP183" s="3" t="str">
        <f>IFERROR(MID(VLOOKUP($B183,Seqs!$A:$B,2,0),AQ183,1),"")</f>
        <v>F</v>
      </c>
      <c r="AQ183" s="3">
        <v>268</v>
      </c>
      <c r="AR183" s="3" t="str">
        <f>IFERROR(MID(VLOOKUP($B183,Seqs!$A:$B,2,0),AS183,1),"")</f>
        <v>N</v>
      </c>
      <c r="AS183" s="3">
        <v>276</v>
      </c>
      <c r="AT183" s="3" t="str">
        <f>IFERROR(MID(VLOOKUP($B183,Seqs!$A:$B,2,0),AU183,1),"")</f>
        <v>V</v>
      </c>
      <c r="AU183" s="3">
        <v>308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ref="BB183" si="1541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 t="shared" ref="BC183" si="1542">_xlfn.AGGREGATE(9,6,CH183:CS183)-_xlfn.AGGREGATE(9,6,BV183:CG183)+12</f>
        <v>235</v>
      </c>
      <c r="BD183" s="16" t="s">
        <v>23</v>
      </c>
      <c r="BE183" s="3" t="s">
        <v>1370</v>
      </c>
      <c r="BF183" s="118">
        <v>2.7</v>
      </c>
      <c r="BG183" s="49" t="s">
        <v>1</v>
      </c>
      <c r="BH183" s="49" t="s">
        <v>1</v>
      </c>
      <c r="BI183" s="1"/>
      <c r="BJ183" s="70" t="s">
        <v>1283</v>
      </c>
      <c r="BK183" s="57" t="s">
        <v>1283</v>
      </c>
      <c r="BL183" s="57" t="s">
        <v>1283</v>
      </c>
      <c r="BM183" s="57" t="s">
        <v>1283</v>
      </c>
      <c r="BN183" s="57" t="s">
        <v>1283</v>
      </c>
      <c r="BO183" s="57" t="s">
        <v>1283</v>
      </c>
      <c r="BP183" s="57" t="s">
        <v>1283</v>
      </c>
      <c r="BQ183" s="57" t="s">
        <v>1283</v>
      </c>
      <c r="BR183" s="57" t="s">
        <v>1283</v>
      </c>
      <c r="BS183" s="57" t="s">
        <v>1283</v>
      </c>
      <c r="BT183" s="57" t="s">
        <v>1283</v>
      </c>
      <c r="BU183" s="57" t="s">
        <v>1283</v>
      </c>
      <c r="BV183" s="70">
        <f t="shared" ref="BV183" si="1543">E183</f>
        <v>35</v>
      </c>
      <c r="BW183" s="71" t="str">
        <f t="shared" ref="BW183" si="1544">I183</f>
        <v>-</v>
      </c>
      <c r="BX183" s="72">
        <f t="shared" ref="BX183" si="1545">M183</f>
        <v>75</v>
      </c>
      <c r="BY183" s="71">
        <f t="shared" ref="BY183" si="1546">Q183</f>
        <v>105</v>
      </c>
      <c r="BZ183" s="72">
        <f t="shared" ref="BZ183" si="1547">U183</f>
        <v>109</v>
      </c>
      <c r="CA183" s="71" t="str">
        <f t="shared" ref="CA183" si="1548">Y183</f>
        <v>-</v>
      </c>
      <c r="CB183" s="72">
        <f t="shared" ref="CB183" si="1549">AC183</f>
        <v>152</v>
      </c>
      <c r="CC183" s="71">
        <f t="shared" ref="CC183" si="1550">AG183</f>
        <v>190</v>
      </c>
      <c r="CD183" s="72">
        <f t="shared" ref="CD183" si="1551">AK183</f>
        <v>195</v>
      </c>
      <c r="CE183" s="71">
        <f t="shared" ref="CE183" si="1552">AO183</f>
        <v>241</v>
      </c>
      <c r="CF183" s="72">
        <f t="shared" ref="CF183" si="1553">AS183</f>
        <v>276</v>
      </c>
      <c r="CG183" s="71" t="str">
        <f t="shared" ref="CG183" si="1554">AW183</f>
        <v>-</v>
      </c>
      <c r="CH183" s="70">
        <f t="shared" ref="CH183" si="1555">G183</f>
        <v>71</v>
      </c>
      <c r="CI183" s="71" t="str">
        <f t="shared" ref="CI183" si="1556">K183</f>
        <v>-</v>
      </c>
      <c r="CJ183" s="72">
        <f t="shared" ref="CJ183" si="1557">O183</f>
        <v>102</v>
      </c>
      <c r="CK183" s="72">
        <f t="shared" ref="CK183" si="1558">S183</f>
        <v>108</v>
      </c>
      <c r="CL183" s="72">
        <f t="shared" ref="CL183" si="1559">W183</f>
        <v>144</v>
      </c>
      <c r="CM183" s="72" t="str">
        <f t="shared" ref="CM183" si="1560">AA183</f>
        <v>-</v>
      </c>
      <c r="CN183" s="72">
        <f t="shared" ref="CN183" si="1561">AE183</f>
        <v>179</v>
      </c>
      <c r="CO183" s="72">
        <f t="shared" ref="CO183" si="1562">AI183</f>
        <v>192</v>
      </c>
      <c r="CP183" s="72">
        <f t="shared" ref="CP183" si="1563">AM183</f>
        <v>229</v>
      </c>
      <c r="CQ183" s="72">
        <f t="shared" ref="CQ183" si="1564">AQ183</f>
        <v>268</v>
      </c>
      <c r="CR183" s="72">
        <f t="shared" ref="CR183" si="1565">AU183</f>
        <v>308</v>
      </c>
      <c r="CS183" s="72" t="str">
        <f t="shared" ref="CS183" si="1566">AY183</f>
        <v>-</v>
      </c>
      <c r="CT183" s="23" t="e">
        <f t="shared" ref="CT183" si="1567">M183-K183</f>
        <v>#VALUE!</v>
      </c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6"/>
      <c r="ACQ183" s="6"/>
      <c r="ACR183" s="6"/>
      <c r="ACS183" s="6"/>
      <c r="ACT183" s="6"/>
      <c r="ACU183" s="6"/>
      <c r="ACV183" s="6"/>
      <c r="ACW183" s="6"/>
      <c r="ACX183" s="6"/>
      <c r="ACY183" s="6"/>
      <c r="ACZ183" s="6"/>
      <c r="ADA183" s="6"/>
      <c r="ADB183" s="6"/>
      <c r="ADC183" s="6"/>
      <c r="ADD183" s="6"/>
      <c r="ADE183" s="6"/>
      <c r="ADF183" s="6"/>
      <c r="ADG183" s="6"/>
      <c r="ADH183" s="6"/>
      <c r="ADI183" s="6"/>
      <c r="ADJ183" s="6"/>
      <c r="ADK183" s="6"/>
      <c r="ADL183" s="6"/>
      <c r="ADM183" s="6"/>
      <c r="ADN183" s="6"/>
      <c r="ADO183" s="6"/>
      <c r="ADP183" s="6"/>
      <c r="ADQ183" s="6"/>
      <c r="ADR183" s="6"/>
      <c r="ADS183" s="6"/>
      <c r="ADT183" s="6"/>
      <c r="ADU183" s="6"/>
      <c r="ADV183" s="6"/>
      <c r="ADW183" s="6"/>
      <c r="ADX183" s="6"/>
      <c r="ADY183" s="6"/>
      <c r="ADZ183" s="6"/>
      <c r="AEA183" s="6"/>
      <c r="AEB183" s="6"/>
      <c r="AEC183" s="6"/>
      <c r="AED183" s="6"/>
      <c r="AEE183" s="6"/>
      <c r="AEF183" s="6"/>
      <c r="AEG183" s="6"/>
      <c r="AEH183" s="6"/>
      <c r="AEI183" s="6"/>
      <c r="AEJ183" s="6"/>
      <c r="AEK183" s="6"/>
      <c r="AEL183" s="6"/>
      <c r="AEM183" s="6"/>
      <c r="AEN183" s="6"/>
      <c r="AEO183" s="6"/>
      <c r="AEP183" s="6"/>
      <c r="AEQ183" s="6"/>
      <c r="AER183" s="6"/>
      <c r="AES183" s="6"/>
      <c r="AET183" s="6"/>
      <c r="AEU183" s="6"/>
      <c r="AEV183" s="6"/>
      <c r="AEW183" s="6"/>
      <c r="AEX183" s="6"/>
      <c r="AEY183" s="6"/>
      <c r="AEZ183" s="6"/>
      <c r="AFA183" s="6"/>
      <c r="AFB183" s="6"/>
      <c r="AFC183" s="6"/>
      <c r="AFD183" s="6"/>
      <c r="AFE183" s="6"/>
      <c r="AFF183" s="6"/>
      <c r="AFG183" s="6"/>
      <c r="AFH183" s="6"/>
      <c r="AFI183" s="6"/>
      <c r="AFJ183" s="6"/>
      <c r="AFK183" s="6"/>
      <c r="AFL183" s="6"/>
      <c r="AFM183" s="6"/>
      <c r="AFN183" s="6"/>
      <c r="AFO183" s="6"/>
      <c r="AFP183" s="6"/>
      <c r="AFQ183" s="6"/>
      <c r="AFR183" s="6"/>
      <c r="AFS183" s="6"/>
      <c r="AFT183" s="6"/>
      <c r="AFU183" s="6"/>
      <c r="AFV183" s="6"/>
      <c r="AFW183" s="6"/>
      <c r="AFX183" s="6"/>
      <c r="AFY183" s="6"/>
      <c r="AFZ183" s="6"/>
      <c r="AGA183" s="6"/>
      <c r="AGB183" s="6"/>
      <c r="AGC183" s="6"/>
      <c r="AGD183" s="6"/>
      <c r="AGE183" s="6"/>
      <c r="AGF183" s="6"/>
      <c r="AGG183" s="6"/>
      <c r="AGH183" s="6"/>
      <c r="AGI183" s="6"/>
      <c r="AGJ183" s="6"/>
      <c r="AGK183" s="6"/>
      <c r="AGL183" s="6"/>
      <c r="AGM183" s="6"/>
      <c r="AGN183" s="6"/>
      <c r="AGO183" s="6"/>
      <c r="AGP183" s="6"/>
      <c r="AGQ183" s="6"/>
      <c r="AGR183" s="6"/>
      <c r="AGS183" s="6"/>
      <c r="AGT183" s="6"/>
      <c r="AGU183" s="6"/>
      <c r="AGV183" s="6"/>
      <c r="AGW183" s="6"/>
      <c r="AGX183" s="6"/>
      <c r="AGY183" s="6"/>
      <c r="AGZ183" s="6"/>
      <c r="AHA183" s="6"/>
      <c r="AHB183" s="6"/>
      <c r="AHC183" s="6"/>
      <c r="AHD183" s="6"/>
      <c r="AHE183" s="6"/>
      <c r="AHF183" s="6"/>
      <c r="AHG183" s="6"/>
      <c r="AHH183" s="6"/>
      <c r="AHI183" s="6"/>
      <c r="AHJ183" s="6"/>
      <c r="AHK183" s="6"/>
      <c r="AHL183" s="6"/>
      <c r="AHM183" s="6"/>
      <c r="AHN183" s="6"/>
      <c r="AHO183" s="6"/>
      <c r="AHP183" s="6"/>
      <c r="AHQ183" s="6"/>
      <c r="AHR183" s="6"/>
      <c r="AHS183" s="6"/>
      <c r="AHT183" s="6"/>
      <c r="AHU183" s="6"/>
      <c r="AHV183" s="6"/>
      <c r="AHW183" s="6"/>
      <c r="AHX183" s="6"/>
      <c r="AHY183" s="6"/>
      <c r="AHZ183" s="6"/>
      <c r="AIA183" s="6"/>
      <c r="AIB183" s="6"/>
      <c r="AIC183" s="6"/>
      <c r="AID183" s="6"/>
      <c r="AIE183" s="6"/>
      <c r="AIF183" s="6"/>
      <c r="AIG183" s="6"/>
      <c r="AIH183" s="6"/>
      <c r="AII183" s="6"/>
      <c r="AIJ183" s="6"/>
      <c r="AIK183" s="6"/>
      <c r="AIL183" s="6"/>
      <c r="AIM183" s="6"/>
      <c r="AIN183" s="6"/>
      <c r="AIO183" s="6"/>
      <c r="AIP183" s="6"/>
      <c r="AIQ183" s="6"/>
      <c r="AIR183" s="6"/>
      <c r="AIS183" s="6"/>
      <c r="AIT183" s="6"/>
      <c r="AIU183" s="6"/>
      <c r="AIV183" s="6"/>
      <c r="AIW183" s="6"/>
      <c r="AIX183" s="6"/>
      <c r="AIY183" s="6"/>
      <c r="AIZ183" s="6"/>
      <c r="AJA183" s="6"/>
      <c r="AJB183" s="6"/>
      <c r="AJC183" s="6"/>
      <c r="AJD183" s="6"/>
      <c r="AJE183" s="6"/>
      <c r="AJF183" s="6"/>
      <c r="AJG183" s="6"/>
      <c r="AJH183" s="6"/>
      <c r="AJI183" s="6"/>
      <c r="AJJ183" s="6"/>
      <c r="AJK183" s="6"/>
      <c r="AJL183" s="6"/>
      <c r="AJM183" s="6"/>
      <c r="AJN183" s="6"/>
      <c r="AJO183" s="6"/>
      <c r="AJP183" s="6"/>
      <c r="AJQ183" s="6"/>
      <c r="AJR183" s="6"/>
      <c r="AJS183" s="6"/>
      <c r="AJT183" s="6"/>
      <c r="AJU183" s="6"/>
      <c r="AJV183" s="6"/>
      <c r="AJW183" s="6"/>
      <c r="AJX183" s="6"/>
      <c r="AJY183" s="6"/>
      <c r="AJZ183" s="6"/>
      <c r="AKA183" s="6"/>
      <c r="AKB183" s="6"/>
      <c r="AKC183" s="6"/>
      <c r="AKD183" s="6"/>
      <c r="AKE183" s="6"/>
      <c r="AKF183" s="6"/>
      <c r="AKG183" s="6"/>
      <c r="AKH183" s="6"/>
      <c r="AKI183" s="6"/>
      <c r="AKJ183" s="6"/>
      <c r="AKK183" s="6"/>
      <c r="AKL183" s="6"/>
      <c r="AKM183" s="6"/>
      <c r="AKN183" s="6"/>
      <c r="AKO183" s="6"/>
      <c r="AKP183" s="6"/>
      <c r="AKQ183" s="6"/>
      <c r="AKR183" s="6"/>
      <c r="AKS183" s="6"/>
      <c r="AKT183" s="6"/>
      <c r="AKU183" s="6"/>
      <c r="AKV183" s="6"/>
      <c r="AKW183" s="6"/>
      <c r="AKX183" s="6"/>
      <c r="AKY183" s="6"/>
      <c r="AKZ183" s="6"/>
      <c r="ALA183" s="6"/>
      <c r="ALB183" s="6"/>
      <c r="ALC183" s="6"/>
      <c r="ALD183" s="6"/>
      <c r="ALE183" s="6"/>
      <c r="ALF183" s="6"/>
      <c r="ALG183" s="6"/>
      <c r="ALH183" s="6"/>
      <c r="ALI183" s="6"/>
      <c r="ALJ183" s="6"/>
      <c r="ALK183" s="6"/>
      <c r="ALL183" s="6"/>
      <c r="ALM183" s="6"/>
      <c r="ALN183" s="6"/>
      <c r="ALO183" s="6"/>
      <c r="ALP183" s="6"/>
      <c r="ALQ183" s="6"/>
      <c r="ALR183" s="6"/>
      <c r="ALS183" s="6"/>
      <c r="ALT183" s="6"/>
      <c r="ALU183" s="6"/>
      <c r="ALV183" s="6"/>
      <c r="ALW183" s="6"/>
      <c r="ALX183" s="6"/>
      <c r="ALY183" s="6"/>
      <c r="ALZ183" s="6"/>
      <c r="AMA183" s="6"/>
      <c r="AMB183" s="6"/>
      <c r="AMC183" s="6"/>
      <c r="AMD183" s="6"/>
      <c r="AME183" s="6"/>
      <c r="AMF183" s="6"/>
      <c r="AMG183" s="6"/>
      <c r="AMH183" s="6"/>
      <c r="AMI183" s="6"/>
      <c r="AMJ183" s="6"/>
      <c r="AMK183" s="6"/>
      <c r="AML183" s="6"/>
      <c r="AMM183" s="6"/>
      <c r="AMN183" s="6"/>
      <c r="AMO183" s="6"/>
      <c r="AMP183" s="6"/>
    </row>
    <row r="184" spans="1:1030" x14ac:dyDescent="0.2">
      <c r="A184" s="3" t="str">
        <f t="shared" si="1231"/>
        <v>ccr5_human__wt</v>
      </c>
      <c r="B184" s="3" t="s">
        <v>173</v>
      </c>
      <c r="C184" s="3" t="s">
        <v>100</v>
      </c>
      <c r="D184" s="3" t="str">
        <f>IFERROR(MID(VLOOKUP($B184,Seqs!$A:$B,2,0),E184,1),"")</f>
        <v>K</v>
      </c>
      <c r="E184" s="3">
        <v>22</v>
      </c>
      <c r="F184" s="3" t="str">
        <f>IFERROR(MID(VLOOKUP($B184,Seqs!$A:$B,2,0),G184,1),"")</f>
        <v>C</v>
      </c>
      <c r="G184" s="3">
        <v>58</v>
      </c>
      <c r="H184" s="3" t="str">
        <f>IFERROR(MID(VLOOKUP($B184,Seqs!$A:$B,2,0),I184,1),"")</f>
        <v>K</v>
      </c>
      <c r="I184" s="23">
        <v>59</v>
      </c>
      <c r="J184" s="3" t="str">
        <f>IFERROR(MID(VLOOKUP($B184,Seqs!$A:$B,2,0),K184,1),"")</f>
        <v>K</v>
      </c>
      <c r="K184" s="23">
        <v>62</v>
      </c>
      <c r="L184" s="3" t="str">
        <f>IFERROR(MID(VLOOKUP($B184,Seqs!$A:$B,2,0),M184,1),"")</f>
        <v>S</v>
      </c>
      <c r="M184" s="3">
        <v>63</v>
      </c>
      <c r="N184" s="3" t="str">
        <f>IFERROR(MID(VLOOKUP($B184,Seqs!$A:$B,2,0),O184,1),"")</f>
        <v>A</v>
      </c>
      <c r="O184" s="3">
        <v>92</v>
      </c>
      <c r="P184" s="3" t="str">
        <f>IFERROR(MID(VLOOKUP($B184,Seqs!$A:$B,2,0),Q184,1),"")</f>
        <v>Q</v>
      </c>
      <c r="Q184" s="3">
        <v>93</v>
      </c>
      <c r="R184" s="3" t="str">
        <f>IFERROR(MID(VLOOKUP($B184,Seqs!$A:$B,2,0),S184,1),"")</f>
        <v>F</v>
      </c>
      <c r="S184" s="3">
        <v>96</v>
      </c>
      <c r="T184" s="3" t="str">
        <f>IFERROR(MID(VLOOKUP($B184,Seqs!$A:$B,2,0),U184,1),"")</f>
        <v>G</v>
      </c>
      <c r="U184" s="3">
        <v>97</v>
      </c>
      <c r="V184" s="3" t="str">
        <f>IFERROR(MID(VLOOKUP($B184,Seqs!$A:$B,2,0),W184,1),"")</f>
        <v>H</v>
      </c>
      <c r="W184" s="3">
        <v>132</v>
      </c>
      <c r="X184" s="3" t="str">
        <f>IFERROR(MID(VLOOKUP($B184,Seqs!$A:$B,2,0),Y184,1),"")</f>
        <v>A</v>
      </c>
      <c r="Y184" s="3">
        <v>133</v>
      </c>
      <c r="Z184" s="3" t="str">
        <f>IFERROR(MID(VLOOKUP($B184,Seqs!$A:$B,2,0),AA184,1),"")</f>
        <v>R</v>
      </c>
      <c r="AA184" s="3">
        <v>140</v>
      </c>
      <c r="AB184" s="3" t="str">
        <f>IFERROR(MID(VLOOKUP($B184,Seqs!$A:$B,2,0),AC184,1),"")</f>
        <v>T</v>
      </c>
      <c r="AC184" s="9">
        <v>141</v>
      </c>
      <c r="AD184" s="3" t="str">
        <f>IFERROR(MID(VLOOKUP($B184,Seqs!$A:$B,2,0),AE184,1),"")</f>
        <v>T</v>
      </c>
      <c r="AE184" s="3">
        <v>167</v>
      </c>
      <c r="AF184" s="3" t="str">
        <f>IFERROR(MID(VLOOKUP($B184,Seqs!$A:$B,2,0),AG184,1),"")</f>
        <v>C</v>
      </c>
      <c r="AG184" s="3">
        <v>178</v>
      </c>
      <c r="AH184" s="3" t="str">
        <f>IFERROR(MID(VLOOKUP($B184,Seqs!$A:$B,2,0),AI184,1),"")</f>
        <v>S</v>
      </c>
      <c r="AI184" s="3">
        <v>180</v>
      </c>
      <c r="AJ184" s="3" t="str">
        <f>IFERROR(MID(VLOOKUP($B184,Seqs!$A:$B,2,0),AK184,1),"")</f>
        <v>Q</v>
      </c>
      <c r="AK184" s="3">
        <v>186</v>
      </c>
      <c r="AL184" s="3" t="str">
        <f>IFERROR(MID(VLOOKUP($B184,Seqs!$A:$B,2,0),AM184,1),"")</f>
        <v>C</v>
      </c>
      <c r="AM184" s="3">
        <v>224</v>
      </c>
      <c r="AN184" s="3" t="str">
        <f>IFERROR(MID(VLOOKUP($B184,Seqs!$A:$B,2,0),AO184,1),"")</f>
        <v>K</v>
      </c>
      <c r="AO184" s="3">
        <v>228</v>
      </c>
      <c r="AP184" s="3" t="str">
        <f>IFERROR(MID(VLOOKUP($B184,Seqs!$A:$B,2,0),AQ184,1),"")</f>
        <v>G</v>
      </c>
      <c r="AQ184" s="3">
        <v>265</v>
      </c>
      <c r="AR184" s="3" t="str">
        <f>IFERROR(MID(VLOOKUP($B184,Seqs!$A:$B,2,0),AS184,1),"")</f>
        <v>N</v>
      </c>
      <c r="AS184" s="3">
        <v>268</v>
      </c>
      <c r="AT184" s="3" t="str">
        <f>IFERROR(MID(VLOOKUP($B184,Seqs!$A:$B,2,0),AU184,1),"")</f>
        <v>V</v>
      </c>
      <c r="AU184" s="3">
        <v>300</v>
      </c>
      <c r="AV184" s="3" t="str">
        <f>IFERROR(MID(VLOOKUP($B184,Seqs!$A:$B,2,0),AW184,1),"")</f>
        <v>G</v>
      </c>
      <c r="AW184" s="3">
        <v>301</v>
      </c>
      <c r="AX184" s="3" t="str">
        <f>IFERROR(MID(VLOOKUP($B184,Seqs!$A:$B,2,0),AY184,1),"")</f>
        <v>Q</v>
      </c>
      <c r="AY184" s="3">
        <v>313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 t="shared" si="1232"/>
        <v>1</v>
      </c>
      <c r="BC184" s="23">
        <f t="shared" si="981"/>
        <v>272</v>
      </c>
      <c r="BD184" s="34" t="s">
        <v>23</v>
      </c>
      <c r="BE184" s="3" t="s">
        <v>23</v>
      </c>
      <c r="BF184" s="118" t="s">
        <v>23</v>
      </c>
      <c r="BG184" s="49" t="s">
        <v>1368</v>
      </c>
      <c r="BH184" s="49" t="s">
        <v>1373</v>
      </c>
      <c r="BI184" s="1"/>
      <c r="BJ184" s="70" t="s">
        <v>1283</v>
      </c>
      <c r="BK184" s="57" t="s">
        <v>1283</v>
      </c>
      <c r="BL184" s="57" t="s">
        <v>1283</v>
      </c>
      <c r="BM184" s="57" t="s">
        <v>1283</v>
      </c>
      <c r="BN184" s="57" t="s">
        <v>1283</v>
      </c>
      <c r="BO184" s="57" t="s">
        <v>1283</v>
      </c>
      <c r="BP184" s="57" t="s">
        <v>1283</v>
      </c>
      <c r="BQ184" s="57" t="s">
        <v>1283</v>
      </c>
      <c r="BR184" s="57" t="s">
        <v>1283</v>
      </c>
      <c r="BS184" s="57" t="s">
        <v>1283</v>
      </c>
      <c r="BT184" s="57" t="s">
        <v>1283</v>
      </c>
      <c r="BU184" s="57" t="s">
        <v>1283</v>
      </c>
      <c r="BV184" s="70">
        <f t="shared" si="982"/>
        <v>22</v>
      </c>
      <c r="BW184" s="71">
        <f t="shared" si="983"/>
        <v>59</v>
      </c>
      <c r="BX184" s="72">
        <f t="shared" si="984"/>
        <v>63</v>
      </c>
      <c r="BY184" s="71">
        <f t="shared" si="985"/>
        <v>93</v>
      </c>
      <c r="BZ184" s="72">
        <f t="shared" si="986"/>
        <v>97</v>
      </c>
      <c r="CA184" s="71">
        <f t="shared" si="987"/>
        <v>133</v>
      </c>
      <c r="CB184" s="72">
        <f t="shared" si="988"/>
        <v>141</v>
      </c>
      <c r="CC184" s="71">
        <f t="shared" si="989"/>
        <v>178</v>
      </c>
      <c r="CD184" s="72">
        <f t="shared" si="990"/>
        <v>186</v>
      </c>
      <c r="CE184" s="71">
        <f t="shared" si="991"/>
        <v>228</v>
      </c>
      <c r="CF184" s="72">
        <f t="shared" si="992"/>
        <v>268</v>
      </c>
      <c r="CG184" s="71">
        <f t="shared" si="993"/>
        <v>301</v>
      </c>
      <c r="CH184" s="70">
        <f t="shared" si="994"/>
        <v>58</v>
      </c>
      <c r="CI184" s="71">
        <f t="shared" si="995"/>
        <v>62</v>
      </c>
      <c r="CJ184" s="72">
        <f t="shared" si="996"/>
        <v>92</v>
      </c>
      <c r="CK184" s="72">
        <f t="shared" si="997"/>
        <v>96</v>
      </c>
      <c r="CL184" s="72">
        <f t="shared" si="998"/>
        <v>132</v>
      </c>
      <c r="CM184" s="72">
        <f t="shared" si="999"/>
        <v>140</v>
      </c>
      <c r="CN184" s="72">
        <f t="shared" si="1000"/>
        <v>167</v>
      </c>
      <c r="CO184" s="72">
        <f t="shared" si="1001"/>
        <v>180</v>
      </c>
      <c r="CP184" s="72">
        <f t="shared" si="1002"/>
        <v>224</v>
      </c>
      <c r="CQ184" s="72">
        <f t="shared" si="1003"/>
        <v>265</v>
      </c>
      <c r="CR184" s="72">
        <f t="shared" si="1004"/>
        <v>300</v>
      </c>
      <c r="CS184" s="72">
        <f t="shared" si="1005"/>
        <v>313</v>
      </c>
      <c r="CT184" s="23">
        <f t="shared" si="1006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1231"/>
        <v>ccr5_human_4MBS</v>
      </c>
      <c r="B185" s="3" t="s">
        <v>173</v>
      </c>
      <c r="C185" s="3" t="s">
        <v>74</v>
      </c>
      <c r="D185" s="3" t="str">
        <f>IFERROR(MID(VLOOKUP($B185,Seqs!$A:$B,2,0),E185,1),"")</f>
        <v>V</v>
      </c>
      <c r="E185" s="3">
        <v>25</v>
      </c>
      <c r="F185" s="3" t="str">
        <f>IFERROR(MID(VLOOKUP($B185,Seqs!$A:$B,2,0),G185,1),"")</f>
        <v>C</v>
      </c>
      <c r="G185" s="3">
        <v>58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S</v>
      </c>
      <c r="M185" s="3">
        <v>63</v>
      </c>
      <c r="N185" s="3" t="str">
        <f>IFERROR(MID(VLOOKUP($B185,Seqs!$A:$B,2,0),O185,1),"")</f>
        <v>A</v>
      </c>
      <c r="O185" s="3">
        <v>92</v>
      </c>
      <c r="P185" s="3" t="str">
        <f>IFERROR(MID(VLOOKUP($B185,Seqs!$A:$B,2,0),Q185,1),"")</f>
        <v>Q</v>
      </c>
      <c r="Q185" s="3">
        <v>93</v>
      </c>
      <c r="R185" s="3" t="str">
        <f>IFERROR(MID(VLOOKUP($B185,Seqs!$A:$B,2,0),S185,1),"")</f>
        <v>F</v>
      </c>
      <c r="S185" s="3">
        <v>96</v>
      </c>
      <c r="T185" s="3" t="str">
        <f>IFERROR(MID(VLOOKUP($B185,Seqs!$A:$B,2,0),U185,1),"")</f>
        <v>G</v>
      </c>
      <c r="U185" s="3">
        <v>97</v>
      </c>
      <c r="V185" s="3" t="str">
        <f>IFERROR(MID(VLOOKUP($B185,Seqs!$A:$B,2,0),W185,1),"")</f>
        <v>H</v>
      </c>
      <c r="W185" s="3">
        <v>132</v>
      </c>
      <c r="X185" s="3" t="str">
        <f>IFERROR(MID(VLOOKUP($B185,Seqs!$A:$B,2,0),Y185,1),"")</f>
        <v>A</v>
      </c>
      <c r="Y185" s="3">
        <v>133</v>
      </c>
      <c r="Z185" s="3" t="str">
        <f>IFERROR(MID(VLOOKUP($B185,Seqs!$A:$B,2,0),AA185,1),"")</f>
        <v>R</v>
      </c>
      <c r="AA185" s="3">
        <v>140</v>
      </c>
      <c r="AB185" s="3" t="str">
        <f>IFERROR(MID(VLOOKUP($B185,Seqs!$A:$B,2,0),AC185,1),"")</f>
        <v>T</v>
      </c>
      <c r="AC185" s="9">
        <v>141</v>
      </c>
      <c r="AD185" s="3" t="str">
        <f>IFERROR(MID(VLOOKUP($B185,Seqs!$A:$B,2,0),AE185,1),"")</f>
        <v>T</v>
      </c>
      <c r="AE185" s="3">
        <v>167</v>
      </c>
      <c r="AF185" s="3" t="str">
        <f>IFERROR(MID(VLOOKUP($B185,Seqs!$A:$B,2,0),AG185,1),"")</f>
        <v>C</v>
      </c>
      <c r="AG185" s="3">
        <v>178</v>
      </c>
      <c r="AH185" s="3" t="str">
        <f>IFERROR(MID(VLOOKUP($B185,Seqs!$A:$B,2,0),AI185,1),"")</f>
        <v>S</v>
      </c>
      <c r="AI185" s="3">
        <v>180</v>
      </c>
      <c r="AJ185" s="3" t="str">
        <f>IFERROR(MID(VLOOKUP($B185,Seqs!$A:$B,2,0),AK185,1),"")</f>
        <v>Q</v>
      </c>
      <c r="AK185" s="3">
        <v>186</v>
      </c>
      <c r="AL185" s="3" t="str">
        <f>IFERROR(MID(VLOOKUP($B185,Seqs!$A:$B,2,0),AM185,1),"")</f>
        <v>R</v>
      </c>
      <c r="AM185" s="3">
        <v>223</v>
      </c>
      <c r="AN185" s="3" t="str">
        <f>IFERROR(MID(VLOOKUP($B185,Seqs!$A:$B,2,0),AO185,1),"")</f>
        <v>K</v>
      </c>
      <c r="AO185" s="3">
        <v>228</v>
      </c>
      <c r="AP185" s="3" t="str">
        <f>IFERROR(MID(VLOOKUP($B185,Seqs!$A:$B,2,0),AQ185,1),"")</f>
        <v>G</v>
      </c>
      <c r="AQ185" s="3">
        <v>265</v>
      </c>
      <c r="AR185" s="3" t="str">
        <f>IFERROR(MID(VLOOKUP($B185,Seqs!$A:$B,2,0),AS185,1),"")</f>
        <v>N</v>
      </c>
      <c r="AS185" s="3">
        <v>268</v>
      </c>
      <c r="AT185" s="3" t="str">
        <f>IFERROR(MID(VLOOKUP($B185,Seqs!$A:$B,2,0),AU185,1),"")</f>
        <v>V</v>
      </c>
      <c r="AU185" s="3">
        <v>300</v>
      </c>
      <c r="AV185" s="3" t="str">
        <f>IFERROR(MID(VLOOKUP($B185,Seqs!$A:$B,2,0),AW185,1),"")</f>
        <v>G</v>
      </c>
      <c r="AW185" s="3">
        <v>301</v>
      </c>
      <c r="AX185" s="3" t="str">
        <f>IFERROR(MID(VLOOKUP($B185,Seqs!$A:$B,2,0),AY185,1),"")</f>
        <v>Q</v>
      </c>
      <c r="AY185" s="3">
        <v>313</v>
      </c>
      <c r="AZ185" s="77" t="str">
        <f>VLOOKUP(B185,Classification!A:D,2,0)</f>
        <v>A</v>
      </c>
      <c r="BA185" s="94" t="str">
        <f>VLOOKUP(B185,Classification!A:D,4,0)</f>
        <v>Chemokine</v>
      </c>
      <c r="BB185" s="27" t="b">
        <f t="shared" si="1232"/>
        <v>1</v>
      </c>
      <c r="BC185" s="23">
        <f t="shared" si="981"/>
        <v>265</v>
      </c>
      <c r="BD185" s="2" t="s">
        <v>23</v>
      </c>
      <c r="BE185" s="3" t="s">
        <v>1370</v>
      </c>
      <c r="BF185" s="118">
        <v>2.71</v>
      </c>
      <c r="BG185" s="49" t="s">
        <v>1373</v>
      </c>
      <c r="BH185" s="49" t="s">
        <v>1373</v>
      </c>
      <c r="BI185" s="1"/>
      <c r="BJ185" s="70" t="s">
        <v>1283</v>
      </c>
      <c r="BK185" s="57" t="s">
        <v>1283</v>
      </c>
      <c r="BL185" s="57" t="s">
        <v>1283</v>
      </c>
      <c r="BM185" s="57" t="s">
        <v>1283</v>
      </c>
      <c r="BN185" s="57" t="s">
        <v>1283</v>
      </c>
      <c r="BO185" s="57" t="s">
        <v>1283</v>
      </c>
      <c r="BP185" s="57" t="s">
        <v>1283</v>
      </c>
      <c r="BQ185" s="57" t="s">
        <v>1283</v>
      </c>
      <c r="BR185" s="57" t="s">
        <v>1283</v>
      </c>
      <c r="BS185" s="57" t="s">
        <v>1283</v>
      </c>
      <c r="BT185" s="57" t="s">
        <v>1283</v>
      </c>
      <c r="BU185" s="57" t="s">
        <v>1283</v>
      </c>
      <c r="BV185" s="70">
        <f t="shared" si="982"/>
        <v>25</v>
      </c>
      <c r="BW185" s="71" t="str">
        <f t="shared" si="983"/>
        <v>-</v>
      </c>
      <c r="BX185" s="72">
        <f t="shared" si="984"/>
        <v>63</v>
      </c>
      <c r="BY185" s="71">
        <f t="shared" si="985"/>
        <v>93</v>
      </c>
      <c r="BZ185" s="72">
        <f t="shared" si="986"/>
        <v>97</v>
      </c>
      <c r="CA185" s="71">
        <f t="shared" si="987"/>
        <v>133</v>
      </c>
      <c r="CB185" s="72">
        <f t="shared" si="988"/>
        <v>141</v>
      </c>
      <c r="CC185" s="71">
        <f t="shared" si="989"/>
        <v>178</v>
      </c>
      <c r="CD185" s="72">
        <f t="shared" si="990"/>
        <v>186</v>
      </c>
      <c r="CE185" s="71">
        <f t="shared" si="991"/>
        <v>228</v>
      </c>
      <c r="CF185" s="72">
        <f t="shared" si="992"/>
        <v>268</v>
      </c>
      <c r="CG185" s="71">
        <f t="shared" si="993"/>
        <v>301</v>
      </c>
      <c r="CH185" s="70">
        <f t="shared" si="994"/>
        <v>58</v>
      </c>
      <c r="CI185" s="71" t="str">
        <f t="shared" si="995"/>
        <v>-</v>
      </c>
      <c r="CJ185" s="72">
        <f t="shared" si="996"/>
        <v>92</v>
      </c>
      <c r="CK185" s="72">
        <f t="shared" si="997"/>
        <v>96</v>
      </c>
      <c r="CL185" s="72">
        <f t="shared" si="998"/>
        <v>132</v>
      </c>
      <c r="CM185" s="72">
        <f t="shared" si="999"/>
        <v>140</v>
      </c>
      <c r="CN185" s="72">
        <f t="shared" si="1000"/>
        <v>167</v>
      </c>
      <c r="CO185" s="72">
        <f t="shared" si="1001"/>
        <v>180</v>
      </c>
      <c r="CP185" s="72">
        <f t="shared" si="1002"/>
        <v>223</v>
      </c>
      <c r="CQ185" s="72">
        <f t="shared" si="1003"/>
        <v>265</v>
      </c>
      <c r="CR185" s="72">
        <f t="shared" si="1004"/>
        <v>300</v>
      </c>
      <c r="CS185" s="72">
        <f t="shared" si="1005"/>
        <v>313</v>
      </c>
      <c r="CT185" s="23" t="e">
        <f t="shared" si="1006"/>
        <v>#VALUE!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>CONCATENATE(B186,"_",C186)</f>
        <v>ccr5_human_5UIW</v>
      </c>
      <c r="B186" s="3" t="s">
        <v>173</v>
      </c>
      <c r="C186" s="3" t="s">
        <v>1419</v>
      </c>
      <c r="D186" s="3" t="str">
        <f>IFERROR(MID(VLOOKUP($B186,Seqs!$A:$B,2,0),E186,1),"")</f>
        <v>K</v>
      </c>
      <c r="E186" s="3">
        <v>22</v>
      </c>
      <c r="F186" s="3" t="str">
        <f>IFERROR(MID(VLOOKUP($B186,Seqs!$A:$B,2,0),G186,1),"")</f>
        <v>C</v>
      </c>
      <c r="G186" s="3">
        <v>58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S</v>
      </c>
      <c r="M186" s="3">
        <v>63</v>
      </c>
      <c r="N186" s="3" t="str">
        <f>IFERROR(MID(VLOOKUP($B186,Seqs!$A:$B,2,0),O186,1),"")</f>
        <v>A</v>
      </c>
      <c r="O186" s="3">
        <v>92</v>
      </c>
      <c r="P186" s="3" t="str">
        <f>IFERROR(MID(VLOOKUP($B186,Seqs!$A:$B,2,0),Q186,1),"")</f>
        <v>Q</v>
      </c>
      <c r="Q186" s="3">
        <v>93</v>
      </c>
      <c r="R186" s="3" t="str">
        <f>IFERROR(MID(VLOOKUP($B186,Seqs!$A:$B,2,0),S186,1),"")</f>
        <v>F</v>
      </c>
      <c r="S186" s="3">
        <v>96</v>
      </c>
      <c r="T186" s="3" t="str">
        <f>IFERROR(MID(VLOOKUP($B186,Seqs!$A:$B,2,0),U186,1),"")</f>
        <v>G</v>
      </c>
      <c r="U186" s="3">
        <v>97</v>
      </c>
      <c r="V186" s="3" t="str">
        <f>IFERROR(MID(VLOOKUP($B186,Seqs!$A:$B,2,0),W186,1),"")</f>
        <v>H</v>
      </c>
      <c r="W186" s="3">
        <v>132</v>
      </c>
      <c r="X186" s="3" t="str">
        <f>IFERROR(MID(VLOOKUP($B186,Seqs!$A:$B,2,0),Y186,1),"")</f>
        <v>A</v>
      </c>
      <c r="Y186" s="3">
        <v>133</v>
      </c>
      <c r="Z186" s="3" t="str">
        <f>IFERROR(MID(VLOOKUP($B186,Seqs!$A:$B,2,0),AA186,1),"")</f>
        <v>R</v>
      </c>
      <c r="AA186" s="3">
        <v>140</v>
      </c>
      <c r="AB186" s="3" t="str">
        <f>IFERROR(MID(VLOOKUP($B186,Seqs!$A:$B,2,0),AC186,1),"")</f>
        <v>T</v>
      </c>
      <c r="AC186" s="3">
        <v>141</v>
      </c>
      <c r="AD186" s="3" t="str">
        <f>IFERROR(MID(VLOOKUP($B186,Seqs!$A:$B,2,0),AE186,1),"")</f>
        <v>T</v>
      </c>
      <c r="AE186" s="3">
        <v>167</v>
      </c>
      <c r="AF186" s="3" t="str">
        <f>IFERROR(MID(VLOOKUP($B186,Seqs!$A:$B,2,0),AG186,1),"")</f>
        <v>C</v>
      </c>
      <c r="AG186" s="3">
        <v>178</v>
      </c>
      <c r="AH186" s="3" t="str">
        <f>IFERROR(MID(VLOOKUP($B186,Seqs!$A:$B,2,0),AI186,1),"")</f>
        <v>S</v>
      </c>
      <c r="AI186" s="3">
        <v>180</v>
      </c>
      <c r="AJ186" s="3" t="str">
        <f>IFERROR(MID(VLOOKUP($B186,Seqs!$A:$B,2,0),AK186,1),"")</f>
        <v>Q</v>
      </c>
      <c r="AK186" s="3">
        <v>186</v>
      </c>
      <c r="AL186" s="3" t="str">
        <f>IFERROR(MID(VLOOKUP($B186,Seqs!$A:$B,2,0),AM186,1),"")</f>
        <v>R</v>
      </c>
      <c r="AM186" s="3">
        <v>223</v>
      </c>
      <c r="AN186" s="3" t="str">
        <f>IFERROR(MID(VLOOKUP($B186,Seqs!$A:$B,2,0),AO186,1),"")</f>
        <v>E</v>
      </c>
      <c r="AO186" s="3">
        <v>227</v>
      </c>
      <c r="AP186" s="3" t="str">
        <f>IFERROR(MID(VLOOKUP($B186,Seqs!$A:$B,2,0),AQ186,1),"")</f>
        <v>Q</v>
      </c>
      <c r="AQ186" s="3">
        <v>261</v>
      </c>
      <c r="AR186" s="3" t="str">
        <f>IFERROR(MID(VLOOKUP($B186,Seqs!$A:$B,2,0),AS186,1),"")</f>
        <v>N</v>
      </c>
      <c r="AS186" s="3">
        <v>268</v>
      </c>
      <c r="AT186" s="3" t="str">
        <f>IFERROR(MID(VLOOKUP($B186,Seqs!$A:$B,2,0),AU186,1),"")</f>
        <v>V</v>
      </c>
      <c r="AU186" s="3">
        <v>300</v>
      </c>
      <c r="AV186" s="3" t="str">
        <f>IFERROR(MID(VLOOKUP($B186,Seqs!$A:$B,2,0),AW186,1),"")</f>
        <v>G</v>
      </c>
      <c r="AW186" s="3">
        <v>301</v>
      </c>
      <c r="AX186" s="3" t="str">
        <f>IFERROR(MID(VLOOKUP($B186,Seqs!$A:$B,2,0),AY186,1),"")</f>
        <v>I</v>
      </c>
      <c r="AY186" s="3">
        <v>316</v>
      </c>
      <c r="AZ186" s="77" t="str">
        <f>VLOOKUP(B186,Classification!A:D,2,0)</f>
        <v>A</v>
      </c>
      <c r="BA186" s="94" t="str">
        <f>VLOOKUP(B186,Classification!A:D,4,0)</f>
        <v>Chemokine</v>
      </c>
      <c r="BB186" s="27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23">
        <f>_xlfn.AGGREGATE(9,6,CH186:CS186)-_xlfn.AGGREGATE(9,6,BV186:CG186)+12</f>
        <v>268</v>
      </c>
      <c r="BD186" s="2" t="s">
        <v>1372</v>
      </c>
      <c r="BE186" s="3" t="s">
        <v>1370</v>
      </c>
      <c r="BF186" s="118">
        <v>2.2000000000000002</v>
      </c>
      <c r="BG186" s="49" t="s">
        <v>1373</v>
      </c>
      <c r="BH186" s="49" t="s">
        <v>1373</v>
      </c>
      <c r="BI186" s="1"/>
      <c r="BJ186" s="70" t="s">
        <v>1283</v>
      </c>
      <c r="BK186" s="57" t="s">
        <v>1283</v>
      </c>
      <c r="BL186" s="57" t="s">
        <v>1283</v>
      </c>
      <c r="BM186" s="57" t="s">
        <v>1283</v>
      </c>
      <c r="BN186" s="57" t="s">
        <v>1283</v>
      </c>
      <c r="BO186" s="57" t="s">
        <v>1283</v>
      </c>
      <c r="BP186" s="57" t="s">
        <v>1283</v>
      </c>
      <c r="BQ186" s="57" t="s">
        <v>1283</v>
      </c>
      <c r="BR186" s="57" t="s">
        <v>1283</v>
      </c>
      <c r="BS186" s="57" t="s">
        <v>1283</v>
      </c>
      <c r="BT186" s="57" t="s">
        <v>1283</v>
      </c>
      <c r="BU186" s="57" t="s">
        <v>1283</v>
      </c>
      <c r="BV186" s="70">
        <f>E186</f>
        <v>22</v>
      </c>
      <c r="BW186" s="71" t="str">
        <f>I186</f>
        <v>-</v>
      </c>
      <c r="BX186" s="72">
        <f>M186</f>
        <v>63</v>
      </c>
      <c r="BY186" s="71">
        <f>Q186</f>
        <v>93</v>
      </c>
      <c r="BZ186" s="72">
        <f>U186</f>
        <v>97</v>
      </c>
      <c r="CA186" s="71">
        <f>Y186</f>
        <v>133</v>
      </c>
      <c r="CB186" s="72">
        <f>AC186</f>
        <v>141</v>
      </c>
      <c r="CC186" s="71">
        <f>AG186</f>
        <v>178</v>
      </c>
      <c r="CD186" s="72">
        <f>AK186</f>
        <v>186</v>
      </c>
      <c r="CE186" s="71">
        <f>AO186</f>
        <v>227</v>
      </c>
      <c r="CF186" s="72">
        <f>AS186</f>
        <v>268</v>
      </c>
      <c r="CG186" s="71">
        <f>AW186</f>
        <v>301</v>
      </c>
      <c r="CH186" s="70">
        <f>G186</f>
        <v>58</v>
      </c>
      <c r="CI186" s="71" t="str">
        <f>K186</f>
        <v>-</v>
      </c>
      <c r="CJ186" s="72">
        <f>O186</f>
        <v>92</v>
      </c>
      <c r="CK186" s="72">
        <f>S186</f>
        <v>96</v>
      </c>
      <c r="CL186" s="72">
        <f>W186</f>
        <v>132</v>
      </c>
      <c r="CM186" s="72">
        <f>AA186</f>
        <v>140</v>
      </c>
      <c r="CN186" s="72">
        <f>AE186</f>
        <v>167</v>
      </c>
      <c r="CO186" s="72">
        <f>AI186</f>
        <v>180</v>
      </c>
      <c r="CP186" s="72">
        <f>AM186</f>
        <v>223</v>
      </c>
      <c r="CQ186" s="72">
        <f>AQ186</f>
        <v>261</v>
      </c>
      <c r="CR186" s="72">
        <f>AU186</f>
        <v>300</v>
      </c>
      <c r="CS186" s="72">
        <f>AY186</f>
        <v>316</v>
      </c>
      <c r="CT186" s="23" t="e">
        <f>M186-K186</f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>CONCATENATE(B187,"_",C187)</f>
        <v>ccr5_human_6AKX</v>
      </c>
      <c r="B187" s="3" t="s">
        <v>173</v>
      </c>
      <c r="C187" s="3" t="s">
        <v>1520</v>
      </c>
      <c r="D187" s="3" t="str">
        <f>IFERROR(MID(VLOOKUP($B187,Seqs!$A:$B,2,0),E187,1),"")</f>
        <v>V</v>
      </c>
      <c r="E187" s="3">
        <v>25</v>
      </c>
      <c r="F187" s="3" t="str">
        <f>IFERROR(MID(VLOOKUP($B187,Seqs!$A:$B,2,0),G187,1),"")</f>
        <v>C</v>
      </c>
      <c r="G187" s="3">
        <v>58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S</v>
      </c>
      <c r="M187" s="3">
        <v>63</v>
      </c>
      <c r="N187" s="3" t="str">
        <f>IFERROR(MID(VLOOKUP($B187,Seqs!$A:$B,2,0),O187,1),"")</f>
        <v>A</v>
      </c>
      <c r="O187" s="3">
        <v>92</v>
      </c>
      <c r="P187" s="3" t="str">
        <f>IFERROR(MID(VLOOKUP($B187,Seqs!$A:$B,2,0),Q187,1),"")</f>
        <v>Q</v>
      </c>
      <c r="Q187" s="3">
        <v>93</v>
      </c>
      <c r="R187" s="3" t="str">
        <f>IFERROR(MID(VLOOKUP($B187,Seqs!$A:$B,2,0),S187,1),"")</f>
        <v>F</v>
      </c>
      <c r="S187" s="3">
        <v>96</v>
      </c>
      <c r="T187" s="3" t="str">
        <f>IFERROR(MID(VLOOKUP($B187,Seqs!$A:$B,2,0),U187,1),"")</f>
        <v>G</v>
      </c>
      <c r="U187" s="3">
        <v>97</v>
      </c>
      <c r="V187" s="3" t="str">
        <f>IFERROR(MID(VLOOKUP($B187,Seqs!$A:$B,2,0),W187,1),"")</f>
        <v>H</v>
      </c>
      <c r="W187" s="3">
        <v>132</v>
      </c>
      <c r="X187" s="3" t="str">
        <f>IFERROR(MID(VLOOKUP($B187,Seqs!$A:$B,2,0),Y187,1),"")</f>
        <v>A</v>
      </c>
      <c r="Y187" s="3">
        <v>133</v>
      </c>
      <c r="Z187" s="3" t="str">
        <f>IFERROR(MID(VLOOKUP($B187,Seqs!$A:$B,2,0),AA187,1),"")</f>
        <v>R</v>
      </c>
      <c r="AA187" s="3">
        <v>140</v>
      </c>
      <c r="AB187" s="3" t="str">
        <f>IFERROR(MID(VLOOKUP($B187,Seqs!$A:$B,2,0),AC187,1),"")</f>
        <v>T</v>
      </c>
      <c r="AC187" s="3">
        <v>141</v>
      </c>
      <c r="AD187" s="3" t="str">
        <f>IFERROR(MID(VLOOKUP($B187,Seqs!$A:$B,2,0),AE187,1),"")</f>
        <v>T</v>
      </c>
      <c r="AE187" s="3">
        <v>167</v>
      </c>
      <c r="AF187" s="3" t="str">
        <f>IFERROR(MID(VLOOKUP($B187,Seqs!$A:$B,2,0),AG187,1),"")</f>
        <v>C</v>
      </c>
      <c r="AG187" s="3">
        <v>178</v>
      </c>
      <c r="AH187" s="3" t="str">
        <f>IFERROR(MID(VLOOKUP($B187,Seqs!$A:$B,2,0),AI187,1),"")</f>
        <v>S</v>
      </c>
      <c r="AI187" s="3">
        <v>180</v>
      </c>
      <c r="AJ187" s="3" t="str">
        <f>IFERROR(MID(VLOOKUP($B187,Seqs!$A:$B,2,0),AK187,1),"")</f>
        <v>Q</v>
      </c>
      <c r="AK187" s="3">
        <v>186</v>
      </c>
      <c r="AL187" s="3" t="str">
        <f>IFERROR(MID(VLOOKUP($B187,Seqs!$A:$B,2,0),AM187,1),"")</f>
        <v>R</v>
      </c>
      <c r="AM187" s="3">
        <v>223</v>
      </c>
      <c r="AN187" s="3" t="str">
        <f>IFERROR(MID(VLOOKUP($B187,Seqs!$A:$B,2,0),AO187,1),"")</f>
        <v>K</v>
      </c>
      <c r="AO187" s="3">
        <v>228</v>
      </c>
      <c r="AP187" s="3" t="str">
        <f>IFERROR(MID(VLOOKUP($B187,Seqs!$A:$B,2,0),AQ187,1),"")</f>
        <v>G</v>
      </c>
      <c r="AQ187" s="3">
        <v>265</v>
      </c>
      <c r="AR187" s="3" t="str">
        <f>IFERROR(MID(VLOOKUP($B187,Seqs!$A:$B,2,0),AS187,1),"")</f>
        <v>N</v>
      </c>
      <c r="AS187" s="3">
        <v>268</v>
      </c>
      <c r="AT187" s="3" t="str">
        <f>IFERROR(MID(VLOOKUP($B187,Seqs!$A:$B,2,0),AU187,1),"")</f>
        <v>V</v>
      </c>
      <c r="AU187" s="3">
        <v>300</v>
      </c>
      <c r="AV187" s="3" t="str">
        <f>IFERROR(MID(VLOOKUP($B187,Seqs!$A:$B,2,0),AW187,1),"")</f>
        <v>G</v>
      </c>
      <c r="AW187" s="3">
        <v>301</v>
      </c>
      <c r="AX187" s="3" t="str">
        <f>IFERROR(MID(VLOOKUP($B187,Seqs!$A:$B,2,0),AY187,1),"")</f>
        <v>Q</v>
      </c>
      <c r="AY187" s="3">
        <v>313</v>
      </c>
      <c r="AZ187" s="77" t="str">
        <f>VLOOKUP(B187,Classification!A:D,2,0)</f>
        <v>A</v>
      </c>
      <c r="BA187" s="94" t="str">
        <f>VLOOKUP(B187,Classification!A:D,4,0)</f>
        <v>Chemokine</v>
      </c>
      <c r="BB187" s="27" t="b">
        <f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>_xlfn.AGGREGATE(9,6,CH187:CS187)-_xlfn.AGGREGATE(9,6,BV187:CG187)+12</f>
        <v>265</v>
      </c>
      <c r="BD187" s="2" t="s">
        <v>23</v>
      </c>
      <c r="BE187" s="3" t="s">
        <v>1370</v>
      </c>
      <c r="BF187" s="118">
        <v>2.8</v>
      </c>
      <c r="BG187" s="49" t="s">
        <v>1277</v>
      </c>
      <c r="BH187" s="49" t="s">
        <v>1277</v>
      </c>
      <c r="BI187" s="1"/>
      <c r="BJ187" s="70" t="s">
        <v>1283</v>
      </c>
      <c r="BK187" s="57" t="s">
        <v>1283</v>
      </c>
      <c r="BL187" s="57" t="s">
        <v>1283</v>
      </c>
      <c r="BM187" s="57" t="s">
        <v>1283</v>
      </c>
      <c r="BN187" s="57" t="s">
        <v>1283</v>
      </c>
      <c r="BO187" s="57" t="s">
        <v>1283</v>
      </c>
      <c r="BP187" s="57" t="s">
        <v>1283</v>
      </c>
      <c r="BQ187" s="57" t="s">
        <v>1283</v>
      </c>
      <c r="BR187" s="57" t="s">
        <v>1283</v>
      </c>
      <c r="BS187" s="57" t="s">
        <v>1283</v>
      </c>
      <c r="BT187" s="57" t="s">
        <v>1283</v>
      </c>
      <c r="BU187" s="57" t="s">
        <v>1283</v>
      </c>
      <c r="BV187" s="70">
        <f>E187</f>
        <v>25</v>
      </c>
      <c r="BW187" s="71" t="str">
        <f>I187</f>
        <v>-</v>
      </c>
      <c r="BX187" s="72">
        <f>M187</f>
        <v>63</v>
      </c>
      <c r="BY187" s="71">
        <f>Q187</f>
        <v>93</v>
      </c>
      <c r="BZ187" s="72">
        <f>U187</f>
        <v>97</v>
      </c>
      <c r="CA187" s="71">
        <f>Y187</f>
        <v>133</v>
      </c>
      <c r="CB187" s="72">
        <f>AC187</f>
        <v>141</v>
      </c>
      <c r="CC187" s="71">
        <f>AG187</f>
        <v>178</v>
      </c>
      <c r="CD187" s="72">
        <f>AK187</f>
        <v>186</v>
      </c>
      <c r="CE187" s="71">
        <f>AO187</f>
        <v>228</v>
      </c>
      <c r="CF187" s="72">
        <f>AS187</f>
        <v>268</v>
      </c>
      <c r="CG187" s="71">
        <f>AW187</f>
        <v>301</v>
      </c>
      <c r="CH187" s="70">
        <f>G187</f>
        <v>58</v>
      </c>
      <c r="CI187" s="71" t="str">
        <f>K187</f>
        <v>-</v>
      </c>
      <c r="CJ187" s="72">
        <f>O187</f>
        <v>92</v>
      </c>
      <c r="CK187" s="72">
        <f>S187</f>
        <v>96</v>
      </c>
      <c r="CL187" s="72">
        <f>W187</f>
        <v>132</v>
      </c>
      <c r="CM187" s="72">
        <f>AA187</f>
        <v>140</v>
      </c>
      <c r="CN187" s="72">
        <f>AE187</f>
        <v>167</v>
      </c>
      <c r="CO187" s="72">
        <f>AI187</f>
        <v>180</v>
      </c>
      <c r="CP187" s="72">
        <f>AM187</f>
        <v>223</v>
      </c>
      <c r="CQ187" s="72">
        <f>AQ187</f>
        <v>265</v>
      </c>
      <c r="CR187" s="72">
        <f>AU187</f>
        <v>300</v>
      </c>
      <c r="CS187" s="72">
        <f>AY187</f>
        <v>313</v>
      </c>
      <c r="CT187" s="23" t="e">
        <f>M187-K187</f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>CONCATENATE(B188,"_",C188)</f>
        <v>ccr5_human_6AKY</v>
      </c>
      <c r="B188" s="3" t="s">
        <v>173</v>
      </c>
      <c r="C188" s="3" t="s">
        <v>1521</v>
      </c>
      <c r="D188" s="3" t="str">
        <f>IFERROR(MID(VLOOKUP($B188,Seqs!$A:$B,2,0),E188,1),"")</f>
        <v>V</v>
      </c>
      <c r="E188" s="3">
        <v>25</v>
      </c>
      <c r="F188" s="3" t="str">
        <f>IFERROR(MID(VLOOKUP($B188,Seqs!$A:$B,2,0),G188,1),"")</f>
        <v>C</v>
      </c>
      <c r="G188" s="3">
        <v>58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S</v>
      </c>
      <c r="M188" s="3">
        <v>63</v>
      </c>
      <c r="N188" s="3" t="str">
        <f>IFERROR(MID(VLOOKUP($B188,Seqs!$A:$B,2,0),O188,1),"")</f>
        <v>A</v>
      </c>
      <c r="O188" s="3">
        <v>92</v>
      </c>
      <c r="P188" s="3" t="str">
        <f>IFERROR(MID(VLOOKUP($B188,Seqs!$A:$B,2,0),Q188,1),"")</f>
        <v>Q</v>
      </c>
      <c r="Q188" s="3">
        <v>93</v>
      </c>
      <c r="R188" s="3" t="str">
        <f>IFERROR(MID(VLOOKUP($B188,Seqs!$A:$B,2,0),S188,1),"")</f>
        <v>F</v>
      </c>
      <c r="S188" s="3">
        <v>96</v>
      </c>
      <c r="T188" s="3" t="str">
        <f>IFERROR(MID(VLOOKUP($B188,Seqs!$A:$B,2,0),U188,1),"")</f>
        <v>G</v>
      </c>
      <c r="U188" s="3">
        <v>97</v>
      </c>
      <c r="V188" s="3" t="str">
        <f>IFERROR(MID(VLOOKUP($B188,Seqs!$A:$B,2,0),W188,1),"")</f>
        <v>H</v>
      </c>
      <c r="W188" s="3">
        <v>132</v>
      </c>
      <c r="X188" s="3" t="str">
        <f>IFERROR(MID(VLOOKUP($B188,Seqs!$A:$B,2,0),Y188,1),"")</f>
        <v>A</v>
      </c>
      <c r="Y188" s="3">
        <v>133</v>
      </c>
      <c r="Z188" s="3" t="str">
        <f>IFERROR(MID(VLOOKUP($B188,Seqs!$A:$B,2,0),AA188,1),"")</f>
        <v>R</v>
      </c>
      <c r="AA188" s="3">
        <v>140</v>
      </c>
      <c r="AB188" s="3" t="str">
        <f>IFERROR(MID(VLOOKUP($B188,Seqs!$A:$B,2,0),AC188,1),"")</f>
        <v>T</v>
      </c>
      <c r="AC188" s="3">
        <v>141</v>
      </c>
      <c r="AD188" s="3" t="str">
        <f>IFERROR(MID(VLOOKUP($B188,Seqs!$A:$B,2,0),AE188,1),"")</f>
        <v>T</v>
      </c>
      <c r="AE188" s="3">
        <v>167</v>
      </c>
      <c r="AF188" s="3" t="str">
        <f>IFERROR(MID(VLOOKUP($B188,Seqs!$A:$B,2,0),AG188,1),"")</f>
        <v>C</v>
      </c>
      <c r="AG188" s="3">
        <v>178</v>
      </c>
      <c r="AH188" s="3" t="str">
        <f>IFERROR(MID(VLOOKUP($B188,Seqs!$A:$B,2,0),AI188,1),"")</f>
        <v>S</v>
      </c>
      <c r="AI188" s="3">
        <v>180</v>
      </c>
      <c r="AJ188" s="3" t="str">
        <f>IFERROR(MID(VLOOKUP($B188,Seqs!$A:$B,2,0),AK188,1),"")</f>
        <v>Q</v>
      </c>
      <c r="AK188" s="3">
        <v>186</v>
      </c>
      <c r="AL188" s="3" t="str">
        <f>IFERROR(MID(VLOOKUP($B188,Seqs!$A:$B,2,0),AM188,1),"")</f>
        <v>R</v>
      </c>
      <c r="AM188" s="3">
        <v>223</v>
      </c>
      <c r="AN188" s="3" t="str">
        <f>IFERROR(MID(VLOOKUP($B188,Seqs!$A:$B,2,0),AO188,1),"")</f>
        <v>H</v>
      </c>
      <c r="AO188" s="3">
        <v>231</v>
      </c>
      <c r="AP188" s="3" t="str">
        <f>IFERROR(MID(VLOOKUP($B188,Seqs!$A:$B,2,0),AQ188,1),"")</f>
        <v>F</v>
      </c>
      <c r="AQ188" s="3">
        <v>260</v>
      </c>
      <c r="AR188" s="3" t="str">
        <f>IFERROR(MID(VLOOKUP($B188,Seqs!$A:$B,2,0),AS188,1),"")</f>
        <v>N</v>
      </c>
      <c r="AS188" s="3">
        <v>268</v>
      </c>
      <c r="AT188" s="3" t="str">
        <f>IFERROR(MID(VLOOKUP($B188,Seqs!$A:$B,2,0),AU188,1),"")</f>
        <v>V</v>
      </c>
      <c r="AU188" s="3">
        <v>300</v>
      </c>
      <c r="AV188" s="3" t="str">
        <f>IFERROR(MID(VLOOKUP($B188,Seqs!$A:$B,2,0),AW188,1),"")</f>
        <v>G</v>
      </c>
      <c r="AW188" s="3">
        <v>301</v>
      </c>
      <c r="AX188" s="3" t="str">
        <f>IFERROR(MID(VLOOKUP($B188,Seqs!$A:$B,2,0),AY188,1),"")</f>
        <v>L</v>
      </c>
      <c r="AY188" s="3">
        <v>308</v>
      </c>
      <c r="AZ188" s="77" t="str">
        <f>VLOOKUP(B188,Classification!A:D,2,0)</f>
        <v>A</v>
      </c>
      <c r="BA188" s="94" t="str">
        <f>VLOOKUP(B188,Classification!A:D,4,0)</f>
        <v>Chemokine</v>
      </c>
      <c r="BB188" s="27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>_xlfn.AGGREGATE(9,6,CH188:CS188)-_xlfn.AGGREGATE(9,6,BV188:CG188)+12</f>
        <v>252</v>
      </c>
      <c r="BD188" s="2" t="s">
        <v>23</v>
      </c>
      <c r="BE188" s="3" t="s">
        <v>1370</v>
      </c>
      <c r="BF188" s="118">
        <v>2.8</v>
      </c>
      <c r="BG188" s="49" t="s">
        <v>1277</v>
      </c>
      <c r="BH188" s="49" t="s">
        <v>1277</v>
      </c>
      <c r="BI188" s="1"/>
      <c r="BJ188" s="70" t="s">
        <v>1283</v>
      </c>
      <c r="BK188" s="57" t="s">
        <v>1283</v>
      </c>
      <c r="BL188" s="57" t="s">
        <v>1283</v>
      </c>
      <c r="BM188" s="57" t="s">
        <v>1283</v>
      </c>
      <c r="BN188" s="57" t="s">
        <v>1283</v>
      </c>
      <c r="BO188" s="57" t="s">
        <v>1283</v>
      </c>
      <c r="BP188" s="57" t="s">
        <v>1283</v>
      </c>
      <c r="BQ188" s="57" t="s">
        <v>1283</v>
      </c>
      <c r="BR188" s="57" t="s">
        <v>1283</v>
      </c>
      <c r="BS188" s="57" t="s">
        <v>1283</v>
      </c>
      <c r="BT188" s="57" t="s">
        <v>1283</v>
      </c>
      <c r="BU188" s="57" t="s">
        <v>1283</v>
      </c>
      <c r="BV188" s="70">
        <f>E188</f>
        <v>25</v>
      </c>
      <c r="BW188" s="71" t="str">
        <f>I188</f>
        <v>-</v>
      </c>
      <c r="BX188" s="72">
        <f>M188</f>
        <v>63</v>
      </c>
      <c r="BY188" s="71">
        <f>Q188</f>
        <v>93</v>
      </c>
      <c r="BZ188" s="72">
        <f>U188</f>
        <v>97</v>
      </c>
      <c r="CA188" s="71">
        <f>Y188</f>
        <v>133</v>
      </c>
      <c r="CB188" s="72">
        <f>AC188</f>
        <v>141</v>
      </c>
      <c r="CC188" s="71">
        <f>AG188</f>
        <v>178</v>
      </c>
      <c r="CD188" s="72">
        <f>AK188</f>
        <v>186</v>
      </c>
      <c r="CE188" s="71">
        <f>AO188</f>
        <v>231</v>
      </c>
      <c r="CF188" s="72">
        <f>AS188</f>
        <v>268</v>
      </c>
      <c r="CG188" s="71">
        <f>AW188</f>
        <v>301</v>
      </c>
      <c r="CH188" s="70">
        <f>G188</f>
        <v>58</v>
      </c>
      <c r="CI188" s="71" t="str">
        <f>K188</f>
        <v>-</v>
      </c>
      <c r="CJ188" s="72">
        <f>O188</f>
        <v>92</v>
      </c>
      <c r="CK188" s="72">
        <f>S188</f>
        <v>96</v>
      </c>
      <c r="CL188" s="72">
        <f>W188</f>
        <v>132</v>
      </c>
      <c r="CM188" s="72">
        <f>AA188</f>
        <v>140</v>
      </c>
      <c r="CN188" s="72">
        <f>AE188</f>
        <v>167</v>
      </c>
      <c r="CO188" s="72">
        <f>AI188</f>
        <v>180</v>
      </c>
      <c r="CP188" s="72">
        <f>AM188</f>
        <v>223</v>
      </c>
      <c r="CQ188" s="72">
        <f>AQ188</f>
        <v>260</v>
      </c>
      <c r="CR188" s="72">
        <f>AU188</f>
        <v>300</v>
      </c>
      <c r="CS188" s="72">
        <f>AY188</f>
        <v>308</v>
      </c>
      <c r="CT188" s="23" t="e">
        <f>M188-K188</f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>CONCATENATE(B189,"_",C189)</f>
        <v>ccr5_human_6MEO</v>
      </c>
      <c r="B189" s="3" t="s">
        <v>173</v>
      </c>
      <c r="C189" s="3" t="s">
        <v>1537</v>
      </c>
      <c r="D189" s="3" t="str">
        <f>IFERROR(MID(VLOOKUP($B189,Seqs!$A:$B,2,0),E189,1),"")</f>
        <v>K</v>
      </c>
      <c r="E189" s="3">
        <v>26</v>
      </c>
      <c r="F189" s="3" t="str">
        <f>IFERROR(MID(VLOOKUP($B189,Seqs!$A:$B,2,0),G189,1),"")</f>
        <v>R</v>
      </c>
      <c r="G189" s="3">
        <v>60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S</v>
      </c>
      <c r="M189" s="3">
        <v>63</v>
      </c>
      <c r="N189" s="3" t="str">
        <f>IFERROR(MID(VLOOKUP($B189,Seqs!$A:$B,2,0),O189,1),"")</f>
        <v>A</v>
      </c>
      <c r="O189" s="3">
        <v>90</v>
      </c>
      <c r="P189" s="3" t="str">
        <f>IFERROR(MID(VLOOKUP($B189,Seqs!$A:$B,2,0),Q189,1),"")</f>
        <v>Q</v>
      </c>
      <c r="Q189" s="3">
        <v>93</v>
      </c>
      <c r="R189" s="3" t="str">
        <f>IFERROR(MID(VLOOKUP($B189,Seqs!$A:$B,2,0),S189,1),"")</f>
        <v>F</v>
      </c>
      <c r="S189" s="3">
        <v>96</v>
      </c>
      <c r="T189" s="3" t="str">
        <f>IFERROR(MID(VLOOKUP($B189,Seqs!$A:$B,2,0),U189,1),"")</f>
        <v>M</v>
      </c>
      <c r="U189" s="3">
        <v>100</v>
      </c>
      <c r="V189" s="3" t="str">
        <f>IFERROR(MID(VLOOKUP($B189,Seqs!$A:$B,2,0),W189,1),"")</f>
        <v>H</v>
      </c>
      <c r="W189" s="3">
        <v>132</v>
      </c>
      <c r="X189" s="3" t="str">
        <f>IFERROR(MID(VLOOKUP($B189,Seqs!$A:$B,2,0),Y189,1),"")</f>
        <v>A</v>
      </c>
      <c r="Y189" s="3">
        <v>133</v>
      </c>
      <c r="Z189" s="3" t="str">
        <f>IFERROR(MID(VLOOKUP($B189,Seqs!$A:$B,2,0),AA189,1),"")</f>
        <v>R</v>
      </c>
      <c r="AA189" s="3">
        <v>140</v>
      </c>
      <c r="AB189" s="3" t="str">
        <f>IFERROR(MID(VLOOKUP($B189,Seqs!$A:$B,2,0),AC189,1),"")</f>
        <v>T</v>
      </c>
      <c r="AC189" s="3">
        <v>141</v>
      </c>
      <c r="AD189" s="3" t="str">
        <f>IFERROR(MID(VLOOKUP($B189,Seqs!$A:$B,2,0),AE189,1),"")</f>
        <v>I</v>
      </c>
      <c r="AE189" s="3">
        <v>165</v>
      </c>
      <c r="AF189" s="3" t="str">
        <f>IFERROR(MID(VLOOKUP($B189,Seqs!$A:$B,2,0),AG189,1),"")</f>
        <v>C</v>
      </c>
      <c r="AG189" s="3">
        <v>178</v>
      </c>
      <c r="AH189" s="3" t="str">
        <f>IFERROR(MID(VLOOKUP($B189,Seqs!$A:$B,2,0),AI189,1),"")</f>
        <v>S</v>
      </c>
      <c r="AI189" s="3">
        <v>180</v>
      </c>
      <c r="AJ189" s="3" t="str">
        <f>IFERROR(MID(VLOOKUP($B189,Seqs!$A:$B,2,0),AK189,1),"")</f>
        <v>Q</v>
      </c>
      <c r="AK189" s="3">
        <v>186</v>
      </c>
      <c r="AL189" s="3" t="str">
        <f>IFERROR(MID(VLOOKUP($B189,Seqs!$A:$B,2,0),AM189,1),"")</f>
        <v>C</v>
      </c>
      <c r="AM189" s="3">
        <v>224</v>
      </c>
      <c r="AN189" s="3" t="str">
        <f>IFERROR(MID(VLOOKUP($B189,Seqs!$A:$B,2,0),AO189,1),"")</f>
        <v>K</v>
      </c>
      <c r="AO189" s="3">
        <v>228</v>
      </c>
      <c r="AP189" s="3" t="str">
        <f>IFERROR(MID(VLOOKUP($B189,Seqs!$A:$B,2,0),AQ189,1),"")</f>
        <v>F</v>
      </c>
      <c r="AQ189" s="3">
        <v>260</v>
      </c>
      <c r="AR189" s="3" t="str">
        <f>IFERROR(MID(VLOOKUP($B189,Seqs!$A:$B,2,0),AS189,1),"")</f>
        <v>N</v>
      </c>
      <c r="AS189" s="3">
        <v>268</v>
      </c>
      <c r="AT189" s="3" t="str">
        <f>IFERROR(MID(VLOOKUP($B189,Seqs!$A:$B,2,0),AU189,1),"")</f>
        <v>V</v>
      </c>
      <c r="AU189" s="3">
        <v>300</v>
      </c>
      <c r="AV189" s="3" t="str">
        <f>IFERROR(MID(VLOOKUP($B189,Seqs!$A:$B,2,0),AW189,1),"")</f>
        <v/>
      </c>
      <c r="AW189" s="3" t="s">
        <v>23</v>
      </c>
      <c r="AX189" s="3" t="str">
        <f>IFERROR(MID(VLOOKUP($B189,Seqs!$A:$B,2,0),AY189,1),"")</f>
        <v/>
      </c>
      <c r="AY189" s="3" t="s">
        <v>23</v>
      </c>
      <c r="AZ189" s="77" t="str">
        <f>VLOOKUP(B189,Classification!A:D,2,0)</f>
        <v>A</v>
      </c>
      <c r="BA189" s="94" t="str">
        <f>VLOOKUP(B189,Classification!A:D,4,0)</f>
        <v>Chemokine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243</v>
      </c>
      <c r="BD189" s="2" t="s">
        <v>23</v>
      </c>
      <c r="BE189" s="3" t="s">
        <v>1370</v>
      </c>
      <c r="BF189" s="118">
        <v>3.9</v>
      </c>
      <c r="BG189" s="49" t="s">
        <v>1277</v>
      </c>
      <c r="BH189" s="49" t="s">
        <v>1277</v>
      </c>
      <c r="BI189" s="1"/>
      <c r="BJ189" s="70" t="s">
        <v>1283</v>
      </c>
      <c r="BK189" s="57" t="s">
        <v>1283</v>
      </c>
      <c r="BL189" s="57" t="s">
        <v>1283</v>
      </c>
      <c r="BM189" s="57" t="s">
        <v>1283</v>
      </c>
      <c r="BN189" s="57" t="s">
        <v>1283</v>
      </c>
      <c r="BO189" s="57" t="s">
        <v>1283</v>
      </c>
      <c r="BP189" s="57" t="s">
        <v>1283</v>
      </c>
      <c r="BQ189" s="57" t="s">
        <v>1283</v>
      </c>
      <c r="BR189" s="57" t="s">
        <v>1283</v>
      </c>
      <c r="BS189" s="57" t="s">
        <v>1283</v>
      </c>
      <c r="BT189" s="57" t="s">
        <v>1283</v>
      </c>
      <c r="BU189" s="57" t="s">
        <v>1283</v>
      </c>
      <c r="BV189" s="70">
        <f>E189</f>
        <v>26</v>
      </c>
      <c r="BW189" s="71" t="str">
        <f>I189</f>
        <v>-</v>
      </c>
      <c r="BX189" s="72">
        <f>M189</f>
        <v>63</v>
      </c>
      <c r="BY189" s="71">
        <f>Q189</f>
        <v>93</v>
      </c>
      <c r="BZ189" s="72">
        <f>U189</f>
        <v>100</v>
      </c>
      <c r="CA189" s="71">
        <f>Y189</f>
        <v>133</v>
      </c>
      <c r="CB189" s="72">
        <f>AC189</f>
        <v>141</v>
      </c>
      <c r="CC189" s="71">
        <f>AG189</f>
        <v>178</v>
      </c>
      <c r="CD189" s="72">
        <f>AK189</f>
        <v>186</v>
      </c>
      <c r="CE189" s="71">
        <f>AO189</f>
        <v>228</v>
      </c>
      <c r="CF189" s="72">
        <f>AS189</f>
        <v>268</v>
      </c>
      <c r="CG189" s="71" t="str">
        <f>AW189</f>
        <v>-</v>
      </c>
      <c r="CH189" s="70">
        <f>G189</f>
        <v>60</v>
      </c>
      <c r="CI189" s="71" t="str">
        <f>K189</f>
        <v>-</v>
      </c>
      <c r="CJ189" s="72">
        <f>O189</f>
        <v>90</v>
      </c>
      <c r="CK189" s="72">
        <f>S189</f>
        <v>96</v>
      </c>
      <c r="CL189" s="72">
        <f>W189</f>
        <v>132</v>
      </c>
      <c r="CM189" s="72">
        <f>AA189</f>
        <v>140</v>
      </c>
      <c r="CN189" s="72">
        <f>AE189</f>
        <v>165</v>
      </c>
      <c r="CO189" s="72">
        <f>AI189</f>
        <v>180</v>
      </c>
      <c r="CP189" s="72">
        <f>AM189</f>
        <v>224</v>
      </c>
      <c r="CQ189" s="72">
        <f>AQ189</f>
        <v>260</v>
      </c>
      <c r="CR189" s="72">
        <f>AU189</f>
        <v>300</v>
      </c>
      <c r="CS189" s="72" t="str">
        <f>AY189</f>
        <v>-</v>
      </c>
      <c r="CT189" s="23" t="e">
        <f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>CONCATENATE(B190,"_",C190)</f>
        <v>ccr5_human_6MET</v>
      </c>
      <c r="B190" s="3" t="s">
        <v>173</v>
      </c>
      <c r="C190" s="3" t="s">
        <v>1536</v>
      </c>
      <c r="D190" s="3" t="str">
        <f>IFERROR(MID(VLOOKUP($B190,Seqs!$A:$B,2,0),E190,1),"")</f>
        <v>K</v>
      </c>
      <c r="E190" s="3">
        <v>26</v>
      </c>
      <c r="F190" s="3" t="str">
        <f>IFERROR(MID(VLOOKUP($B190,Seqs!$A:$B,2,0),G190,1),"")</f>
        <v>R</v>
      </c>
      <c r="G190" s="3">
        <v>60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S</v>
      </c>
      <c r="M190" s="3">
        <v>63</v>
      </c>
      <c r="N190" s="3" t="str">
        <f>IFERROR(MID(VLOOKUP($B190,Seqs!$A:$B,2,0),O190,1),"")</f>
        <v>A</v>
      </c>
      <c r="O190" s="3">
        <v>90</v>
      </c>
      <c r="P190" s="3" t="str">
        <f>IFERROR(MID(VLOOKUP($B190,Seqs!$A:$B,2,0),Q190,1),"")</f>
        <v>Q</v>
      </c>
      <c r="Q190" s="3">
        <v>93</v>
      </c>
      <c r="R190" s="3" t="str">
        <f>IFERROR(MID(VLOOKUP($B190,Seqs!$A:$B,2,0),S190,1),"")</f>
        <v>F</v>
      </c>
      <c r="S190" s="3">
        <v>96</v>
      </c>
      <c r="T190" s="3" t="str">
        <f>IFERROR(MID(VLOOKUP($B190,Seqs!$A:$B,2,0),U190,1),"")</f>
        <v>M</v>
      </c>
      <c r="U190" s="3">
        <v>100</v>
      </c>
      <c r="V190" s="3" t="str">
        <f>IFERROR(MID(VLOOKUP($B190,Seqs!$A:$B,2,0),W190,1),"")</f>
        <v>H</v>
      </c>
      <c r="W190" s="3">
        <v>132</v>
      </c>
      <c r="X190" s="3" t="str">
        <f>IFERROR(MID(VLOOKUP($B190,Seqs!$A:$B,2,0),Y190,1),"")</f>
        <v>A</v>
      </c>
      <c r="Y190" s="3">
        <v>133</v>
      </c>
      <c r="Z190" s="3" t="str">
        <f>IFERROR(MID(VLOOKUP($B190,Seqs!$A:$B,2,0),AA190,1),"")</f>
        <v>R</v>
      </c>
      <c r="AA190" s="3">
        <v>140</v>
      </c>
      <c r="AB190" s="3" t="str">
        <f>IFERROR(MID(VLOOKUP($B190,Seqs!$A:$B,2,0),AC190,1),"")</f>
        <v>T</v>
      </c>
      <c r="AC190" s="3">
        <v>141</v>
      </c>
      <c r="AD190" s="3" t="str">
        <f>IFERROR(MID(VLOOKUP($B190,Seqs!$A:$B,2,0),AE190,1),"")</f>
        <v>I</v>
      </c>
      <c r="AE190" s="3">
        <v>165</v>
      </c>
      <c r="AF190" s="3" t="str">
        <f>IFERROR(MID(VLOOKUP($B190,Seqs!$A:$B,2,0),AG190,1),"")</f>
        <v>C</v>
      </c>
      <c r="AG190" s="3">
        <v>178</v>
      </c>
      <c r="AH190" s="3" t="str">
        <f>IFERROR(MID(VLOOKUP($B190,Seqs!$A:$B,2,0),AI190,1),"")</f>
        <v>S</v>
      </c>
      <c r="AI190" s="3">
        <v>180</v>
      </c>
      <c r="AJ190" s="3" t="str">
        <f>IFERROR(MID(VLOOKUP($B190,Seqs!$A:$B,2,0),AK190,1),"")</f>
        <v>Q</v>
      </c>
      <c r="AK190" s="3">
        <v>186</v>
      </c>
      <c r="AL190" s="3" t="str">
        <f>IFERROR(MID(VLOOKUP($B190,Seqs!$A:$B,2,0),AM190,1),"")</f>
        <v>C</v>
      </c>
      <c r="AM190" s="3">
        <v>224</v>
      </c>
      <c r="AN190" s="3" t="str">
        <f>IFERROR(MID(VLOOKUP($B190,Seqs!$A:$B,2,0),AO190,1),"")</f>
        <v>K</v>
      </c>
      <c r="AO190" s="3">
        <v>228</v>
      </c>
      <c r="AP190" s="3" t="str">
        <f>IFERROR(MID(VLOOKUP($B190,Seqs!$A:$B,2,0),AQ190,1),"")</f>
        <v>F</v>
      </c>
      <c r="AQ190" s="3">
        <v>260</v>
      </c>
      <c r="AR190" s="3" t="str">
        <f>IFERROR(MID(VLOOKUP($B190,Seqs!$A:$B,2,0),AS190,1),"")</f>
        <v>N</v>
      </c>
      <c r="AS190" s="3">
        <v>268</v>
      </c>
      <c r="AT190" s="3" t="str">
        <f>IFERROR(MID(VLOOKUP($B190,Seqs!$A:$B,2,0),AU190,1),"")</f>
        <v>V</v>
      </c>
      <c r="AU190" s="3">
        <v>300</v>
      </c>
      <c r="AV190" s="3" t="str">
        <f>IFERROR(MID(VLOOKUP($B190,Seqs!$A:$B,2,0),AW190,1),"")</f>
        <v/>
      </c>
      <c r="AW190" s="3" t="s">
        <v>23</v>
      </c>
      <c r="AX190" s="3" t="str">
        <f>IFERROR(MID(VLOOKUP($B190,Seqs!$A:$B,2,0),AY190,1),"")</f>
        <v/>
      </c>
      <c r="AY190" s="3" t="s">
        <v>23</v>
      </c>
      <c r="AZ190" s="77" t="str">
        <f>VLOOKUP(B190,Classification!A:D,2,0)</f>
        <v>A</v>
      </c>
      <c r="BA190" s="94" t="str">
        <f>VLOOKUP(B190,Classification!A:D,4,0)</f>
        <v>Chemokine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243</v>
      </c>
      <c r="BD190" s="2" t="s">
        <v>23</v>
      </c>
      <c r="BE190" s="3" t="s">
        <v>1370</v>
      </c>
      <c r="BF190" s="118">
        <v>4.5</v>
      </c>
      <c r="BG190" s="49" t="s">
        <v>1277</v>
      </c>
      <c r="BH190" s="49" t="s">
        <v>1277</v>
      </c>
      <c r="BI190" s="1"/>
      <c r="BJ190" s="70" t="s">
        <v>1283</v>
      </c>
      <c r="BK190" s="57" t="s">
        <v>1283</v>
      </c>
      <c r="BL190" s="57" t="s">
        <v>1283</v>
      </c>
      <c r="BM190" s="57" t="s">
        <v>1283</v>
      </c>
      <c r="BN190" s="57" t="s">
        <v>1283</v>
      </c>
      <c r="BO190" s="57" t="s">
        <v>1283</v>
      </c>
      <c r="BP190" s="57" t="s">
        <v>1283</v>
      </c>
      <c r="BQ190" s="57" t="s">
        <v>1283</v>
      </c>
      <c r="BR190" s="57" t="s">
        <v>1283</v>
      </c>
      <c r="BS190" s="57" t="s">
        <v>1283</v>
      </c>
      <c r="BT190" s="57" t="s">
        <v>1283</v>
      </c>
      <c r="BU190" s="57" t="s">
        <v>1283</v>
      </c>
      <c r="BV190" s="70">
        <f>E190</f>
        <v>26</v>
      </c>
      <c r="BW190" s="71" t="str">
        <f>I190</f>
        <v>-</v>
      </c>
      <c r="BX190" s="72">
        <f>M190</f>
        <v>63</v>
      </c>
      <c r="BY190" s="71">
        <f>Q190</f>
        <v>93</v>
      </c>
      <c r="BZ190" s="72">
        <f>U190</f>
        <v>100</v>
      </c>
      <c r="CA190" s="71">
        <f>Y190</f>
        <v>133</v>
      </c>
      <c r="CB190" s="72">
        <f>AC190</f>
        <v>141</v>
      </c>
      <c r="CC190" s="71">
        <f>AG190</f>
        <v>178</v>
      </c>
      <c r="CD190" s="72">
        <f>AK190</f>
        <v>186</v>
      </c>
      <c r="CE190" s="71">
        <f>AO190</f>
        <v>228</v>
      </c>
      <c r="CF190" s="72">
        <f>AS190</f>
        <v>268</v>
      </c>
      <c r="CG190" s="71" t="str">
        <f>AW190</f>
        <v>-</v>
      </c>
      <c r="CH190" s="70">
        <f>G190</f>
        <v>60</v>
      </c>
      <c r="CI190" s="71" t="str">
        <f>K190</f>
        <v>-</v>
      </c>
      <c r="CJ190" s="72">
        <f>O190</f>
        <v>90</v>
      </c>
      <c r="CK190" s="72">
        <f>S190</f>
        <v>96</v>
      </c>
      <c r="CL190" s="72">
        <f>W190</f>
        <v>132</v>
      </c>
      <c r="CM190" s="72">
        <f>AA190</f>
        <v>140</v>
      </c>
      <c r="CN190" s="72">
        <f>AE190</f>
        <v>165</v>
      </c>
      <c r="CO190" s="72">
        <f>AI190</f>
        <v>180</v>
      </c>
      <c r="CP190" s="72">
        <f>AM190</f>
        <v>224</v>
      </c>
      <c r="CQ190" s="72">
        <f>AQ190</f>
        <v>260</v>
      </c>
      <c r="CR190" s="72">
        <f>AU190</f>
        <v>300</v>
      </c>
      <c r="CS190" s="72" t="str">
        <f>AY190</f>
        <v>-</v>
      </c>
      <c r="CT190" s="23" t="e">
        <f>M190-K190</f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s="12" customFormat="1" x14ac:dyDescent="0.2">
      <c r="A191" s="9" t="str">
        <f t="shared" ref="A191:A192" si="1568">CONCATENATE(B191,"_",C191)</f>
        <v>ccr6_human__wt</v>
      </c>
      <c r="B191" s="9" t="s">
        <v>174</v>
      </c>
      <c r="C191" s="9" t="s">
        <v>100</v>
      </c>
      <c r="D191" s="9" t="str">
        <f>IFERROR(MID(VLOOKUP($B191,Seqs!$A:$B,2,0),E191,1),"")</f>
        <v>Q</v>
      </c>
      <c r="E191" s="9">
        <v>39</v>
      </c>
      <c r="F191" s="9" t="str">
        <f>IFERROR(MID(VLOOKUP($B191,Seqs!$A:$B,2,0),G191,1),"")</f>
        <v>Y</v>
      </c>
      <c r="G191" s="9">
        <v>74</v>
      </c>
      <c r="H191" s="9" t="str">
        <f>IFERROR(MID(VLOOKUP($B191,Seqs!$A:$B,2,0),I191,1),"")</f>
        <v>K</v>
      </c>
      <c r="I191" s="109">
        <v>75</v>
      </c>
      <c r="J191" s="9" t="str">
        <f>IFERROR(MID(VLOOKUP($B191,Seqs!$A:$B,2,0),K191,1),"")</f>
        <v>R</v>
      </c>
      <c r="K191" s="109">
        <v>78</v>
      </c>
      <c r="L191" s="9" t="str">
        <f>IFERROR(MID(VLOOKUP($B191,Seqs!$A:$B,2,0),M191,1),"")</f>
        <v>S</v>
      </c>
      <c r="M191" s="9">
        <v>79</v>
      </c>
      <c r="N191" s="9" t="str">
        <f>IFERROR(MID(VLOOKUP($B191,Seqs!$A:$B,2,0),O191,1),"")</f>
        <v>G</v>
      </c>
      <c r="O191" s="9">
        <v>109</v>
      </c>
      <c r="P191" s="9" t="str">
        <f>IFERROR(MID(VLOOKUP($B191,Seqs!$A:$B,2,0),Q191,1),"")</f>
        <v>A</v>
      </c>
      <c r="Q191" s="9">
        <v>110</v>
      </c>
      <c r="R191" s="9" t="str">
        <f>IFERROR(MID(VLOOKUP($B191,Seqs!$A:$B,2,0),S191,1),"")</f>
        <v>F</v>
      </c>
      <c r="S191" s="9">
        <v>113</v>
      </c>
      <c r="T191" s="9" t="str">
        <f>IFERROR(MID(VLOOKUP($B191,Seqs!$A:$B,2,0),U191,1),"")</f>
        <v>S</v>
      </c>
      <c r="U191" s="9">
        <v>114</v>
      </c>
      <c r="V191" s="9" t="str">
        <f>IFERROR(MID(VLOOKUP($B191,Seqs!$A:$B,2,0),W191,1),"")</f>
        <v>Q</v>
      </c>
      <c r="W191" s="9">
        <v>149</v>
      </c>
      <c r="X191" s="9" t="str">
        <f>IFERROR(MID(VLOOKUP($B191,Seqs!$A:$B,2,0),Y191,1),"")</f>
        <v>A</v>
      </c>
      <c r="Y191" s="9">
        <v>150</v>
      </c>
      <c r="Z191" s="9" t="str">
        <f>IFERROR(MID(VLOOKUP($B191,Seqs!$A:$B,2,0),AA191,1),"")</f>
        <v>L</v>
      </c>
      <c r="AA191" s="9">
        <v>156</v>
      </c>
      <c r="AB191" s="9" t="str">
        <f>IFERROR(MID(VLOOKUP($B191,Seqs!$A:$B,2,0),AC191,1),"")</f>
        <v>T</v>
      </c>
      <c r="AC191" s="9">
        <v>160</v>
      </c>
      <c r="AD191" s="9" t="str">
        <f>IFERROR(MID(VLOOKUP($B191,Seqs!$A:$B,2,0),AE191,1),"")</f>
        <v>N</v>
      </c>
      <c r="AE191" s="9">
        <v>186</v>
      </c>
      <c r="AF191" s="9" t="str">
        <f>IFERROR(MID(VLOOKUP($B191,Seqs!$A:$B,2,0),AG191,1),"")</f>
        <v>C</v>
      </c>
      <c r="AG191" s="9">
        <v>197</v>
      </c>
      <c r="AH191" s="9" t="str">
        <f>IFERROR(MID(VLOOKUP($B191,Seqs!$A:$B,2,0),AI191,1),"")</f>
        <v>P</v>
      </c>
      <c r="AI191" s="9">
        <v>199</v>
      </c>
      <c r="AJ191" s="9" t="str">
        <f>IFERROR(MID(VLOOKUP($B191,Seqs!$A:$B,2,0),AK191,1),"")</f>
        <v>P</v>
      </c>
      <c r="AK191" s="9">
        <v>207</v>
      </c>
      <c r="AL191" s="9" t="str">
        <f>IFERROR(MID(VLOOKUP($B191,Seqs!$A:$B,2,0),AM191,1),"")</f>
        <v>I</v>
      </c>
      <c r="AM191" s="9">
        <v>225</v>
      </c>
      <c r="AN191" s="9" t="str">
        <f>IFERROR(MID(VLOOKUP($B191,Seqs!$A:$B,2,0),AO191,1),"")</f>
        <v>R</v>
      </c>
      <c r="AO191" s="9">
        <v>249</v>
      </c>
      <c r="AP191" s="9" t="str">
        <f>IFERROR(MID(VLOOKUP($B191,Seqs!$A:$B,2,0),AQ191,1),"")</f>
        <v>A</v>
      </c>
      <c r="AQ191" s="9">
        <v>279</v>
      </c>
      <c r="AR191" s="9" t="str">
        <f>IFERROR(MID(VLOOKUP($B191,Seqs!$A:$B,2,0),AS191,1),"")</f>
        <v>S</v>
      </c>
      <c r="AS191" s="9">
        <v>287</v>
      </c>
      <c r="AT191" s="9" t="str">
        <f>IFERROR(MID(VLOOKUP($B191,Seqs!$A:$B,2,0),AU191,1),"")</f>
        <v>I</v>
      </c>
      <c r="AU191" s="9">
        <v>319</v>
      </c>
      <c r="AV191" s="9" t="str">
        <f>IFERROR(MID(VLOOKUP($B191,Seqs!$A:$B,2,0),AW191,1),"")</f>
        <v>G</v>
      </c>
      <c r="AW191" s="9">
        <v>320</v>
      </c>
      <c r="AX191" s="9" t="str">
        <f>IFERROR(MID(VLOOKUP($B191,Seqs!$A:$B,2,0),AY191,1),"")</f>
        <v>W</v>
      </c>
      <c r="AY191" s="9">
        <v>335</v>
      </c>
      <c r="AZ191" s="110" t="str">
        <f>VLOOKUP(B191,Classification!A:D,2,0)</f>
        <v>A</v>
      </c>
      <c r="BA191" s="98" t="str">
        <f>VLOOKUP(B191,Classification!A:D,4,0)</f>
        <v>Chemokine</v>
      </c>
      <c r="BB191" s="36" t="b">
        <f t="shared" ref="BB191:BB192" si="1569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:BC192" si="1570">_xlfn.AGGREGATE(9,6,CH191:CS191)-_xlfn.AGGREGATE(9,6,BV191:CG191)+12</f>
        <v>247</v>
      </c>
      <c r="BD191" s="40" t="s">
        <v>23</v>
      </c>
      <c r="BE191" s="9" t="s">
        <v>23</v>
      </c>
      <c r="BF191" s="119" t="s">
        <v>23</v>
      </c>
      <c r="BG191" s="51" t="s">
        <v>23</v>
      </c>
      <c r="BH191" s="51" t="s">
        <v>23</v>
      </c>
      <c r="BJ191" s="111" t="s">
        <v>1283</v>
      </c>
      <c r="BK191" s="112" t="s">
        <v>1283</v>
      </c>
      <c r="BL191" s="112" t="s">
        <v>1283</v>
      </c>
      <c r="BM191" s="112" t="s">
        <v>1283</v>
      </c>
      <c r="BN191" s="112" t="s">
        <v>1283</v>
      </c>
      <c r="BO191" s="112" t="s">
        <v>1283</v>
      </c>
      <c r="BP191" s="112" t="s">
        <v>1283</v>
      </c>
      <c r="BQ191" s="112" t="s">
        <v>1283</v>
      </c>
      <c r="BR191" s="112" t="s">
        <v>1283</v>
      </c>
      <c r="BS191" s="112" t="s">
        <v>1283</v>
      </c>
      <c r="BT191" s="112" t="s">
        <v>1283</v>
      </c>
      <c r="BU191" s="112" t="s">
        <v>1283</v>
      </c>
      <c r="BV191" s="111">
        <f t="shared" ref="BV191:BV192" si="1571">E191</f>
        <v>39</v>
      </c>
      <c r="BW191" s="113">
        <f t="shared" ref="BW191:BW192" si="1572">I191</f>
        <v>75</v>
      </c>
      <c r="BX191" s="114">
        <f t="shared" ref="BX191:BX192" si="1573">M191</f>
        <v>79</v>
      </c>
      <c r="BY191" s="113">
        <f t="shared" ref="BY191:BY192" si="1574">Q191</f>
        <v>110</v>
      </c>
      <c r="BZ191" s="114">
        <f t="shared" ref="BZ191:BZ192" si="1575">U191</f>
        <v>114</v>
      </c>
      <c r="CA191" s="113">
        <f t="shared" ref="CA191:CA192" si="1576">Y191</f>
        <v>150</v>
      </c>
      <c r="CB191" s="114">
        <f t="shared" ref="CB191:CB192" si="1577">AC191</f>
        <v>160</v>
      </c>
      <c r="CC191" s="113">
        <f t="shared" ref="CC191:CC192" si="1578">AG191</f>
        <v>197</v>
      </c>
      <c r="CD191" s="114">
        <f t="shared" ref="CD191:CD192" si="1579">AK191</f>
        <v>207</v>
      </c>
      <c r="CE191" s="113">
        <f t="shared" ref="CE191:CE192" si="1580">AO191</f>
        <v>249</v>
      </c>
      <c r="CF191" s="114">
        <f t="shared" ref="CF191:CF192" si="1581">AS191</f>
        <v>287</v>
      </c>
      <c r="CG191" s="113">
        <f t="shared" ref="CG191:CG192" si="1582">AW191</f>
        <v>320</v>
      </c>
      <c r="CH191" s="111">
        <f t="shared" ref="CH191:CH192" si="1583">G191</f>
        <v>74</v>
      </c>
      <c r="CI191" s="113">
        <f t="shared" ref="CI191:CI192" si="1584">K191</f>
        <v>78</v>
      </c>
      <c r="CJ191" s="114">
        <f t="shared" ref="CJ191:CJ192" si="1585">O191</f>
        <v>109</v>
      </c>
      <c r="CK191" s="114">
        <f t="shared" ref="CK191:CK192" si="1586">S191</f>
        <v>113</v>
      </c>
      <c r="CL191" s="114">
        <f t="shared" ref="CL191:CL192" si="1587">W191</f>
        <v>149</v>
      </c>
      <c r="CM191" s="114">
        <f t="shared" ref="CM191:CM192" si="1588">AA191</f>
        <v>156</v>
      </c>
      <c r="CN191" s="114">
        <f t="shared" ref="CN191:CN192" si="1589">AE191</f>
        <v>186</v>
      </c>
      <c r="CO191" s="114">
        <f t="shared" ref="CO191:CO192" si="1590">AI191</f>
        <v>199</v>
      </c>
      <c r="CP191" s="114">
        <f t="shared" ref="CP191:CP192" si="1591">AM191</f>
        <v>225</v>
      </c>
      <c r="CQ191" s="114">
        <f t="shared" ref="CQ191:CQ192" si="1592">AQ191</f>
        <v>279</v>
      </c>
      <c r="CR191" s="114">
        <f t="shared" ref="CR191:CR192" si="1593">AU191</f>
        <v>319</v>
      </c>
      <c r="CS191" s="114">
        <f t="shared" ref="CS191:CS192" si="1594">AY191</f>
        <v>335</v>
      </c>
      <c r="CT191" s="109">
        <f t="shared" ref="CT191:CT192" si="1595">M191-K191</f>
        <v>1</v>
      </c>
    </row>
    <row r="192" spans="1:1030" s="12" customFormat="1" x14ac:dyDescent="0.2">
      <c r="A192" s="9" t="str">
        <f t="shared" si="1568"/>
        <v>ccr6_human_6WWZ</v>
      </c>
      <c r="B192" s="9" t="s">
        <v>174</v>
      </c>
      <c r="C192" s="9" t="s">
        <v>1685</v>
      </c>
      <c r="D192" s="9" t="str">
        <f>IFERROR(MID(VLOOKUP($B192,Seqs!$A:$B,2,0),E192,1),"")</f>
        <v>Q</v>
      </c>
      <c r="E192" s="9">
        <v>39</v>
      </c>
      <c r="F192" s="9" t="str">
        <f>IFERROR(MID(VLOOKUP($B192,Seqs!$A:$B,2,0),G192,1),"")</f>
        <v>Y</v>
      </c>
      <c r="G192" s="9">
        <v>74</v>
      </c>
      <c r="H192" s="9" t="str">
        <f>IFERROR(MID(VLOOKUP($B192,Seqs!$A:$B,2,0),I192,1),"")</f>
        <v>K</v>
      </c>
      <c r="I192" s="109">
        <v>75</v>
      </c>
      <c r="J192" s="9" t="str">
        <f>IFERROR(MID(VLOOKUP($B192,Seqs!$A:$B,2,0),K192,1),"")</f>
        <v>R</v>
      </c>
      <c r="K192" s="109">
        <v>78</v>
      </c>
      <c r="L192" s="9" t="str">
        <f>IFERROR(MID(VLOOKUP($B192,Seqs!$A:$B,2,0),M192,1),"")</f>
        <v>S</v>
      </c>
      <c r="M192" s="9">
        <v>79</v>
      </c>
      <c r="N192" s="9" t="str">
        <f>IFERROR(MID(VLOOKUP($B192,Seqs!$A:$B,2,0),O192,1),"")</f>
        <v>G</v>
      </c>
      <c r="O192" s="9">
        <v>109</v>
      </c>
      <c r="P192" s="9" t="str">
        <f>IFERROR(MID(VLOOKUP($B192,Seqs!$A:$B,2,0),Q192,1),"")</f>
        <v>A</v>
      </c>
      <c r="Q192" s="9">
        <v>110</v>
      </c>
      <c r="R192" s="9" t="str">
        <f>IFERROR(MID(VLOOKUP($B192,Seqs!$A:$B,2,0),S192,1),"")</f>
        <v>F</v>
      </c>
      <c r="S192" s="9">
        <v>113</v>
      </c>
      <c r="T192" s="9" t="str">
        <f>IFERROR(MID(VLOOKUP($B192,Seqs!$A:$B,2,0),U192,1),"")</f>
        <v>S</v>
      </c>
      <c r="U192" s="9">
        <v>114</v>
      </c>
      <c r="V192" s="9" t="str">
        <f>IFERROR(MID(VLOOKUP($B192,Seqs!$A:$B,2,0),W192,1),"")</f>
        <v>V</v>
      </c>
      <c r="W192" s="9">
        <v>148</v>
      </c>
      <c r="X192" s="9" t="str">
        <f>IFERROR(MID(VLOOKUP($B192,Seqs!$A:$B,2,0),Y192,1),"")</f>
        <v>A</v>
      </c>
      <c r="Y192" s="9">
        <v>150</v>
      </c>
      <c r="Z192" s="9" t="str">
        <f>IFERROR(MID(VLOOKUP($B192,Seqs!$A:$B,2,0),AA192,1),"")</f>
        <v>L</v>
      </c>
      <c r="AA192" s="9">
        <v>156</v>
      </c>
      <c r="AB192" s="9" t="str">
        <f>IFERROR(MID(VLOOKUP($B192,Seqs!$A:$B,2,0),AC192,1),"")</f>
        <v>L</v>
      </c>
      <c r="AC192" s="9">
        <v>161</v>
      </c>
      <c r="AD192" s="9" t="str">
        <f>IFERROR(MID(VLOOKUP($B192,Seqs!$A:$B,2,0),AE192,1),"")</f>
        <v>N</v>
      </c>
      <c r="AE192" s="9">
        <v>186</v>
      </c>
      <c r="AF192" s="9" t="str">
        <f>IFERROR(MID(VLOOKUP($B192,Seqs!$A:$B,2,0),AG192,1),"")</f>
        <v>C</v>
      </c>
      <c r="AG192" s="9">
        <v>197</v>
      </c>
      <c r="AH192" s="9" t="str">
        <f>IFERROR(MID(VLOOKUP($B192,Seqs!$A:$B,2,0),AI192,1),"")</f>
        <v>P</v>
      </c>
      <c r="AI192" s="9">
        <v>199</v>
      </c>
      <c r="AJ192" s="9" t="str">
        <f>IFERROR(MID(VLOOKUP($B192,Seqs!$A:$B,2,0),AK192,1),"")</f>
        <v>P</v>
      </c>
      <c r="AK192" s="9">
        <v>207</v>
      </c>
      <c r="AL192" s="9" t="str">
        <f>IFERROR(MID(VLOOKUP($B192,Seqs!$A:$B,2,0),AM192,1),"")</f>
        <v>A</v>
      </c>
      <c r="AM192" s="9">
        <v>244</v>
      </c>
      <c r="AN192" s="9" t="str">
        <f>IFERROR(MID(VLOOKUP($B192,Seqs!$A:$B,2,0),AO192,1),"")</f>
        <v>R</v>
      </c>
      <c r="AO192" s="9">
        <v>249</v>
      </c>
      <c r="AP192" s="9" t="str">
        <f>IFERROR(MID(VLOOKUP($B192,Seqs!$A:$B,2,0),AQ192,1),"")</f>
        <v>A</v>
      </c>
      <c r="AQ192" s="9">
        <v>279</v>
      </c>
      <c r="AR192" s="9" t="str">
        <f>IFERROR(MID(VLOOKUP($B192,Seqs!$A:$B,2,0),AS192,1),"")</f>
        <v>S</v>
      </c>
      <c r="AS192" s="9">
        <v>287</v>
      </c>
      <c r="AT192" s="9" t="str">
        <f>IFERROR(MID(VLOOKUP($B192,Seqs!$A:$B,2,0),AU192,1),"")</f>
        <v>I</v>
      </c>
      <c r="AU192" s="9">
        <v>319</v>
      </c>
      <c r="AV192" s="9" t="str">
        <f>IFERROR(MID(VLOOKUP($B192,Seqs!$A:$B,2,0),AW192,1),"")</f>
        <v>G</v>
      </c>
      <c r="AW192" s="9">
        <v>320</v>
      </c>
      <c r="AX192" s="9" t="str">
        <f>IFERROR(MID(VLOOKUP($B192,Seqs!$A:$B,2,0),AY192,1),"")</f>
        <v>W</v>
      </c>
      <c r="AY192" s="9">
        <v>335</v>
      </c>
      <c r="AZ192" s="110" t="str">
        <f>VLOOKUP(B192,Classification!A:D,2,0)</f>
        <v>A</v>
      </c>
      <c r="BA192" s="98" t="str">
        <f>VLOOKUP(B192,Classification!A:D,4,0)</f>
        <v>Chemokine</v>
      </c>
      <c r="BB192" s="36" t="b">
        <f t="shared" si="1569"/>
        <v>1</v>
      </c>
      <c r="BC192" s="109">
        <f t="shared" si="1570"/>
        <v>264</v>
      </c>
      <c r="BD192" s="40" t="s">
        <v>1371</v>
      </c>
      <c r="BE192" s="9" t="s">
        <v>1287</v>
      </c>
      <c r="BF192" s="119">
        <v>3.34</v>
      </c>
      <c r="BG192" s="51" t="s">
        <v>1418</v>
      </c>
      <c r="BH192" s="51" t="s">
        <v>1418</v>
      </c>
      <c r="BJ192" s="111" t="s">
        <v>1283</v>
      </c>
      <c r="BK192" s="112" t="s">
        <v>1283</v>
      </c>
      <c r="BL192" s="112" t="s">
        <v>1283</v>
      </c>
      <c r="BM192" s="112" t="s">
        <v>1283</v>
      </c>
      <c r="BN192" s="112" t="s">
        <v>1283</v>
      </c>
      <c r="BO192" s="112" t="s">
        <v>1283</v>
      </c>
      <c r="BP192" s="112" t="s">
        <v>1283</v>
      </c>
      <c r="BQ192" s="112" t="s">
        <v>1283</v>
      </c>
      <c r="BR192" s="112" t="s">
        <v>1283</v>
      </c>
      <c r="BS192" s="112" t="s">
        <v>1283</v>
      </c>
      <c r="BT192" s="112" t="s">
        <v>1283</v>
      </c>
      <c r="BU192" s="112" t="s">
        <v>1283</v>
      </c>
      <c r="BV192" s="111">
        <f t="shared" si="1571"/>
        <v>39</v>
      </c>
      <c r="BW192" s="113">
        <f t="shared" si="1572"/>
        <v>75</v>
      </c>
      <c r="BX192" s="114">
        <f t="shared" si="1573"/>
        <v>79</v>
      </c>
      <c r="BY192" s="113">
        <f t="shared" si="1574"/>
        <v>110</v>
      </c>
      <c r="BZ192" s="114">
        <f t="shared" si="1575"/>
        <v>114</v>
      </c>
      <c r="CA192" s="113">
        <f t="shared" si="1576"/>
        <v>150</v>
      </c>
      <c r="CB192" s="114">
        <f t="shared" si="1577"/>
        <v>161</v>
      </c>
      <c r="CC192" s="113">
        <f t="shared" si="1578"/>
        <v>197</v>
      </c>
      <c r="CD192" s="114">
        <f t="shared" si="1579"/>
        <v>207</v>
      </c>
      <c r="CE192" s="113">
        <f t="shared" si="1580"/>
        <v>249</v>
      </c>
      <c r="CF192" s="114">
        <f t="shared" si="1581"/>
        <v>287</v>
      </c>
      <c r="CG192" s="113">
        <f t="shared" si="1582"/>
        <v>320</v>
      </c>
      <c r="CH192" s="111">
        <f t="shared" si="1583"/>
        <v>74</v>
      </c>
      <c r="CI192" s="113">
        <f t="shared" si="1584"/>
        <v>78</v>
      </c>
      <c r="CJ192" s="114">
        <f t="shared" si="1585"/>
        <v>109</v>
      </c>
      <c r="CK192" s="114">
        <f t="shared" si="1586"/>
        <v>113</v>
      </c>
      <c r="CL192" s="114">
        <f t="shared" si="1587"/>
        <v>148</v>
      </c>
      <c r="CM192" s="114">
        <f t="shared" si="1588"/>
        <v>156</v>
      </c>
      <c r="CN192" s="114">
        <f t="shared" si="1589"/>
        <v>186</v>
      </c>
      <c r="CO192" s="114">
        <f t="shared" si="1590"/>
        <v>199</v>
      </c>
      <c r="CP192" s="114">
        <f t="shared" si="1591"/>
        <v>244</v>
      </c>
      <c r="CQ192" s="114">
        <f t="shared" si="1592"/>
        <v>279</v>
      </c>
      <c r="CR192" s="114">
        <f t="shared" si="1593"/>
        <v>319</v>
      </c>
      <c r="CS192" s="114">
        <f t="shared" si="1594"/>
        <v>335</v>
      </c>
      <c r="CT192" s="109">
        <f t="shared" si="1595"/>
        <v>1</v>
      </c>
    </row>
    <row r="193" spans="1:1030" x14ac:dyDescent="0.2">
      <c r="A193" s="3" t="str">
        <f t="shared" ref="A193:A194" si="1596">CONCATENATE(B193,"_",C193)</f>
        <v>ccr7_human__wt</v>
      </c>
      <c r="B193" s="3" t="s">
        <v>175</v>
      </c>
      <c r="C193" s="3" t="s">
        <v>100</v>
      </c>
      <c r="D193" s="3" t="str">
        <f>IFERROR(MID(VLOOKUP($B193,Seqs!$A:$B,2,0),E193,1),"")</f>
        <v>N</v>
      </c>
      <c r="E193" s="3">
        <v>55</v>
      </c>
      <c r="F193" s="3" t="str">
        <f>IFERROR(MID(VLOOKUP($B193,Seqs!$A:$B,2,0),G193,1),"")</f>
        <v>F</v>
      </c>
      <c r="G193" s="3">
        <v>86</v>
      </c>
      <c r="H193" s="3" t="str">
        <f>IFERROR(MID(VLOOKUP($B193,Seqs!$A:$B,2,0),I193,1),"")</f>
        <v>K</v>
      </c>
      <c r="I193" s="23">
        <v>87</v>
      </c>
      <c r="J193" s="3" t="str">
        <f>IFERROR(MID(VLOOKUP($B193,Seqs!$A:$B,2,0),K193,1),"")</f>
        <v>K</v>
      </c>
      <c r="K193" s="23">
        <v>90</v>
      </c>
      <c r="L193" s="3" t="str">
        <f>IFERROR(MID(VLOOKUP($B193,Seqs!$A:$B,2,0),M193,1),"")</f>
        <v>T</v>
      </c>
      <c r="M193" s="3">
        <v>91</v>
      </c>
      <c r="N193" s="3" t="str">
        <f>IFERROR(MID(VLOOKUP($B193,Seqs!$A:$B,2,0),O193,1),"")</f>
        <v>K</v>
      </c>
      <c r="O193" s="3">
        <v>120</v>
      </c>
      <c r="P193" s="3" t="str">
        <f>IFERROR(MID(VLOOKUP($B193,Seqs!$A:$B,2,0),Q193,1),"")</f>
        <v>S</v>
      </c>
      <c r="Q193" s="3">
        <v>121</v>
      </c>
      <c r="R193" s="3" t="str">
        <f>IFERROR(MID(VLOOKUP($B193,Seqs!$A:$B,2,0),S193,1),"")</f>
        <v>F</v>
      </c>
      <c r="S193" s="3">
        <v>124</v>
      </c>
      <c r="T193" s="3" t="str">
        <f>IFERROR(MID(VLOOKUP($B193,Seqs!$A:$B,2,0),U193,1),"")</f>
        <v>G</v>
      </c>
      <c r="U193" s="3">
        <v>125</v>
      </c>
      <c r="V193" s="3" t="str">
        <f>IFERROR(MID(VLOOKUP($B193,Seqs!$A:$B,2,0),W193,1),"")</f>
        <v>Q</v>
      </c>
      <c r="W193" s="3">
        <v>160</v>
      </c>
      <c r="X193" s="3" t="str">
        <f>IFERROR(MID(VLOOKUP($B193,Seqs!$A:$B,2,0),Y193,1),"")</f>
        <v>A</v>
      </c>
      <c r="Y193" s="3">
        <v>161</v>
      </c>
      <c r="Z193" s="3" t="str">
        <f>IFERROR(MID(VLOOKUP($B193,Seqs!$A:$B,2,0),AA193,1),"")</f>
        <v>A</v>
      </c>
      <c r="AA193" s="3">
        <v>169</v>
      </c>
      <c r="AB193" s="3" t="str">
        <f>IFERROR(MID(VLOOKUP($B193,Seqs!$A:$B,2,0),AC193,1),"")</f>
        <v>V</v>
      </c>
      <c r="AC193" s="3">
        <v>171</v>
      </c>
      <c r="AD193" s="3" t="str">
        <f>IFERROR(MID(VLOOKUP($B193,Seqs!$A:$B,2,0),AE193,1),"")</f>
        <v>S</v>
      </c>
      <c r="AE193" s="3">
        <v>197</v>
      </c>
      <c r="AF193" s="3" t="str">
        <f>IFERROR(MID(VLOOKUP($B193,Seqs!$A:$B,2,0),AG193,1),"")</f>
        <v>C</v>
      </c>
      <c r="AG193" s="3">
        <v>210</v>
      </c>
      <c r="AH193" s="3" t="str">
        <f>IFERROR(MID(VLOOKUP($B193,Seqs!$A:$B,2,0),AI193,1),"")</f>
        <v>L</v>
      </c>
      <c r="AI193" s="3">
        <v>212</v>
      </c>
      <c r="AJ193" s="3" t="str">
        <f>IFERROR(MID(VLOOKUP($B193,Seqs!$A:$B,2,0),AK193,1),"")</f>
        <v>E</v>
      </c>
      <c r="AK193" s="3">
        <v>218</v>
      </c>
      <c r="AL193" s="3" t="str">
        <f>IFERROR(MID(VLOOKUP($B193,Seqs!$A:$B,2,0),AM193,1),"")</f>
        <v>A</v>
      </c>
      <c r="AM193" s="3">
        <v>253</v>
      </c>
      <c r="AN193" s="3" t="str">
        <f>IFERROR(MID(VLOOKUP($B193,Seqs!$A:$B,2,0),AO193,1),"")</f>
        <v>R</v>
      </c>
      <c r="AO193" s="3">
        <v>258</v>
      </c>
      <c r="AP193" s="3" t="str">
        <f>IFERROR(MID(VLOOKUP($B193,Seqs!$A:$B,2,0),AQ193,1),"")</f>
        <v>I</v>
      </c>
      <c r="AQ193" s="3">
        <v>293</v>
      </c>
      <c r="AR193" s="3" t="str">
        <f>IFERROR(MID(VLOOKUP($B193,Seqs!$A:$B,2,0),AS193,1),"")</f>
        <v>T</v>
      </c>
      <c r="AS193" s="3">
        <v>297</v>
      </c>
      <c r="AT193" s="3" t="str">
        <f>IFERROR(MID(VLOOKUP($B193,Seqs!$A:$B,2,0),AU193,1),"")</f>
        <v>I</v>
      </c>
      <c r="AU193" s="3">
        <v>329</v>
      </c>
      <c r="AV193" s="3" t="str">
        <f>IFERROR(MID(VLOOKUP($B193,Seqs!$A:$B,2,0),AW193,1),"")</f>
        <v>G</v>
      </c>
      <c r="AW193" s="3">
        <v>330</v>
      </c>
      <c r="AX193" s="3" t="str">
        <f>IFERROR(MID(VLOOKUP($B193,Seqs!$A:$B,2,0),AY193,1),"")</f>
        <v>K</v>
      </c>
      <c r="AY193" s="3">
        <v>342</v>
      </c>
      <c r="AZ193" s="77" t="str">
        <f>VLOOKUP(B193,Classification!A:D,2,0)</f>
        <v>A</v>
      </c>
      <c r="BA193" s="94" t="str">
        <f>VLOOKUP(B193,Classification!A:D,4,0)</f>
        <v>Chemokine</v>
      </c>
      <c r="BB193" s="27" t="b">
        <f t="shared" ref="BB193:BB194" si="1597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 t="shared" ref="BC193:BC194" si="1598">_xlfn.AGGREGATE(9,6,CH193:CS193)-_xlfn.AGGREGATE(9,6,BV193:CG193)+12</f>
        <v>263</v>
      </c>
      <c r="BD193" s="2" t="s">
        <v>23</v>
      </c>
      <c r="BE193" s="3" t="s">
        <v>1370</v>
      </c>
      <c r="BF193" s="118">
        <v>5.5</v>
      </c>
      <c r="BG193" s="49" t="s">
        <v>1277</v>
      </c>
      <c r="BH193" s="49" t="s">
        <v>1277</v>
      </c>
      <c r="BI193" s="1"/>
      <c r="BJ193" s="70" t="s">
        <v>1283</v>
      </c>
      <c r="BK193" s="57" t="s">
        <v>1283</v>
      </c>
      <c r="BL193" s="57" t="s">
        <v>1283</v>
      </c>
      <c r="BM193" s="57" t="s">
        <v>1283</v>
      </c>
      <c r="BN193" s="57" t="s">
        <v>1283</v>
      </c>
      <c r="BO193" s="57" t="s">
        <v>1283</v>
      </c>
      <c r="BP193" s="57" t="s">
        <v>1283</v>
      </c>
      <c r="BQ193" s="57" t="s">
        <v>1283</v>
      </c>
      <c r="BR193" s="57" t="s">
        <v>1283</v>
      </c>
      <c r="BS193" s="57" t="s">
        <v>1283</v>
      </c>
      <c r="BT193" s="57" t="s">
        <v>1283</v>
      </c>
      <c r="BU193" s="57" t="s">
        <v>1283</v>
      </c>
      <c r="BV193" s="70">
        <f t="shared" ref="BV193:BV194" si="1599">E193</f>
        <v>55</v>
      </c>
      <c r="BW193" s="71">
        <f t="shared" ref="BW193:BW194" si="1600">I193</f>
        <v>87</v>
      </c>
      <c r="BX193" s="72">
        <f t="shared" ref="BX193:BX194" si="1601">M193</f>
        <v>91</v>
      </c>
      <c r="BY193" s="71">
        <f t="shared" ref="BY193:BY194" si="1602">Q193</f>
        <v>121</v>
      </c>
      <c r="BZ193" s="72">
        <f t="shared" ref="BZ193:BZ194" si="1603">U193</f>
        <v>125</v>
      </c>
      <c r="CA193" s="71">
        <f t="shared" ref="CA193:CA194" si="1604">Y193</f>
        <v>161</v>
      </c>
      <c r="CB193" s="72">
        <f t="shared" ref="CB193:CB194" si="1605">AC193</f>
        <v>171</v>
      </c>
      <c r="CC193" s="71">
        <f t="shared" ref="CC193:CC194" si="1606">AG193</f>
        <v>210</v>
      </c>
      <c r="CD193" s="72">
        <f t="shared" ref="CD193:CD194" si="1607">AK193</f>
        <v>218</v>
      </c>
      <c r="CE193" s="71">
        <f t="shared" ref="CE193:CE194" si="1608">AO193</f>
        <v>258</v>
      </c>
      <c r="CF193" s="72">
        <f t="shared" ref="CF193:CF194" si="1609">AS193</f>
        <v>297</v>
      </c>
      <c r="CG193" s="71">
        <f t="shared" ref="CG193:CG194" si="1610">AW193</f>
        <v>330</v>
      </c>
      <c r="CH193" s="70">
        <f t="shared" ref="CH193:CH194" si="1611">G193</f>
        <v>86</v>
      </c>
      <c r="CI193" s="71">
        <f t="shared" ref="CI193:CI194" si="1612">K193</f>
        <v>90</v>
      </c>
      <c r="CJ193" s="72">
        <f t="shared" ref="CJ193:CJ194" si="1613">O193</f>
        <v>120</v>
      </c>
      <c r="CK193" s="72">
        <f t="shared" ref="CK193:CK194" si="1614">S193</f>
        <v>124</v>
      </c>
      <c r="CL193" s="72">
        <f t="shared" ref="CL193:CL194" si="1615">W193</f>
        <v>160</v>
      </c>
      <c r="CM193" s="72">
        <f t="shared" ref="CM193:CM194" si="1616">AA193</f>
        <v>169</v>
      </c>
      <c r="CN193" s="72">
        <f t="shared" ref="CN193:CN194" si="1617">AE193</f>
        <v>197</v>
      </c>
      <c r="CO193" s="72">
        <f t="shared" ref="CO193:CO194" si="1618">AI193</f>
        <v>212</v>
      </c>
      <c r="CP193" s="72">
        <f t="shared" ref="CP193:CP194" si="1619">AM193</f>
        <v>253</v>
      </c>
      <c r="CQ193" s="72">
        <f t="shared" ref="CQ193:CQ194" si="1620">AQ193</f>
        <v>293</v>
      </c>
      <c r="CR193" s="72">
        <f t="shared" ref="CR193:CR194" si="1621">AU193</f>
        <v>329</v>
      </c>
      <c r="CS193" s="72">
        <f t="shared" ref="CS193:CS194" si="1622">AY193</f>
        <v>342</v>
      </c>
      <c r="CT193" s="23">
        <f t="shared" ref="CT193:CT194" si="1623">M193-K193</f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3" t="str">
        <f t="shared" si="1596"/>
        <v>ccr7_human_6QZH</v>
      </c>
      <c r="B194" s="3" t="s">
        <v>175</v>
      </c>
      <c r="C194" s="3" t="s">
        <v>1588</v>
      </c>
      <c r="D194" s="3" t="str">
        <f>IFERROR(MID(VLOOKUP($B194,Seqs!$A:$B,2,0),E194,1),"")</f>
        <v>F</v>
      </c>
      <c r="E194" s="3">
        <v>56</v>
      </c>
      <c r="F194" s="3" t="str">
        <f>IFERROR(MID(VLOOKUP($B194,Seqs!$A:$B,2,0),G194,1),"")</f>
        <v>Y</v>
      </c>
      <c r="G194" s="3">
        <v>85</v>
      </c>
      <c r="H194" s="3" t="str">
        <f>IFERROR(MID(VLOOKUP($B194,Seqs!$A:$B,2,0),I194,1),"")</f>
        <v>K</v>
      </c>
      <c r="I194" s="23">
        <v>87</v>
      </c>
      <c r="J194" s="3" t="str">
        <f>IFERROR(MID(VLOOKUP($B194,Seqs!$A:$B,2,0),K194,1),"")</f>
        <v>K</v>
      </c>
      <c r="K194" s="23">
        <v>90</v>
      </c>
      <c r="L194" s="3" t="str">
        <f>IFERROR(MID(VLOOKUP($B194,Seqs!$A:$B,2,0),M194,1),"")</f>
        <v>T</v>
      </c>
      <c r="M194" s="3">
        <v>91</v>
      </c>
      <c r="N194" s="3" t="str">
        <f>IFERROR(MID(VLOOKUP($B194,Seqs!$A:$B,2,0),O194,1),"")</f>
        <v>K</v>
      </c>
      <c r="O194" s="3">
        <v>120</v>
      </c>
      <c r="P194" s="3" t="str">
        <f>IFERROR(MID(VLOOKUP($B194,Seqs!$A:$B,2,0),Q194,1),"")</f>
        <v>S</v>
      </c>
      <c r="Q194" s="3">
        <v>121</v>
      </c>
      <c r="R194" s="3" t="str">
        <f>IFERROR(MID(VLOOKUP($B194,Seqs!$A:$B,2,0),S194,1),"")</f>
        <v>F</v>
      </c>
      <c r="S194" s="3">
        <v>124</v>
      </c>
      <c r="T194" s="3" t="str">
        <f>IFERROR(MID(VLOOKUP($B194,Seqs!$A:$B,2,0),U194,1),"")</f>
        <v>G</v>
      </c>
      <c r="U194" s="3">
        <v>125</v>
      </c>
      <c r="V194" s="3" t="str">
        <f>IFERROR(MID(VLOOKUP($B194,Seqs!$A:$B,2,0),W194,1),"")</f>
        <v>V</v>
      </c>
      <c r="W194" s="3">
        <v>159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H</v>
      </c>
      <c r="AC194" s="3">
        <v>167</v>
      </c>
      <c r="AD194" s="3" t="str">
        <f>IFERROR(MID(VLOOKUP($B194,Seqs!$A:$B,2,0),AE194,1),"")</f>
        <v>Y</v>
      </c>
      <c r="AE194" s="3">
        <v>196</v>
      </c>
      <c r="AF194" s="3" t="str">
        <f>IFERROR(MID(VLOOKUP($B194,Seqs!$A:$B,2,0),AG194,1),"")</f>
        <v>C</v>
      </c>
      <c r="AG194" s="3">
        <v>210</v>
      </c>
      <c r="AH194" s="3" t="str">
        <f>IFERROR(MID(VLOOKUP($B194,Seqs!$A:$B,2,0),AI194,1),"")</f>
        <v>L</v>
      </c>
      <c r="AI194" s="3">
        <v>212</v>
      </c>
      <c r="AJ194" s="3" t="str">
        <f>IFERROR(MID(VLOOKUP($B194,Seqs!$A:$B,2,0),AK194,1),"")</f>
        <v>F</v>
      </c>
      <c r="AK194" s="3">
        <v>220</v>
      </c>
      <c r="AL194" s="3" t="str">
        <f>IFERROR(MID(VLOOKUP($B194,Seqs!$A:$B,2,0),AM194,1),"")</f>
        <v>L</v>
      </c>
      <c r="AM194" s="3">
        <v>251</v>
      </c>
      <c r="AN194" s="3" t="str">
        <f>IFERROR(MID(VLOOKUP($B194,Seqs!$A:$B,2,0),AO194,1),"")</f>
        <v>K</v>
      </c>
      <c r="AO194" s="3">
        <v>263</v>
      </c>
      <c r="AP194" s="3" t="str">
        <f>IFERROR(MID(VLOOKUP($B194,Seqs!$A:$B,2,0),AQ194,1),"")</f>
        <v>Q</v>
      </c>
      <c r="AQ194" s="3">
        <v>286</v>
      </c>
      <c r="AR194" s="3" t="str">
        <f>IFERROR(MID(VLOOKUP($B194,Seqs!$A:$B,2,0),AS194,1),"")</f>
        <v>C</v>
      </c>
      <c r="AS194" s="3">
        <v>298</v>
      </c>
      <c r="AT194" s="3" t="str">
        <f>IFERROR(MID(VLOOKUP($B194,Seqs!$A:$B,2,0),AU194,1),"")</f>
        <v>F</v>
      </c>
      <c r="AU194" s="3">
        <v>328</v>
      </c>
      <c r="AV194" s="3" t="str">
        <f>IFERROR(MID(VLOOKUP($B194,Seqs!$A:$B,2,0),AW194,1),"")</f>
        <v>K</v>
      </c>
      <c r="AW194" s="3">
        <v>332</v>
      </c>
      <c r="AX194" s="3" t="str">
        <f>IFERROR(MID(VLOOKUP($B194,Seqs!$A:$B,2,0),AY194,1),"")</f>
        <v>F</v>
      </c>
      <c r="AY194" s="3">
        <v>341</v>
      </c>
      <c r="AZ194" s="77" t="str">
        <f>VLOOKUP(B194,Classification!A:D,2,0)</f>
        <v>A</v>
      </c>
      <c r="BA194" s="94" t="str">
        <f>VLOOKUP(B194,Classification!A:D,4,0)</f>
        <v>Chemokine</v>
      </c>
      <c r="BB194" s="27" t="b">
        <f t="shared" si="1597"/>
        <v>1</v>
      </c>
      <c r="BC194" s="23">
        <f t="shared" si="1598"/>
        <v>234</v>
      </c>
      <c r="BD194" s="2" t="s">
        <v>1372</v>
      </c>
      <c r="BE194" s="3" t="s">
        <v>1370</v>
      </c>
      <c r="BF194" s="118">
        <v>2.1</v>
      </c>
      <c r="BG194" s="49" t="s">
        <v>1</v>
      </c>
      <c r="BH194" s="49" t="s">
        <v>1</v>
      </c>
      <c r="BI194" s="1"/>
      <c r="BJ194" s="70" t="s">
        <v>1283</v>
      </c>
      <c r="BK194" s="57" t="s">
        <v>1283</v>
      </c>
      <c r="BL194" s="57" t="s">
        <v>1283</v>
      </c>
      <c r="BM194" s="57" t="s">
        <v>1283</v>
      </c>
      <c r="BN194" s="57" t="s">
        <v>1283</v>
      </c>
      <c r="BO194" s="57" t="s">
        <v>1283</v>
      </c>
      <c r="BP194" s="57" t="s">
        <v>1283</v>
      </c>
      <c r="BQ194" s="57" t="s">
        <v>1283</v>
      </c>
      <c r="BR194" s="57" t="s">
        <v>1283</v>
      </c>
      <c r="BS194" s="57" t="s">
        <v>1283</v>
      </c>
      <c r="BT194" s="57" t="s">
        <v>1283</v>
      </c>
      <c r="BU194" s="57" t="s">
        <v>1283</v>
      </c>
      <c r="BV194" s="70">
        <f t="shared" si="1599"/>
        <v>56</v>
      </c>
      <c r="BW194" s="71">
        <f t="shared" si="1600"/>
        <v>87</v>
      </c>
      <c r="BX194" s="72">
        <f t="shared" si="1601"/>
        <v>91</v>
      </c>
      <c r="BY194" s="71">
        <f t="shared" si="1602"/>
        <v>121</v>
      </c>
      <c r="BZ194" s="72">
        <f t="shared" si="1603"/>
        <v>125</v>
      </c>
      <c r="CA194" s="71" t="str">
        <f t="shared" si="1604"/>
        <v>-</v>
      </c>
      <c r="CB194" s="72">
        <f t="shared" si="1605"/>
        <v>167</v>
      </c>
      <c r="CC194" s="71">
        <f t="shared" si="1606"/>
        <v>210</v>
      </c>
      <c r="CD194" s="72">
        <f t="shared" si="1607"/>
        <v>220</v>
      </c>
      <c r="CE194" s="71">
        <f t="shared" si="1608"/>
        <v>263</v>
      </c>
      <c r="CF194" s="72">
        <f t="shared" si="1609"/>
        <v>298</v>
      </c>
      <c r="CG194" s="71">
        <f t="shared" si="1610"/>
        <v>332</v>
      </c>
      <c r="CH194" s="70">
        <f t="shared" si="1611"/>
        <v>85</v>
      </c>
      <c r="CI194" s="71">
        <f t="shared" si="1612"/>
        <v>90</v>
      </c>
      <c r="CJ194" s="72">
        <f t="shared" si="1613"/>
        <v>120</v>
      </c>
      <c r="CK194" s="72">
        <f t="shared" si="1614"/>
        <v>124</v>
      </c>
      <c r="CL194" s="72">
        <f t="shared" si="1615"/>
        <v>159</v>
      </c>
      <c r="CM194" s="72" t="str">
        <f t="shared" si="1616"/>
        <v>-</v>
      </c>
      <c r="CN194" s="72">
        <f t="shared" si="1617"/>
        <v>196</v>
      </c>
      <c r="CO194" s="72">
        <f t="shared" si="1618"/>
        <v>212</v>
      </c>
      <c r="CP194" s="72">
        <f t="shared" si="1619"/>
        <v>251</v>
      </c>
      <c r="CQ194" s="72">
        <f t="shared" si="1620"/>
        <v>286</v>
      </c>
      <c r="CR194" s="72">
        <f t="shared" si="1621"/>
        <v>328</v>
      </c>
      <c r="CS194" s="72">
        <f t="shared" si="1622"/>
        <v>341</v>
      </c>
      <c r="CT194" s="23">
        <f t="shared" si="1623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3" t="str">
        <f t="shared" si="1231"/>
        <v>ccr9_human__wt</v>
      </c>
      <c r="B195" s="3" t="s">
        <v>177</v>
      </c>
      <c r="C195" s="3" t="s">
        <v>100</v>
      </c>
      <c r="D195" s="3" t="str">
        <f>IFERROR(MID(VLOOKUP($B195,Seqs!$A:$B,2,0),E195,1),"")</f>
        <v>V</v>
      </c>
      <c r="E195" s="3">
        <v>43</v>
      </c>
      <c r="F195" s="3" t="str">
        <f>IFERROR(MID(VLOOKUP($B195,Seqs!$A:$B,2,0),G195,1),"")</f>
        <v>C</v>
      </c>
      <c r="G195" s="3">
        <v>76</v>
      </c>
      <c r="H195" s="3" t="str">
        <f>IFERROR(MID(VLOOKUP($B195,Seqs!$A:$B,2,0),I195,1),"")</f>
        <v>T</v>
      </c>
      <c r="I195" s="23">
        <v>77</v>
      </c>
      <c r="J195" s="3" t="str">
        <f>IFERROR(MID(VLOOKUP($B195,Seqs!$A:$B,2,0),K195,1),"")</f>
        <v>K</v>
      </c>
      <c r="K195" s="23">
        <v>80</v>
      </c>
      <c r="L195" s="3" t="str">
        <f>IFERROR(MID(VLOOKUP($B195,Seqs!$A:$B,2,0),M195,1),"")</f>
        <v>T</v>
      </c>
      <c r="M195" s="3">
        <v>81</v>
      </c>
      <c r="N195" s="3" t="str">
        <f>IFERROR(MID(VLOOKUP($B195,Seqs!$A:$B,2,0),O195,1),"")</f>
        <v>D</v>
      </c>
      <c r="O195" s="3">
        <v>110</v>
      </c>
      <c r="P195" s="3" t="str">
        <f>IFERROR(MID(VLOOKUP($B195,Seqs!$A:$B,2,0),Q195,1),"")</f>
        <v>Q</v>
      </c>
      <c r="Q195" s="3">
        <v>111</v>
      </c>
      <c r="R195" s="3" t="str">
        <f>IFERROR(MID(VLOOKUP($B195,Seqs!$A:$B,2,0),S195,1),"")</f>
        <v>F</v>
      </c>
      <c r="S195" s="3">
        <v>114</v>
      </c>
      <c r="T195" s="3" t="str">
        <f>IFERROR(MID(VLOOKUP($B195,Seqs!$A:$B,2,0),U195,1),"")</f>
        <v>Q</v>
      </c>
      <c r="U195" s="3">
        <v>115</v>
      </c>
      <c r="V195" s="3" t="str">
        <f>IFERROR(MID(VLOOKUP($B195,Seqs!$A:$B,2,0),W195,1),"")</f>
        <v>Q</v>
      </c>
      <c r="W195" s="3">
        <v>150</v>
      </c>
      <c r="X195" s="3" t="str">
        <f>IFERROR(MID(VLOOKUP($B195,Seqs!$A:$B,2,0),Y195,1),"")</f>
        <v>A</v>
      </c>
      <c r="Y195" s="3">
        <v>151</v>
      </c>
      <c r="Z195" s="3" t="str">
        <f>IFERROR(MID(VLOOKUP($B195,Seqs!$A:$B,2,0),AA195,1),"")</f>
        <v>W</v>
      </c>
      <c r="AA195" s="3">
        <v>157</v>
      </c>
      <c r="AB195" s="3" t="str">
        <f>IFERROR(MID(VLOOKUP($B195,Seqs!$A:$B,2,0),AC195,1),"")</f>
        <v>R</v>
      </c>
      <c r="AC195" s="3">
        <v>158</v>
      </c>
      <c r="AD195" s="3" t="str">
        <f>IFERROR(MID(VLOOKUP($B195,Seqs!$A:$B,2,0),AE195,1),"")</f>
        <v>S</v>
      </c>
      <c r="AE195" s="3">
        <v>187</v>
      </c>
      <c r="AF195" s="3" t="str">
        <f>IFERROR(MID(VLOOKUP($B195,Seqs!$A:$B,2,0),AG195,1),"")</f>
        <v>C</v>
      </c>
      <c r="AG195" s="3">
        <v>198</v>
      </c>
      <c r="AH195" s="3" t="str">
        <f>IFERROR(MID(VLOOKUP($B195,Seqs!$A:$B,2,0),AI195,1),"")</f>
        <v>M</v>
      </c>
      <c r="AI195" s="3">
        <v>200</v>
      </c>
      <c r="AJ195" s="3" t="str">
        <f>IFERROR(MID(VLOOKUP($B195,Seqs!$A:$B,2,0),AK195,1),"")</f>
        <v>K</v>
      </c>
      <c r="AK195" s="3">
        <v>209</v>
      </c>
      <c r="AL195" s="3" t="str">
        <f>IFERROR(MID(VLOOKUP($B195,Seqs!$A:$B,2,0),AM195,1),"")</f>
        <v>A</v>
      </c>
      <c r="AM195" s="3">
        <v>244</v>
      </c>
      <c r="AN195" s="3" t="str">
        <f>IFERROR(MID(VLOOKUP($B195,Seqs!$A:$B,2,0),AO195,1),"")</f>
        <v>S</v>
      </c>
      <c r="AO195" s="3">
        <v>247</v>
      </c>
      <c r="AP195" s="3" t="str">
        <f>IFERROR(MID(VLOOKUP($B195,Seqs!$A:$B,2,0),AQ195,1),"")</f>
        <v>M</v>
      </c>
      <c r="AQ195" s="3">
        <v>284</v>
      </c>
      <c r="AR195" s="3" t="str">
        <f>IFERROR(MID(VLOOKUP($B195,Seqs!$A:$B,2,0),AS195,1),"")</f>
        <v>N</v>
      </c>
      <c r="AS195" s="3">
        <v>288</v>
      </c>
      <c r="AT195" s="3" t="str">
        <f>IFERROR(MID(VLOOKUP($B195,Seqs!$A:$B,2,0),AU195,1),"")</f>
        <v>V</v>
      </c>
      <c r="AU195" s="3">
        <v>320</v>
      </c>
      <c r="AV195" s="3" t="str">
        <f>IFERROR(MID(VLOOKUP($B195,Seqs!$A:$B,2,0),AW195,1),"")</f>
        <v>G</v>
      </c>
      <c r="AW195" s="3">
        <v>321</v>
      </c>
      <c r="AX195" s="3" t="str">
        <f>IFERROR(MID(VLOOKUP($B195,Seqs!$A:$B,2,0),AY195,1),"")</f>
        <v>A</v>
      </c>
      <c r="AY195" s="3">
        <v>341</v>
      </c>
      <c r="AZ195" s="77" t="str">
        <f>VLOOKUP(B195,Classification!A:D,2,0)</f>
        <v>A</v>
      </c>
      <c r="BA195" s="94" t="str">
        <f>VLOOKUP(B195,Classification!A:D,4,0)</f>
        <v>Chemokine</v>
      </c>
      <c r="BB195" s="27" t="b">
        <f t="shared" si="1232"/>
        <v>1</v>
      </c>
      <c r="BC195" s="23">
        <f t="shared" si="981"/>
        <v>276</v>
      </c>
      <c r="BD195" s="56" t="s">
        <v>23</v>
      </c>
      <c r="BE195" s="3" t="s">
        <v>23</v>
      </c>
      <c r="BF195" s="118" t="s">
        <v>23</v>
      </c>
      <c r="BG195" s="49" t="s">
        <v>1368</v>
      </c>
      <c r="BH195" s="49" t="s">
        <v>1373</v>
      </c>
      <c r="BI195" s="1"/>
      <c r="BJ195" s="70" t="s">
        <v>1283</v>
      </c>
      <c r="BK195" s="57" t="s">
        <v>1283</v>
      </c>
      <c r="BL195" s="57" t="s">
        <v>1283</v>
      </c>
      <c r="BM195" s="57" t="s">
        <v>1283</v>
      </c>
      <c r="BN195" s="57" t="s">
        <v>1283</v>
      </c>
      <c r="BO195" s="57" t="s">
        <v>1283</v>
      </c>
      <c r="BP195" s="57" t="s">
        <v>1283</v>
      </c>
      <c r="BQ195" s="57" t="s">
        <v>1283</v>
      </c>
      <c r="BR195" s="57" t="s">
        <v>1283</v>
      </c>
      <c r="BS195" s="57" t="s">
        <v>1283</v>
      </c>
      <c r="BT195" s="57" t="s">
        <v>1283</v>
      </c>
      <c r="BU195" s="57" t="s">
        <v>1283</v>
      </c>
      <c r="BV195" s="70">
        <f t="shared" si="982"/>
        <v>43</v>
      </c>
      <c r="BW195" s="71">
        <f t="shared" si="983"/>
        <v>77</v>
      </c>
      <c r="BX195" s="72">
        <f t="shared" si="984"/>
        <v>81</v>
      </c>
      <c r="BY195" s="71">
        <f t="shared" si="985"/>
        <v>111</v>
      </c>
      <c r="BZ195" s="72">
        <f t="shared" si="986"/>
        <v>115</v>
      </c>
      <c r="CA195" s="71">
        <f t="shared" si="987"/>
        <v>151</v>
      </c>
      <c r="CB195" s="72">
        <f t="shared" si="988"/>
        <v>158</v>
      </c>
      <c r="CC195" s="71">
        <f t="shared" si="989"/>
        <v>198</v>
      </c>
      <c r="CD195" s="72">
        <f t="shared" si="990"/>
        <v>209</v>
      </c>
      <c r="CE195" s="71">
        <f t="shared" si="991"/>
        <v>247</v>
      </c>
      <c r="CF195" s="72">
        <f t="shared" si="992"/>
        <v>288</v>
      </c>
      <c r="CG195" s="71">
        <f t="shared" si="993"/>
        <v>321</v>
      </c>
      <c r="CH195" s="70">
        <f t="shared" si="994"/>
        <v>76</v>
      </c>
      <c r="CI195" s="71">
        <f t="shared" si="995"/>
        <v>80</v>
      </c>
      <c r="CJ195" s="72">
        <f t="shared" si="996"/>
        <v>110</v>
      </c>
      <c r="CK195" s="72">
        <f t="shared" si="997"/>
        <v>114</v>
      </c>
      <c r="CL195" s="72">
        <f t="shared" si="998"/>
        <v>150</v>
      </c>
      <c r="CM195" s="72">
        <f t="shared" si="999"/>
        <v>157</v>
      </c>
      <c r="CN195" s="72">
        <f t="shared" si="1000"/>
        <v>187</v>
      </c>
      <c r="CO195" s="72">
        <f t="shared" si="1001"/>
        <v>200</v>
      </c>
      <c r="CP195" s="72">
        <f t="shared" si="1002"/>
        <v>244</v>
      </c>
      <c r="CQ195" s="72">
        <f t="shared" si="1003"/>
        <v>284</v>
      </c>
      <c r="CR195" s="72">
        <f t="shared" si="1004"/>
        <v>320</v>
      </c>
      <c r="CS195" s="72">
        <f t="shared" si="1005"/>
        <v>341</v>
      </c>
      <c r="CT195" s="23">
        <f t="shared" si="1006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1231"/>
        <v>ccr9_human_5LWE</v>
      </c>
      <c r="B196" s="3" t="s">
        <v>177</v>
      </c>
      <c r="C196" s="3" t="s">
        <v>1361</v>
      </c>
      <c r="D196" s="3" t="str">
        <f>IFERROR(MID(VLOOKUP($B196,Seqs!$A:$B,2,0),E196,1),"")</f>
        <v>V</v>
      </c>
      <c r="E196" s="3">
        <v>43</v>
      </c>
      <c r="F196" s="3" t="str">
        <f>IFERROR(MID(VLOOKUP($B196,Seqs!$A:$B,2,0),G196,1),"")</f>
        <v>C</v>
      </c>
      <c r="G196" s="3">
        <v>76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T</v>
      </c>
      <c r="M196" s="3">
        <v>81</v>
      </c>
      <c r="N196" s="3" t="str">
        <f>IFERROR(MID(VLOOKUP($B196,Seqs!$A:$B,2,0),O196,1),"")</f>
        <v>A</v>
      </c>
      <c r="O196" s="3">
        <v>108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C</v>
      </c>
      <c r="U196" s="3">
        <v>119</v>
      </c>
      <c r="V196" s="3" t="str">
        <f>IFERROR(MID(VLOOKUP($B196,Seqs!$A:$B,2,0),W196,1),"")</f>
        <v>Q</v>
      </c>
      <c r="W196" s="3">
        <v>150</v>
      </c>
      <c r="X196" s="3" t="str">
        <f>IFERROR(MID(VLOOKUP($B196,Seqs!$A:$B,2,0),Y196,1),"")</f>
        <v>A</v>
      </c>
      <c r="Y196" s="3">
        <v>151</v>
      </c>
      <c r="Z196" s="3" t="str">
        <f>IFERROR(MID(VLOOKUP($B196,Seqs!$A:$B,2,0),AA196,1),"")</f>
        <v>W</v>
      </c>
      <c r="AA196" s="3">
        <v>157</v>
      </c>
      <c r="AB196" s="3" t="str">
        <f>IFERROR(MID(VLOOKUP($B196,Seqs!$A:$B,2,0),AC196,1),"")</f>
        <v>R</v>
      </c>
      <c r="AC196" s="3">
        <v>158</v>
      </c>
      <c r="AD196" s="3" t="str">
        <f>IFERROR(MID(VLOOKUP($B196,Seqs!$A:$B,2,0),AE196,1),"")</f>
        <v>I</v>
      </c>
      <c r="AE196" s="3">
        <v>184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/>
      </c>
      <c r="AK196" s="3" t="s">
        <v>23</v>
      </c>
      <c r="AL196" s="3" t="str">
        <f>IFERROR(MID(VLOOKUP($B196,Seqs!$A:$B,2,0),AM196,1),"")</f>
        <v/>
      </c>
      <c r="AM196" s="3" t="s">
        <v>23</v>
      </c>
      <c r="AN196" s="3" t="str">
        <f>IFERROR(MID(VLOOKUP($B196,Seqs!$A:$B,2,0),AO196,1),"")</f>
        <v>S</v>
      </c>
      <c r="AO196" s="3">
        <v>247</v>
      </c>
      <c r="AP196" s="3" t="str">
        <f>IFERROR(MID(VLOOKUP($B196,Seqs!$A:$B,2,0),AQ196,1),"")</f>
        <v>M</v>
      </c>
      <c r="AQ196" s="3">
        <v>284</v>
      </c>
      <c r="AR196" s="3" t="str">
        <f>IFERROR(MID(VLOOKUP($B196,Seqs!$A:$B,2,0),AS196,1),"")</f>
        <v>N</v>
      </c>
      <c r="AS196" s="3">
        <v>288</v>
      </c>
      <c r="AT196" s="3" t="str">
        <f>IFERROR(MID(VLOOKUP($B196,Seqs!$A:$B,2,0),AU196,1),"")</f>
        <v>V</v>
      </c>
      <c r="AU196" s="3">
        <v>320</v>
      </c>
      <c r="AV196" s="3" t="str">
        <f>IFERROR(MID(VLOOKUP($B196,Seqs!$A:$B,2,0),AW196,1),"")</f>
        <v>G</v>
      </c>
      <c r="AW196" s="3">
        <v>321</v>
      </c>
      <c r="AX196" s="3" t="str">
        <f>IFERROR(MID(VLOOKUP($B196,Seqs!$A:$B,2,0),AY196,1),"")</f>
        <v>A</v>
      </c>
      <c r="AY196" s="3">
        <v>341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si="1232"/>
        <v>0</v>
      </c>
      <c r="BC196" s="23">
        <f t="shared" si="981"/>
        <v>224</v>
      </c>
      <c r="BD196" s="16" t="s">
        <v>1372</v>
      </c>
      <c r="BE196" s="3" t="s">
        <v>1370</v>
      </c>
      <c r="BF196" s="118">
        <v>2.8</v>
      </c>
      <c r="BG196" s="49" t="s">
        <v>1373</v>
      </c>
      <c r="BH196" s="49" t="s">
        <v>1373</v>
      </c>
      <c r="BI196" s="1"/>
      <c r="BJ196" s="70" t="s">
        <v>1283</v>
      </c>
      <c r="BK196" s="57" t="s">
        <v>1283</v>
      </c>
      <c r="BL196" s="57" t="s">
        <v>1283</v>
      </c>
      <c r="BM196" s="57" t="s">
        <v>1283</v>
      </c>
      <c r="BN196" s="57" t="s">
        <v>1283</v>
      </c>
      <c r="BO196" s="57" t="s">
        <v>1283</v>
      </c>
      <c r="BP196" s="57" t="s">
        <v>1283</v>
      </c>
      <c r="BQ196" s="57" t="s">
        <v>1283</v>
      </c>
      <c r="BR196" s="57" t="s">
        <v>1283</v>
      </c>
      <c r="BS196" s="57" t="s">
        <v>1283</v>
      </c>
      <c r="BT196" s="57" t="s">
        <v>1283</v>
      </c>
      <c r="BU196" s="57" t="s">
        <v>1283</v>
      </c>
      <c r="BV196" s="70">
        <f t="shared" si="982"/>
        <v>43</v>
      </c>
      <c r="BW196" s="71" t="str">
        <f t="shared" si="983"/>
        <v>-</v>
      </c>
      <c r="BX196" s="72">
        <f t="shared" si="984"/>
        <v>81</v>
      </c>
      <c r="BY196" s="71" t="str">
        <f t="shared" si="985"/>
        <v>-</v>
      </c>
      <c r="BZ196" s="72">
        <f t="shared" si="986"/>
        <v>119</v>
      </c>
      <c r="CA196" s="71">
        <f t="shared" si="987"/>
        <v>151</v>
      </c>
      <c r="CB196" s="72">
        <f t="shared" si="988"/>
        <v>158</v>
      </c>
      <c r="CC196" s="71" t="str">
        <f t="shared" si="989"/>
        <v>-</v>
      </c>
      <c r="CD196" s="72" t="str">
        <f t="shared" si="990"/>
        <v>-</v>
      </c>
      <c r="CE196" s="71">
        <f t="shared" si="991"/>
        <v>247</v>
      </c>
      <c r="CF196" s="72">
        <f t="shared" si="992"/>
        <v>288</v>
      </c>
      <c r="CG196" s="71">
        <f t="shared" si="993"/>
        <v>321</v>
      </c>
      <c r="CH196" s="70">
        <f t="shared" si="994"/>
        <v>76</v>
      </c>
      <c r="CI196" s="71" t="str">
        <f t="shared" si="995"/>
        <v>-</v>
      </c>
      <c r="CJ196" s="72">
        <f t="shared" si="996"/>
        <v>108</v>
      </c>
      <c r="CK196" s="72" t="str">
        <f t="shared" si="997"/>
        <v>-</v>
      </c>
      <c r="CL196" s="72">
        <f t="shared" si="998"/>
        <v>150</v>
      </c>
      <c r="CM196" s="72">
        <f t="shared" si="999"/>
        <v>157</v>
      </c>
      <c r="CN196" s="72">
        <f t="shared" si="1000"/>
        <v>184</v>
      </c>
      <c r="CO196" s="72" t="str">
        <f t="shared" si="1001"/>
        <v>-</v>
      </c>
      <c r="CP196" s="72" t="str">
        <f t="shared" si="1002"/>
        <v>-</v>
      </c>
      <c r="CQ196" s="72">
        <f t="shared" si="1003"/>
        <v>284</v>
      </c>
      <c r="CR196" s="72">
        <f t="shared" si="1004"/>
        <v>320</v>
      </c>
      <c r="CS196" s="72">
        <f t="shared" si="1005"/>
        <v>341</v>
      </c>
      <c r="CT196" s="23" t="e">
        <f t="shared" si="1006"/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x14ac:dyDescent="0.2">
      <c r="A197" s="3" t="str">
        <f>CONCATENATE(B197,"_",C197)</f>
        <v>ccr9_human_5LWE_dist</v>
      </c>
      <c r="B197" s="3" t="s">
        <v>177</v>
      </c>
      <c r="C197" s="3" t="s">
        <v>1380</v>
      </c>
      <c r="D197" s="3" t="str">
        <f>IFERROR(MID(VLOOKUP($B197,Seqs!$A:$B,2,0),E197,1),"")</f>
        <v>V</v>
      </c>
      <c r="E197" s="3">
        <v>43</v>
      </c>
      <c r="F197" s="3" t="str">
        <f>IFERROR(MID(VLOOKUP($B197,Seqs!$A:$B,2,0),G197,1),"")</f>
        <v>C</v>
      </c>
      <c r="G197" s="3">
        <v>76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T</v>
      </c>
      <c r="M197" s="3">
        <v>81</v>
      </c>
      <c r="N197" s="3" t="str">
        <f>IFERROR(MID(VLOOKUP($B197,Seqs!$A:$B,2,0),O197,1),"")</f>
        <v>A</v>
      </c>
      <c r="O197" s="3">
        <v>108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C</v>
      </c>
      <c r="U197" s="3">
        <v>119</v>
      </c>
      <c r="V197" s="3" t="str">
        <f>IFERROR(MID(VLOOKUP($B197,Seqs!$A:$B,2,0),W197,1),"")</f>
        <v>Q</v>
      </c>
      <c r="W197" s="3">
        <v>150</v>
      </c>
      <c r="X197" s="3" t="str">
        <f>IFERROR(MID(VLOOKUP($B197,Seqs!$A:$B,2,0),Y197,1),"")</f>
        <v>A</v>
      </c>
      <c r="Y197" s="3">
        <v>151</v>
      </c>
      <c r="Z197" s="3" t="str">
        <f>IFERROR(MID(VLOOKUP($B197,Seqs!$A:$B,2,0),AA197,1),"")</f>
        <v>W</v>
      </c>
      <c r="AA197" s="3">
        <v>157</v>
      </c>
      <c r="AB197" s="3" t="str">
        <f>IFERROR(MID(VLOOKUP($B197,Seqs!$A:$B,2,0),AC197,1),"")</f>
        <v>R</v>
      </c>
      <c r="AC197" s="3">
        <v>158</v>
      </c>
      <c r="AD197" s="3" t="str">
        <f>IFERROR(MID(VLOOKUP($B197,Seqs!$A:$B,2,0),AE197,1),"")</f>
        <v>I</v>
      </c>
      <c r="AE197" s="3">
        <v>184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K</v>
      </c>
      <c r="AK197" s="3">
        <v>209</v>
      </c>
      <c r="AL197" s="3" t="str">
        <f>IFERROR(MID(VLOOKUP($B197,Seqs!$A:$B,2,0),AM197,1),"")</f>
        <v>A</v>
      </c>
      <c r="AM197" s="3">
        <v>244</v>
      </c>
      <c r="AN197" s="3" t="str">
        <f>IFERROR(MID(VLOOKUP($B197,Seqs!$A:$B,2,0),AO197,1),"")</f>
        <v>S</v>
      </c>
      <c r="AO197" s="3">
        <v>247</v>
      </c>
      <c r="AP197" s="3" t="str">
        <f>IFERROR(MID(VLOOKUP($B197,Seqs!$A:$B,2,0),AQ197,1),"")</f>
        <v>M</v>
      </c>
      <c r="AQ197" s="3">
        <v>284</v>
      </c>
      <c r="AR197" s="3" t="str">
        <f>IFERROR(MID(VLOOKUP($B197,Seqs!$A:$B,2,0),AS197,1),"")</f>
        <v>N</v>
      </c>
      <c r="AS197" s="3">
        <v>288</v>
      </c>
      <c r="AT197" s="3" t="str">
        <f>IFERROR(MID(VLOOKUP($B197,Seqs!$A:$B,2,0),AU197,1),"")</f>
        <v>V</v>
      </c>
      <c r="AU197" s="3">
        <v>320</v>
      </c>
      <c r="AV197" s="3" t="str">
        <f>IFERROR(MID(VLOOKUP($B197,Seqs!$A:$B,2,0),AW197,1),"")</f>
        <v>G</v>
      </c>
      <c r="AW197" s="3">
        <v>321</v>
      </c>
      <c r="AX197" s="3" t="str">
        <f>IFERROR(MID(VLOOKUP($B197,Seqs!$A:$B,2,0),AY197,1),"")</f>
        <v>A</v>
      </c>
      <c r="AY197" s="3">
        <v>341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23">
        <f>_xlfn.AGGREGATE(9,6,CH197:CS197)-_xlfn.AGGREGATE(9,6,BV197:CG197)+12</f>
        <v>259</v>
      </c>
      <c r="BD197" s="16" t="s">
        <v>23</v>
      </c>
      <c r="BE197" s="3" t="s">
        <v>1370</v>
      </c>
      <c r="BF197" s="118">
        <v>2.8</v>
      </c>
      <c r="BG197" s="49" t="s">
        <v>1373</v>
      </c>
      <c r="BH197" s="49" t="s">
        <v>1373</v>
      </c>
      <c r="BI197" s="1"/>
      <c r="BJ197" s="70" t="s">
        <v>1283</v>
      </c>
      <c r="BK197" s="57" t="s">
        <v>1283</v>
      </c>
      <c r="BL197" s="57" t="s">
        <v>1283</v>
      </c>
      <c r="BM197" s="57" t="s">
        <v>1283</v>
      </c>
      <c r="BN197" s="57" t="s">
        <v>1283</v>
      </c>
      <c r="BO197" s="57" t="s">
        <v>1283</v>
      </c>
      <c r="BP197" s="57" t="s">
        <v>1283</v>
      </c>
      <c r="BQ197" s="57" t="s">
        <v>1283</v>
      </c>
      <c r="BR197" s="57" t="s">
        <v>1283</v>
      </c>
      <c r="BS197" s="57" t="s">
        <v>1283</v>
      </c>
      <c r="BT197" s="57" t="s">
        <v>1283</v>
      </c>
      <c r="BU197" s="57" t="s">
        <v>1283</v>
      </c>
      <c r="BV197" s="70">
        <f>E197</f>
        <v>43</v>
      </c>
      <c r="BW197" s="71" t="str">
        <f>I197</f>
        <v>-</v>
      </c>
      <c r="BX197" s="72">
        <f>M197</f>
        <v>81</v>
      </c>
      <c r="BY197" s="71" t="str">
        <f>Q197</f>
        <v>-</v>
      </c>
      <c r="BZ197" s="72">
        <f>U197</f>
        <v>119</v>
      </c>
      <c r="CA197" s="71">
        <f>Y197</f>
        <v>151</v>
      </c>
      <c r="CB197" s="72">
        <f>AC197</f>
        <v>158</v>
      </c>
      <c r="CC197" s="71" t="str">
        <f>AG197</f>
        <v>-</v>
      </c>
      <c r="CD197" s="72">
        <f>AK197</f>
        <v>209</v>
      </c>
      <c r="CE197" s="71">
        <f>AO197</f>
        <v>247</v>
      </c>
      <c r="CF197" s="72">
        <f>AS197</f>
        <v>288</v>
      </c>
      <c r="CG197" s="71">
        <f>AW197</f>
        <v>321</v>
      </c>
      <c r="CH197" s="70">
        <f>G197</f>
        <v>76</v>
      </c>
      <c r="CI197" s="71" t="str">
        <f>K197</f>
        <v>-</v>
      </c>
      <c r="CJ197" s="72">
        <f>O197</f>
        <v>108</v>
      </c>
      <c r="CK197" s="72" t="str">
        <f>S197</f>
        <v>-</v>
      </c>
      <c r="CL197" s="72">
        <f>W197</f>
        <v>150</v>
      </c>
      <c r="CM197" s="72">
        <f>AA197</f>
        <v>157</v>
      </c>
      <c r="CN197" s="72">
        <f>AE197</f>
        <v>184</v>
      </c>
      <c r="CO197" s="72" t="str">
        <f>AI197</f>
        <v>-</v>
      </c>
      <c r="CP197" s="72">
        <f>AM197</f>
        <v>244</v>
      </c>
      <c r="CQ197" s="72">
        <f>AQ197</f>
        <v>284</v>
      </c>
      <c r="CR197" s="72">
        <f>AU197</f>
        <v>320</v>
      </c>
      <c r="CS197" s="72">
        <f>AY197</f>
        <v>341</v>
      </c>
      <c r="CT197" s="23" t="e">
        <f>M197-K197</f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x14ac:dyDescent="0.2">
      <c r="A198" s="3" t="str">
        <f t="shared" si="1231"/>
        <v>cltr1_human__wt</v>
      </c>
      <c r="B198" s="3" t="s">
        <v>179</v>
      </c>
      <c r="C198" s="3" t="s">
        <v>100</v>
      </c>
      <c r="D198" s="3" t="str">
        <f>IFERROR(MID(VLOOKUP($B198,Seqs!$A:$B,2,0),E198,1),"")</f>
        <v>S</v>
      </c>
      <c r="E198" s="3">
        <v>11</v>
      </c>
      <c r="F198" s="3" t="str">
        <f>IFERROR(MID(VLOOKUP($B198,Seqs!$A:$B,2,0),G198,1),"")</f>
        <v>T</v>
      </c>
      <c r="G198" s="3">
        <v>51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56</v>
      </c>
      <c r="N198" s="3" t="str">
        <f>IFERROR(MID(VLOOKUP($B198,Seqs!$A:$B,2,0),O198,1),"")</f>
        <v>K</v>
      </c>
      <c r="O198" s="3">
        <v>86</v>
      </c>
      <c r="P198" s="3" t="str">
        <f>IFERROR(MID(VLOOKUP($B198,Seqs!$A:$B,2,0),Q198,1),"")</f>
        <v>I</v>
      </c>
      <c r="Q198" s="3">
        <v>88</v>
      </c>
      <c r="R198" s="3" t="str">
        <f>IFERROR(MID(VLOOKUP($B198,Seqs!$A:$B,2,0),S198,1),"")</f>
        <v>F</v>
      </c>
      <c r="S198" s="3">
        <v>91</v>
      </c>
      <c r="T198" s="3" t="str">
        <f>IFERROR(MID(VLOOKUP($B198,Seqs!$A:$B,2,0),U198,1),"")</f>
        <v>G</v>
      </c>
      <c r="U198" s="3">
        <v>92</v>
      </c>
      <c r="V198" s="3" t="str">
        <f>IFERROR(MID(VLOOKUP($B198,Seqs!$A:$B,2,0),W198,1),"")</f>
        <v>F</v>
      </c>
      <c r="W198" s="3">
        <v>127</v>
      </c>
      <c r="X198" s="3" t="str">
        <f>IFERROR(MID(VLOOKUP($B198,Seqs!$A:$B,2,0),Y198,1),"")</f>
        <v>P</v>
      </c>
      <c r="Y198" s="3">
        <v>128</v>
      </c>
      <c r="Z198" s="3" t="str">
        <f>IFERROR(MID(VLOOKUP($B198,Seqs!$A:$B,2,0),AA198,1),"")</f>
        <v>V</v>
      </c>
      <c r="AA198" s="3">
        <v>135</v>
      </c>
      <c r="AB198" s="3" t="str">
        <f>IFERROR(MID(VLOOKUP($B198,Seqs!$A:$B,2,0),AC198,1),"")</f>
        <v>T</v>
      </c>
      <c r="AC198" s="3">
        <v>136</v>
      </c>
      <c r="AD198" s="3" t="str">
        <f>IFERROR(MID(VLOOKUP($B198,Seqs!$A:$B,2,0),AE198,1),"")</f>
        <v>A</v>
      </c>
      <c r="AE198" s="3">
        <v>161</v>
      </c>
      <c r="AF198" s="3" t="str">
        <f>IFERROR(MID(VLOOKUP($B198,Seqs!$A:$B,2,0),AG198,1),"")</f>
        <v>C</v>
      </c>
      <c r="AG198" s="3">
        <v>173</v>
      </c>
      <c r="AH198" s="3" t="str">
        <f>IFERROR(MID(VLOOKUP($B198,Seqs!$A:$B,2,0),AI198,1),"")</f>
        <v>E</v>
      </c>
      <c r="AI198" s="3">
        <v>175</v>
      </c>
      <c r="AJ198" s="3" t="str">
        <f>IFERROR(MID(VLOOKUP($B198,Seqs!$A:$B,2,0),AK198,1),"")</f>
        <v>D</v>
      </c>
      <c r="AK198" s="3">
        <v>179</v>
      </c>
      <c r="AL198" s="3" t="str">
        <f>IFERROR(MID(VLOOKUP($B198,Seqs!$A:$B,2,0),AM198,1),"")</f>
        <v>K</v>
      </c>
      <c r="AM198" s="3">
        <v>218</v>
      </c>
      <c r="AN198" s="3" t="str">
        <f>IFERROR(MID(VLOOKUP($B198,Seqs!$A:$B,2,0),AO198,1),"")</f>
        <v>N</v>
      </c>
      <c r="AO198" s="3">
        <v>224</v>
      </c>
      <c r="AP198" s="3" t="str">
        <f>IFERROR(MID(VLOOKUP($B198,Seqs!$A:$B,2,0),AQ198,1),"")</f>
        <v>N</v>
      </c>
      <c r="AQ198" s="3">
        <v>262</v>
      </c>
      <c r="AR198" s="3" t="str">
        <f>IFERROR(MID(VLOOKUP($B198,Seqs!$A:$B,2,0),AS198,1),"")</f>
        <v>P</v>
      </c>
      <c r="AS198" s="3">
        <v>266</v>
      </c>
      <c r="AT198" s="3" t="str">
        <f>IFERROR(MID(VLOOKUP($B198,Seqs!$A:$B,2,0),AU198,1),"")</f>
        <v>S</v>
      </c>
      <c r="AU198" s="3">
        <v>298</v>
      </c>
      <c r="AV198" s="3" t="str">
        <f>IFERROR(MID(VLOOKUP($B198,Seqs!$A:$B,2,0),AW198,1),"")</f>
        <v>G</v>
      </c>
      <c r="AW198" s="3">
        <v>299</v>
      </c>
      <c r="AX198" s="3" t="str">
        <f>IFERROR(MID(VLOOKUP($B198,Seqs!$A:$B,2,0),AY198,1),"")</f>
        <v>K</v>
      </c>
      <c r="AY198" s="3">
        <v>311</v>
      </c>
      <c r="AZ198" s="77" t="str">
        <f>VLOOKUP(B198,Classification!A:D,2,0)</f>
        <v>A</v>
      </c>
      <c r="BA198" s="94" t="str">
        <f>VLOOKUP(B198,Classification!A:D,4,0)</f>
        <v>Leukotriene</v>
      </c>
      <c r="BB198" s="27" t="b">
        <f t="shared" ref="BB198:BB199" si="1624"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 t="shared" ref="BC198:BC199" si="1625">_xlfn.AGGREGATE(9,6,CH198:CS198)-_xlfn.AGGREGATE(9,6,BV198:CG198)+12</f>
        <v>275</v>
      </c>
      <c r="BD198" s="16" t="s">
        <v>23</v>
      </c>
      <c r="BE198" s="3" t="s">
        <v>1370</v>
      </c>
      <c r="BF198" s="118">
        <v>3.8</v>
      </c>
      <c r="BG198" s="49" t="s">
        <v>1373</v>
      </c>
      <c r="BH198" s="49" t="s">
        <v>1373</v>
      </c>
      <c r="BI198" s="1"/>
      <c r="BJ198" s="70" t="s">
        <v>1283</v>
      </c>
      <c r="BK198" s="57" t="s">
        <v>1283</v>
      </c>
      <c r="BL198" s="57" t="s">
        <v>1283</v>
      </c>
      <c r="BM198" s="57" t="s">
        <v>1283</v>
      </c>
      <c r="BN198" s="57" t="s">
        <v>1283</v>
      </c>
      <c r="BO198" s="57" t="s">
        <v>1283</v>
      </c>
      <c r="BP198" s="57" t="s">
        <v>1283</v>
      </c>
      <c r="BQ198" s="57" t="s">
        <v>1283</v>
      </c>
      <c r="BR198" s="57" t="s">
        <v>1283</v>
      </c>
      <c r="BS198" s="57" t="s">
        <v>1283</v>
      </c>
      <c r="BT198" s="57" t="s">
        <v>1283</v>
      </c>
      <c r="BU198" s="57" t="s">
        <v>1283</v>
      </c>
      <c r="BV198" s="70">
        <f t="shared" ref="BV198:BV199" si="1626">E198</f>
        <v>11</v>
      </c>
      <c r="BW198" s="71" t="str">
        <f t="shared" ref="BW198:BW199" si="1627">I198</f>
        <v>-</v>
      </c>
      <c r="BX198" s="72">
        <f t="shared" ref="BX198:BX199" si="1628">M198</f>
        <v>56</v>
      </c>
      <c r="BY198" s="71">
        <f t="shared" ref="BY198:BY199" si="1629">Q198</f>
        <v>88</v>
      </c>
      <c r="BZ198" s="72">
        <f t="shared" ref="BZ198:BZ199" si="1630">U198</f>
        <v>92</v>
      </c>
      <c r="CA198" s="71">
        <f t="shared" ref="CA198:CA199" si="1631">Y198</f>
        <v>128</v>
      </c>
      <c r="CB198" s="72">
        <f t="shared" ref="CB198:CB199" si="1632">AC198</f>
        <v>136</v>
      </c>
      <c r="CC198" s="71">
        <f t="shared" ref="CC198:CC199" si="1633">AG198</f>
        <v>173</v>
      </c>
      <c r="CD198" s="72">
        <f t="shared" ref="CD198:CD199" si="1634">AK198</f>
        <v>179</v>
      </c>
      <c r="CE198" s="71">
        <f t="shared" ref="CE198:CE199" si="1635">AO198</f>
        <v>224</v>
      </c>
      <c r="CF198" s="72">
        <f t="shared" ref="CF198:CF199" si="1636">AS198</f>
        <v>266</v>
      </c>
      <c r="CG198" s="71">
        <f t="shared" ref="CG198:CG199" si="1637">AW198</f>
        <v>299</v>
      </c>
      <c r="CH198" s="70">
        <f t="shared" ref="CH198:CH199" si="1638">G198</f>
        <v>51</v>
      </c>
      <c r="CI198" s="71" t="str">
        <f t="shared" ref="CI198:CI199" si="1639">K198</f>
        <v>-</v>
      </c>
      <c r="CJ198" s="72">
        <f t="shared" ref="CJ198:CJ199" si="1640">O198</f>
        <v>86</v>
      </c>
      <c r="CK198" s="72">
        <f t="shared" ref="CK198:CK199" si="1641">S198</f>
        <v>91</v>
      </c>
      <c r="CL198" s="72">
        <f t="shared" ref="CL198:CL199" si="1642">W198</f>
        <v>127</v>
      </c>
      <c r="CM198" s="72">
        <f t="shared" ref="CM198:CM199" si="1643">AA198</f>
        <v>135</v>
      </c>
      <c r="CN198" s="72">
        <f t="shared" ref="CN198:CN199" si="1644">AE198</f>
        <v>161</v>
      </c>
      <c r="CO198" s="72">
        <f t="shared" ref="CO198:CO199" si="1645">AI198</f>
        <v>175</v>
      </c>
      <c r="CP198" s="72">
        <f t="shared" ref="CP198:CP199" si="1646">AM198</f>
        <v>218</v>
      </c>
      <c r="CQ198" s="72">
        <f t="shared" ref="CQ198:CQ199" si="1647">AQ198</f>
        <v>262</v>
      </c>
      <c r="CR198" s="72">
        <f t="shared" ref="CR198:CR199" si="1648">AU198</f>
        <v>298</v>
      </c>
      <c r="CS198" s="72">
        <f t="shared" ref="CS198:CS199" si="1649">AY198</f>
        <v>311</v>
      </c>
      <c r="CT198" s="23" t="e">
        <f t="shared" ref="CT198:CT199" si="1650">M198-K198</f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1231"/>
        <v>cltr1_human_6RZ4</v>
      </c>
      <c r="B199" s="3" t="s">
        <v>179</v>
      </c>
      <c r="C199" s="3" t="s">
        <v>1597</v>
      </c>
      <c r="D199" s="3" t="str">
        <f>IFERROR(MID(VLOOKUP($B199,Seqs!$A:$B,2,0),E199,1),"")</f>
        <v>S</v>
      </c>
      <c r="E199" s="3">
        <v>11</v>
      </c>
      <c r="F199" s="3" t="str">
        <f>IFERROR(MID(VLOOKUP($B199,Seqs!$A:$B,2,0),G199,1),"")</f>
        <v>T</v>
      </c>
      <c r="G199" s="3">
        <v>51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56</v>
      </c>
      <c r="N199" s="3" t="str">
        <f>IFERROR(MID(VLOOKUP($B199,Seqs!$A:$B,2,0),O199,1),"")</f>
        <v>K</v>
      </c>
      <c r="O199" s="3">
        <v>86</v>
      </c>
      <c r="P199" s="3" t="str">
        <f>IFERROR(MID(VLOOKUP($B199,Seqs!$A:$B,2,0),Q199,1),"")</f>
        <v>I</v>
      </c>
      <c r="Q199" s="3">
        <v>88</v>
      </c>
      <c r="R199" s="3" t="str">
        <f>IFERROR(MID(VLOOKUP($B199,Seqs!$A:$B,2,0),S199,1),"")</f>
        <v>F</v>
      </c>
      <c r="S199" s="3">
        <v>91</v>
      </c>
      <c r="T199" s="3" t="str">
        <f>IFERROR(MID(VLOOKUP($B199,Seqs!$A:$B,2,0),U199,1),"")</f>
        <v>G</v>
      </c>
      <c r="U199" s="3">
        <v>92</v>
      </c>
      <c r="V199" s="3" t="str">
        <f>IFERROR(MID(VLOOKUP($B199,Seqs!$A:$B,2,0),W199,1),"")</f>
        <v>F</v>
      </c>
      <c r="W199" s="3">
        <v>127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I</v>
      </c>
      <c r="AC199" s="3">
        <v>132</v>
      </c>
      <c r="AD199" s="3" t="str">
        <f>IFERROR(MID(VLOOKUP($B199,Seqs!$A:$B,2,0),AE199,1),"")</f>
        <v>A</v>
      </c>
      <c r="AE199" s="3">
        <v>161</v>
      </c>
      <c r="AF199" s="3" t="str">
        <f>IFERROR(MID(VLOOKUP($B199,Seqs!$A:$B,2,0),AG199,1),"")</f>
        <v>C</v>
      </c>
      <c r="AG199" s="3">
        <v>173</v>
      </c>
      <c r="AH199" s="3" t="str">
        <f>IFERROR(MID(VLOOKUP($B199,Seqs!$A:$B,2,0),AI199,1),"")</f>
        <v>E</v>
      </c>
      <c r="AI199" s="3">
        <v>175</v>
      </c>
      <c r="AJ199" s="3" t="str">
        <f>IFERROR(MID(VLOOKUP($B199,Seqs!$A:$B,2,0),AK199,1),"")</f>
        <v>D</v>
      </c>
      <c r="AK199" s="3">
        <v>179</v>
      </c>
      <c r="AL199" s="3" t="str">
        <f>IFERROR(MID(VLOOKUP($B199,Seqs!$A:$B,2,0),AM199,1),"")</f>
        <v>K</v>
      </c>
      <c r="AM199" s="3">
        <v>222</v>
      </c>
      <c r="AN199" s="3" t="str">
        <f>IFERROR(MID(VLOOKUP($B199,Seqs!$A:$B,2,0),AO199,1),"")</f>
        <v>I</v>
      </c>
      <c r="AO199" s="3">
        <v>334</v>
      </c>
      <c r="AP199" s="3" t="str">
        <f>IFERROR(MID(VLOOKUP($B199,Seqs!$A:$B,2,0),AQ199,1),"")</f>
        <v/>
      </c>
      <c r="AQ199" s="3">
        <v>371</v>
      </c>
      <c r="AR199" s="3" t="str">
        <f>IFERROR(MID(VLOOKUP($B199,Seqs!$A:$B,2,0),AS199,1),"")</f>
        <v/>
      </c>
      <c r="AS199" s="3">
        <v>375</v>
      </c>
      <c r="AT199" s="3" t="str">
        <f>IFERROR(MID(VLOOKUP($B199,Seqs!$A:$B,2,0),AU199,1),"")</f>
        <v/>
      </c>
      <c r="AU199" s="3">
        <v>406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7" t="str">
        <f>VLOOKUP(B199,Classification!A:D,2,0)</f>
        <v>A</v>
      </c>
      <c r="BA199" s="94" t="str">
        <f>VLOOKUP(B199,Classification!A:D,4,0)</f>
        <v>Leukotriene</v>
      </c>
      <c r="BB199" s="27" t="b">
        <f t="shared" si="1624"/>
        <v>1</v>
      </c>
      <c r="BC199" s="23">
        <f t="shared" si="1625"/>
        <v>262</v>
      </c>
      <c r="BD199" s="16" t="s">
        <v>1425</v>
      </c>
      <c r="BE199" s="3" t="s">
        <v>1424</v>
      </c>
      <c r="BF199" s="118">
        <v>2.7</v>
      </c>
      <c r="BG199" s="49" t="s">
        <v>1</v>
      </c>
      <c r="BH199" s="49" t="s">
        <v>1</v>
      </c>
      <c r="BI199" s="1"/>
      <c r="BJ199" s="70" t="s">
        <v>1283</v>
      </c>
      <c r="BK199" s="57" t="s">
        <v>1283</v>
      </c>
      <c r="BL199" s="57" t="s">
        <v>1283</v>
      </c>
      <c r="BM199" s="57" t="s">
        <v>1283</v>
      </c>
      <c r="BN199" s="57" t="s">
        <v>1283</v>
      </c>
      <c r="BO199" s="57" t="s">
        <v>1283</v>
      </c>
      <c r="BP199" s="57" t="s">
        <v>1283</v>
      </c>
      <c r="BQ199" s="57" t="s">
        <v>1283</v>
      </c>
      <c r="BR199" s="57" t="s">
        <v>1283</v>
      </c>
      <c r="BS199" s="57" t="s">
        <v>1283</v>
      </c>
      <c r="BT199" s="57" t="s">
        <v>1283</v>
      </c>
      <c r="BU199" s="57" t="s">
        <v>1283</v>
      </c>
      <c r="BV199" s="70">
        <f t="shared" si="1626"/>
        <v>11</v>
      </c>
      <c r="BW199" s="71" t="str">
        <f t="shared" si="1627"/>
        <v>-</v>
      </c>
      <c r="BX199" s="72">
        <f t="shared" si="1628"/>
        <v>56</v>
      </c>
      <c r="BY199" s="71">
        <f t="shared" si="1629"/>
        <v>88</v>
      </c>
      <c r="BZ199" s="72">
        <f t="shared" si="1630"/>
        <v>92</v>
      </c>
      <c r="CA199" s="71" t="str">
        <f t="shared" si="1631"/>
        <v>-</v>
      </c>
      <c r="CB199" s="72">
        <f t="shared" si="1632"/>
        <v>132</v>
      </c>
      <c r="CC199" s="71">
        <f t="shared" si="1633"/>
        <v>173</v>
      </c>
      <c r="CD199" s="72">
        <f t="shared" si="1634"/>
        <v>179</v>
      </c>
      <c r="CE199" s="71">
        <f t="shared" si="1635"/>
        <v>334</v>
      </c>
      <c r="CF199" s="72">
        <f t="shared" si="1636"/>
        <v>375</v>
      </c>
      <c r="CG199" s="71" t="str">
        <f t="shared" si="1637"/>
        <v>-</v>
      </c>
      <c r="CH199" s="70">
        <f t="shared" si="1638"/>
        <v>51</v>
      </c>
      <c r="CI199" s="71" t="str">
        <f t="shared" si="1639"/>
        <v>-</v>
      </c>
      <c r="CJ199" s="72">
        <f t="shared" si="1640"/>
        <v>86</v>
      </c>
      <c r="CK199" s="72">
        <f t="shared" si="1641"/>
        <v>91</v>
      </c>
      <c r="CL199" s="72">
        <f t="shared" si="1642"/>
        <v>127</v>
      </c>
      <c r="CM199" s="72" t="str">
        <f t="shared" si="1643"/>
        <v>-</v>
      </c>
      <c r="CN199" s="72">
        <f t="shared" si="1644"/>
        <v>161</v>
      </c>
      <c r="CO199" s="72">
        <f t="shared" si="1645"/>
        <v>175</v>
      </c>
      <c r="CP199" s="72">
        <f t="shared" si="1646"/>
        <v>222</v>
      </c>
      <c r="CQ199" s="72">
        <f t="shared" si="1647"/>
        <v>371</v>
      </c>
      <c r="CR199" s="72">
        <f t="shared" si="1648"/>
        <v>406</v>
      </c>
      <c r="CS199" s="72" t="str">
        <f t="shared" si="1649"/>
        <v>-</v>
      </c>
      <c r="CT199" s="23" t="e">
        <f t="shared" si="1650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30" x14ac:dyDescent="0.2">
      <c r="A200" s="3" t="str">
        <f t="shared" ref="A200" si="1651">CONCATENATE(B200,"_",C200)</f>
        <v>cltr1_human_6RZ5</v>
      </c>
      <c r="B200" s="3" t="s">
        <v>179</v>
      </c>
      <c r="C200" s="3" t="s">
        <v>1598</v>
      </c>
      <c r="D200" s="3" t="str">
        <f>IFERROR(MID(VLOOKUP($B200,Seqs!$A:$B,2,0),E200,1),"")</f>
        <v>I</v>
      </c>
      <c r="E200" s="3">
        <v>18</v>
      </c>
      <c r="F200" s="3" t="str">
        <f>IFERROR(MID(VLOOKUP($B200,Seqs!$A:$B,2,0),G200,1),"")</f>
        <v>T</v>
      </c>
      <c r="G200" s="3">
        <v>51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56</v>
      </c>
      <c r="N200" s="3" t="str">
        <f>IFERROR(MID(VLOOKUP($B200,Seqs!$A:$B,2,0),O200,1),"")</f>
        <v>K</v>
      </c>
      <c r="O200" s="3">
        <v>86</v>
      </c>
      <c r="P200" s="3" t="str">
        <f>IFERROR(MID(VLOOKUP($B200,Seqs!$A:$B,2,0),Q200,1),"")</f>
        <v>I</v>
      </c>
      <c r="Q200" s="3">
        <v>88</v>
      </c>
      <c r="R200" s="3" t="str">
        <f>IFERROR(MID(VLOOKUP($B200,Seqs!$A:$B,2,0),S200,1),"")</f>
        <v>F</v>
      </c>
      <c r="S200" s="3">
        <v>91</v>
      </c>
      <c r="T200" s="3" t="str">
        <f>IFERROR(MID(VLOOKUP($B200,Seqs!$A:$B,2,0),U200,1),"")</f>
        <v>G</v>
      </c>
      <c r="U200" s="3">
        <v>92</v>
      </c>
      <c r="V200" s="3" t="str">
        <f>IFERROR(MID(VLOOKUP($B200,Seqs!$A:$B,2,0),W200,1),"")</f>
        <v>F</v>
      </c>
      <c r="W200" s="3">
        <v>127</v>
      </c>
      <c r="X200" s="3" t="str">
        <f>IFERROR(MID(VLOOKUP($B200,Seqs!$A:$B,2,0),Y200,1),"")</f>
        <v>P</v>
      </c>
      <c r="Y200" s="3">
        <v>128</v>
      </c>
      <c r="Z200" s="3" t="str">
        <f>IFERROR(MID(VLOOKUP($B200,Seqs!$A:$B,2,0),AA200,1),"")</f>
        <v>V</v>
      </c>
      <c r="AA200" s="3">
        <v>135</v>
      </c>
      <c r="AB200" s="3" t="str">
        <f>IFERROR(MID(VLOOKUP($B200,Seqs!$A:$B,2,0),AC200,1),"")</f>
        <v>T</v>
      </c>
      <c r="AC200" s="3">
        <v>136</v>
      </c>
      <c r="AD200" s="3" t="str">
        <f>IFERROR(MID(VLOOKUP($B200,Seqs!$A:$B,2,0),AE200,1),"")</f>
        <v>M</v>
      </c>
      <c r="AE200" s="3">
        <v>160</v>
      </c>
      <c r="AF200" s="3" t="str">
        <f>IFERROR(MID(VLOOKUP($B200,Seqs!$A:$B,2,0),AG200,1),"")</f>
        <v>C</v>
      </c>
      <c r="AG200" s="3">
        <v>173</v>
      </c>
      <c r="AH200" s="3" t="str">
        <f>IFERROR(MID(VLOOKUP($B200,Seqs!$A:$B,2,0),AI200,1),"")</f>
        <v>E</v>
      </c>
      <c r="AI200" s="3">
        <v>175</v>
      </c>
      <c r="AJ200" s="3" t="str">
        <f>IFERROR(MID(VLOOKUP($B200,Seqs!$A:$B,2,0),AK200,1),"")</f>
        <v>K</v>
      </c>
      <c r="AK200" s="3">
        <v>183</v>
      </c>
      <c r="AL200" s="3" t="str">
        <f>IFERROR(MID(VLOOKUP($B200,Seqs!$A:$B,2,0),AM200,1),"")</f>
        <v>K</v>
      </c>
      <c r="AM200" s="3">
        <v>222</v>
      </c>
      <c r="AN200" s="3" t="str">
        <f>IFERROR(MID(VLOOKUP($B200,Seqs!$A:$B,2,0),AO200,1),"")</f>
        <v>C</v>
      </c>
      <c r="AO200" s="3">
        <v>335</v>
      </c>
      <c r="AP200" s="3" t="str">
        <f>IFERROR(MID(VLOOKUP($B200,Seqs!$A:$B,2,0),AQ200,1),"")</f>
        <v/>
      </c>
      <c r="AQ200" s="3">
        <v>371</v>
      </c>
      <c r="AR200" s="3" t="str">
        <f>IFERROR(MID(VLOOKUP($B200,Seqs!$A:$B,2,0),AS200,1),"")</f>
        <v/>
      </c>
      <c r="AS200" s="3">
        <v>375</v>
      </c>
      <c r="AT200" s="3" t="str">
        <f>IFERROR(MID(VLOOKUP($B200,Seqs!$A:$B,2,0),AU200,1),"")</f>
        <v/>
      </c>
      <c r="AU200" s="3">
        <v>407</v>
      </c>
      <c r="AV200" s="3" t="str">
        <f>IFERROR(MID(VLOOKUP($B200,Seqs!$A:$B,2,0),AW200,1),"")</f>
        <v/>
      </c>
      <c r="AW200" s="3" t="s">
        <v>23</v>
      </c>
      <c r="AX200" s="3" t="str">
        <f>IFERROR(MID(VLOOKUP($B200,Seqs!$A:$B,2,0),AY200,1),"")</f>
        <v/>
      </c>
      <c r="AY200" s="3" t="s">
        <v>23</v>
      </c>
      <c r="AZ200" s="77" t="str">
        <f>VLOOKUP(B200,Classification!A:D,2,0)</f>
        <v>A</v>
      </c>
      <c r="BA200" s="94" t="str">
        <f>VLOOKUP(B200,Classification!A:D,4,0)</f>
        <v>Leukotriene</v>
      </c>
      <c r="BB200" s="27" t="b">
        <f t="shared" ref="BB200" si="1652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 t="shared" ref="BC200" si="1653">_xlfn.AGGREGATE(9,6,CH200:CS200)-_xlfn.AGGREGATE(9,6,BV200:CG200)+12</f>
        <v>253</v>
      </c>
      <c r="BD200" s="16" t="s">
        <v>23</v>
      </c>
      <c r="BE200" s="3" t="s">
        <v>1424</v>
      </c>
      <c r="BF200" s="118">
        <v>2.5299999999999998</v>
      </c>
      <c r="BG200" s="49" t="s">
        <v>1277</v>
      </c>
      <c r="BH200" s="49" t="s">
        <v>1277</v>
      </c>
      <c r="BI200" s="1"/>
      <c r="BJ200" s="70" t="s">
        <v>1283</v>
      </c>
      <c r="BK200" s="57" t="s">
        <v>1283</v>
      </c>
      <c r="BL200" s="57" t="s">
        <v>1283</v>
      </c>
      <c r="BM200" s="57" t="s">
        <v>1283</v>
      </c>
      <c r="BN200" s="57" t="s">
        <v>1283</v>
      </c>
      <c r="BO200" s="57" t="s">
        <v>1283</v>
      </c>
      <c r="BP200" s="57" t="s">
        <v>1283</v>
      </c>
      <c r="BQ200" s="57" t="s">
        <v>1283</v>
      </c>
      <c r="BR200" s="57" t="s">
        <v>1283</v>
      </c>
      <c r="BS200" s="57" t="s">
        <v>1283</v>
      </c>
      <c r="BT200" s="57" t="s">
        <v>1283</v>
      </c>
      <c r="BU200" s="57" t="s">
        <v>1283</v>
      </c>
      <c r="BV200" s="70">
        <f t="shared" ref="BV200" si="1654">E200</f>
        <v>18</v>
      </c>
      <c r="BW200" s="71" t="str">
        <f t="shared" ref="BW200" si="1655">I200</f>
        <v>-</v>
      </c>
      <c r="BX200" s="72">
        <f t="shared" ref="BX200" si="1656">M200</f>
        <v>56</v>
      </c>
      <c r="BY200" s="71">
        <f t="shared" ref="BY200" si="1657">Q200</f>
        <v>88</v>
      </c>
      <c r="BZ200" s="72">
        <f t="shared" ref="BZ200" si="1658">U200</f>
        <v>92</v>
      </c>
      <c r="CA200" s="71">
        <f t="shared" ref="CA200" si="1659">Y200</f>
        <v>128</v>
      </c>
      <c r="CB200" s="72">
        <f t="shared" ref="CB200" si="1660">AC200</f>
        <v>136</v>
      </c>
      <c r="CC200" s="71">
        <f t="shared" ref="CC200" si="1661">AG200</f>
        <v>173</v>
      </c>
      <c r="CD200" s="72">
        <f t="shared" ref="CD200" si="1662">AK200</f>
        <v>183</v>
      </c>
      <c r="CE200" s="71">
        <f t="shared" ref="CE200" si="1663">AO200</f>
        <v>335</v>
      </c>
      <c r="CF200" s="72">
        <f t="shared" ref="CF200" si="1664">AS200</f>
        <v>375</v>
      </c>
      <c r="CG200" s="71" t="str">
        <f t="shared" ref="CG200" si="1665">AW200</f>
        <v>-</v>
      </c>
      <c r="CH200" s="70">
        <f t="shared" ref="CH200" si="1666">G200</f>
        <v>51</v>
      </c>
      <c r="CI200" s="71" t="str">
        <f t="shared" ref="CI200" si="1667">K200</f>
        <v>-</v>
      </c>
      <c r="CJ200" s="72">
        <f t="shared" ref="CJ200" si="1668">O200</f>
        <v>86</v>
      </c>
      <c r="CK200" s="72">
        <f t="shared" ref="CK200" si="1669">S200</f>
        <v>91</v>
      </c>
      <c r="CL200" s="72">
        <f t="shared" ref="CL200" si="1670">W200</f>
        <v>127</v>
      </c>
      <c r="CM200" s="72">
        <f t="shared" ref="CM200" si="1671">AA200</f>
        <v>135</v>
      </c>
      <c r="CN200" s="72">
        <f t="shared" ref="CN200" si="1672">AE200</f>
        <v>160</v>
      </c>
      <c r="CO200" s="72">
        <f t="shared" ref="CO200" si="1673">AI200</f>
        <v>175</v>
      </c>
      <c r="CP200" s="72">
        <f t="shared" ref="CP200" si="1674">AM200</f>
        <v>222</v>
      </c>
      <c r="CQ200" s="72">
        <f t="shared" ref="CQ200" si="1675">AQ200</f>
        <v>371</v>
      </c>
      <c r="CR200" s="72">
        <f t="shared" ref="CR200" si="1676">AU200</f>
        <v>407</v>
      </c>
      <c r="CS200" s="72" t="str">
        <f t="shared" ref="CS200" si="1677">AY200</f>
        <v>-</v>
      </c>
      <c r="CT200" s="23" t="e">
        <f t="shared" ref="CT200" si="1678">M200-K200</f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ref="A201:A202" si="1679">CONCATENATE(B201,"_",C201)</f>
        <v>cltr2_human__wt</v>
      </c>
      <c r="B201" s="3" t="s">
        <v>180</v>
      </c>
      <c r="C201" s="3" t="s">
        <v>100</v>
      </c>
      <c r="D201" s="3" t="str">
        <f>IFERROR(MID(VLOOKUP($B201,Seqs!$A:$B,2,0),E201,1),"")</f>
        <v>C</v>
      </c>
      <c r="E201" s="3">
        <v>31</v>
      </c>
      <c r="F201" s="3" t="str">
        <f>IFERROR(MID(VLOOKUP($B201,Seqs!$A:$B,2,0),G201,1),"")</f>
        <v>P</v>
      </c>
      <c r="G201" s="3">
        <v>66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T</v>
      </c>
      <c r="M201" s="3">
        <v>71</v>
      </c>
      <c r="N201" s="3" t="str">
        <f>IFERROR(MID(VLOOKUP($B201,Seqs!$A:$B,2,0),O201,1),"")</f>
        <v>G</v>
      </c>
      <c r="O201" s="3">
        <v>101</v>
      </c>
      <c r="P201" s="3" t="str">
        <f>IFERROR(MID(VLOOKUP($B201,Seqs!$A:$B,2,0),Q201,1),"")</f>
        <v>N</v>
      </c>
      <c r="Q201" s="3">
        <v>103</v>
      </c>
      <c r="R201" s="3" t="str">
        <f>IFERROR(MID(VLOOKUP($B201,Seqs!$A:$B,2,0),S201,1),"")</f>
        <v>F</v>
      </c>
      <c r="S201" s="3">
        <v>106</v>
      </c>
      <c r="T201" s="3" t="str">
        <f>IFERROR(MID(VLOOKUP($B201,Seqs!$A:$B,2,0),U201,1),"")</f>
        <v>G</v>
      </c>
      <c r="U201" s="3">
        <v>107</v>
      </c>
      <c r="V201" s="3" t="str">
        <f>IFERROR(MID(VLOOKUP($B201,Seqs!$A:$B,2,0),W201,1),"")</f>
        <v>H</v>
      </c>
      <c r="W201" s="3">
        <v>142</v>
      </c>
      <c r="X201" s="3" t="str">
        <f>IFERROR(MID(VLOOKUP($B201,Seqs!$A:$B,2,0),Y201,1),"")</f>
        <v>P</v>
      </c>
      <c r="Y201" s="3">
        <v>143</v>
      </c>
      <c r="Z201" s="3" t="str">
        <f>IFERROR(MID(VLOOKUP($B201,Seqs!$A:$B,2,0),AA201,1),"")</f>
        <v>T</v>
      </c>
      <c r="AA201" s="3">
        <v>150</v>
      </c>
      <c r="AB201" s="3" t="str">
        <f>IFERROR(MID(VLOOKUP($B201,Seqs!$A:$B,2,0),AC201,1),"")</f>
        <v>S</v>
      </c>
      <c r="AC201" s="3">
        <v>151</v>
      </c>
      <c r="AD201" s="3" t="str">
        <f>IFERROR(MID(VLOOKUP($B201,Seqs!$A:$B,2,0),AE201,1),"")</f>
        <v>S</v>
      </c>
      <c r="AE201" s="3">
        <v>176</v>
      </c>
      <c r="AF201" s="3" t="str">
        <f>IFERROR(MID(VLOOKUP($B201,Seqs!$A:$B,2,0),AG201,1),"")</f>
        <v>C</v>
      </c>
      <c r="AG201" s="3">
        <v>187</v>
      </c>
      <c r="AH201" s="3" t="str">
        <f>IFERROR(MID(VLOOKUP($B201,Seqs!$A:$B,2,0),AI201,1),"")</f>
        <v>E</v>
      </c>
      <c r="AI201" s="3">
        <v>189</v>
      </c>
      <c r="AJ201" s="3" t="str">
        <f>IFERROR(MID(VLOOKUP($B201,Seqs!$A:$B,2,0),AK201,1),"")</f>
        <v>I</v>
      </c>
      <c r="AK201" s="3">
        <v>195</v>
      </c>
      <c r="AL201" s="3" t="str">
        <f>IFERROR(MID(VLOOKUP($B201,Seqs!$A:$B,2,0),AM201,1),"")</f>
        <v>V</v>
      </c>
      <c r="AM201" s="3">
        <v>231</v>
      </c>
      <c r="AN201" s="3" t="str">
        <f>IFERROR(MID(VLOOKUP($B201,Seqs!$A:$B,2,0),AO201,1),"")</f>
        <v>S</v>
      </c>
      <c r="AO201" s="3">
        <v>236</v>
      </c>
      <c r="AP201" s="3" t="str">
        <f>IFERROR(MID(VLOOKUP($B201,Seqs!$A:$B,2,0),AQ201,1),"")</f>
        <v>W</v>
      </c>
      <c r="AQ201" s="3">
        <v>274</v>
      </c>
      <c r="AR201" s="3" t="str">
        <f>IFERROR(MID(VLOOKUP($B201,Seqs!$A:$B,2,0),AS201,1),"")</f>
        <v>K</v>
      </c>
      <c r="AS201" s="3">
        <v>280</v>
      </c>
      <c r="AT201" s="3" t="str">
        <f>IFERROR(MID(VLOOKUP($B201,Seqs!$A:$B,2,0),AU201,1),"")</f>
        <v>A</v>
      </c>
      <c r="AU201" s="3">
        <v>308</v>
      </c>
      <c r="AV201" s="3" t="str">
        <f>IFERROR(MID(VLOOKUP($B201,Seqs!$A:$B,2,0),AW201,1),"")</f>
        <v>G</v>
      </c>
      <c r="AW201" s="3">
        <v>309</v>
      </c>
      <c r="AX201" s="3" t="str">
        <f>IFERROR(MID(VLOOKUP($B201,Seqs!$A:$B,2,0),AY201,1),"")</f>
        <v>K</v>
      </c>
      <c r="AY201" s="3">
        <v>322</v>
      </c>
      <c r="AZ201" s="77" t="str">
        <f>VLOOKUP(B201,Classification!A:D,2,0)</f>
        <v>A</v>
      </c>
      <c r="BA201" s="94" t="str">
        <f>VLOOKUP(B201,Classification!A:D,4,0)</f>
        <v>Leukotriene</v>
      </c>
      <c r="BB201" s="27" t="b">
        <f t="shared" ref="BB201:BB202" si="1680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23">
        <f t="shared" ref="BC201:BC202" si="1681">_xlfn.AGGREGATE(9,6,CH201:CS201)-_xlfn.AGGREGATE(9,6,BV201:CG201)+12</f>
        <v>264</v>
      </c>
      <c r="BD201" s="16" t="s">
        <v>23</v>
      </c>
      <c r="BE201" s="3" t="s">
        <v>23</v>
      </c>
      <c r="BF201" s="118" t="s">
        <v>23</v>
      </c>
      <c r="BG201" s="49" t="s">
        <v>23</v>
      </c>
      <c r="BH201" s="49" t="s">
        <v>23</v>
      </c>
      <c r="BI201" s="1"/>
      <c r="BJ201" s="70" t="s">
        <v>1283</v>
      </c>
      <c r="BK201" s="57" t="s">
        <v>1283</v>
      </c>
      <c r="BL201" s="57" t="s">
        <v>1283</v>
      </c>
      <c r="BM201" s="57" t="s">
        <v>1283</v>
      </c>
      <c r="BN201" s="57" t="s">
        <v>1283</v>
      </c>
      <c r="BO201" s="57" t="s">
        <v>1283</v>
      </c>
      <c r="BP201" s="57" t="s">
        <v>1283</v>
      </c>
      <c r="BQ201" s="57" t="s">
        <v>1283</v>
      </c>
      <c r="BR201" s="57" t="s">
        <v>1283</v>
      </c>
      <c r="BS201" s="57" t="s">
        <v>1283</v>
      </c>
      <c r="BT201" s="57" t="s">
        <v>1283</v>
      </c>
      <c r="BU201" s="57" t="s">
        <v>1283</v>
      </c>
      <c r="BV201" s="70">
        <f t="shared" ref="BV201:BV202" si="1682">E201</f>
        <v>31</v>
      </c>
      <c r="BW201" s="71" t="str">
        <f t="shared" ref="BW201:BW202" si="1683">I201</f>
        <v>-</v>
      </c>
      <c r="BX201" s="72">
        <f t="shared" ref="BX201:BX202" si="1684">M201</f>
        <v>71</v>
      </c>
      <c r="BY201" s="71">
        <f t="shared" ref="BY201:BY202" si="1685">Q201</f>
        <v>103</v>
      </c>
      <c r="BZ201" s="72">
        <f t="shared" ref="BZ201:BZ202" si="1686">U201</f>
        <v>107</v>
      </c>
      <c r="CA201" s="71">
        <f t="shared" ref="CA201:CA202" si="1687">Y201</f>
        <v>143</v>
      </c>
      <c r="CB201" s="72">
        <f t="shared" ref="CB201:CB202" si="1688">AC201</f>
        <v>151</v>
      </c>
      <c r="CC201" s="71">
        <f t="shared" ref="CC201:CC202" si="1689">AG201</f>
        <v>187</v>
      </c>
      <c r="CD201" s="72">
        <f t="shared" ref="CD201:CD202" si="1690">AK201</f>
        <v>195</v>
      </c>
      <c r="CE201" s="71">
        <f t="shared" ref="CE201:CE202" si="1691">AO201</f>
        <v>236</v>
      </c>
      <c r="CF201" s="72">
        <f t="shared" ref="CF201:CF202" si="1692">AS201</f>
        <v>280</v>
      </c>
      <c r="CG201" s="71">
        <f t="shared" ref="CG201:CG202" si="1693">AW201</f>
        <v>309</v>
      </c>
      <c r="CH201" s="70">
        <f t="shared" ref="CH201:CH202" si="1694">G201</f>
        <v>66</v>
      </c>
      <c r="CI201" s="71" t="str">
        <f t="shared" ref="CI201:CI202" si="1695">K201</f>
        <v>-</v>
      </c>
      <c r="CJ201" s="72">
        <f t="shared" ref="CJ201:CJ202" si="1696">O201</f>
        <v>101</v>
      </c>
      <c r="CK201" s="72">
        <f t="shared" ref="CK201:CK202" si="1697">S201</f>
        <v>106</v>
      </c>
      <c r="CL201" s="72">
        <f t="shared" ref="CL201:CL202" si="1698">W201</f>
        <v>142</v>
      </c>
      <c r="CM201" s="72">
        <f t="shared" ref="CM201:CM202" si="1699">AA201</f>
        <v>150</v>
      </c>
      <c r="CN201" s="72">
        <f t="shared" ref="CN201:CN202" si="1700">AE201</f>
        <v>176</v>
      </c>
      <c r="CO201" s="72">
        <f t="shared" ref="CO201:CO202" si="1701">AI201</f>
        <v>189</v>
      </c>
      <c r="CP201" s="72">
        <f t="shared" ref="CP201:CP202" si="1702">AM201</f>
        <v>231</v>
      </c>
      <c r="CQ201" s="72">
        <f t="shared" ref="CQ201:CQ202" si="1703">AQ201</f>
        <v>274</v>
      </c>
      <c r="CR201" s="72">
        <f t="shared" ref="CR201:CR202" si="1704">AU201</f>
        <v>308</v>
      </c>
      <c r="CS201" s="72">
        <f t="shared" ref="CS201:CS202" si="1705">AY201</f>
        <v>322</v>
      </c>
      <c r="CT201" s="23" t="e">
        <f t="shared" ref="CT201:CT202" si="1706">M201-K201</f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1679"/>
        <v>cltr2_human_6RZ6</v>
      </c>
      <c r="B202" s="3" t="s">
        <v>180</v>
      </c>
      <c r="C202" s="3" t="s">
        <v>1615</v>
      </c>
      <c r="D202" s="3" t="str">
        <f>IFERROR(MID(VLOOKUP($B202,Seqs!$A:$B,2,0),E202,1),"")</f>
        <v>C</v>
      </c>
      <c r="E202" s="3">
        <v>31</v>
      </c>
      <c r="F202" s="3" t="str">
        <f>IFERROR(MID(VLOOKUP($B202,Seqs!$A:$B,2,0),G202,1),"")</f>
        <v>Q</v>
      </c>
      <c r="G202" s="3">
        <v>65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T</v>
      </c>
      <c r="M202" s="3">
        <v>71</v>
      </c>
      <c r="N202" s="3" t="str">
        <f>IFERROR(MID(VLOOKUP($B202,Seqs!$A:$B,2,0),O202,1),"")</f>
        <v>G</v>
      </c>
      <c r="O202" s="3">
        <v>101</v>
      </c>
      <c r="P202" s="3" t="str">
        <f>IFERROR(MID(VLOOKUP($B202,Seqs!$A:$B,2,0),Q202,1),"")</f>
        <v>N</v>
      </c>
      <c r="Q202" s="3">
        <v>103</v>
      </c>
      <c r="R202" s="3" t="str">
        <f>IFERROR(MID(VLOOKUP($B202,Seqs!$A:$B,2,0),S202,1),"")</f>
        <v>F</v>
      </c>
      <c r="S202" s="3">
        <v>106</v>
      </c>
      <c r="T202" s="3" t="str">
        <f>IFERROR(MID(VLOOKUP($B202,Seqs!$A:$B,2,0),U202,1),"")</f>
        <v>G</v>
      </c>
      <c r="U202" s="3">
        <v>107</v>
      </c>
      <c r="V202" s="3" t="str">
        <f>IFERROR(MID(VLOOKUP($B202,Seqs!$A:$B,2,0),W202,1),"")</f>
        <v>H</v>
      </c>
      <c r="W202" s="3">
        <v>142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V</v>
      </c>
      <c r="AC202" s="3">
        <v>149</v>
      </c>
      <c r="AD202" s="3" t="str">
        <f>IFERROR(MID(VLOOKUP($B202,Seqs!$A:$B,2,0),AE202,1),"")</f>
        <v>S</v>
      </c>
      <c r="AE202" s="3">
        <v>176</v>
      </c>
      <c r="AF202" s="3" t="str">
        <f>IFERROR(MID(VLOOKUP($B202,Seqs!$A:$B,2,0),AG202,1),"")</f>
        <v>C</v>
      </c>
      <c r="AG202" s="3">
        <v>187</v>
      </c>
      <c r="AH202" s="3" t="str">
        <f>IFERROR(MID(VLOOKUP($B202,Seqs!$A:$B,2,0),AI202,1),"")</f>
        <v>E</v>
      </c>
      <c r="AI202" s="3">
        <v>189</v>
      </c>
      <c r="AJ202" s="3" t="str">
        <f>IFERROR(MID(VLOOKUP($B202,Seqs!$A:$B,2,0),AK202,1),"")</f>
        <v>K</v>
      </c>
      <c r="AK202" s="3">
        <v>194</v>
      </c>
      <c r="AL202" s="3" t="str">
        <f>IFERROR(MID(VLOOKUP($B202,Seqs!$A:$B,2,0),AM202,1),"")</f>
        <v>E</v>
      </c>
      <c r="AM202" s="3">
        <v>232</v>
      </c>
      <c r="AN202" s="3" t="str">
        <f>IFERROR(MID(VLOOKUP($B202,Seqs!$A:$B,2,0),AO202,1),"")</f>
        <v>S</v>
      </c>
      <c r="AO202" s="3">
        <v>241</v>
      </c>
      <c r="AP202" s="3" t="str">
        <f>IFERROR(MID(VLOOKUP($B202,Seqs!$A:$B,2,0),AQ202,1),"")</f>
        <v>W</v>
      </c>
      <c r="AQ202" s="3">
        <v>274</v>
      </c>
      <c r="AR202" s="3" t="str">
        <f>IFERROR(MID(VLOOKUP($B202,Seqs!$A:$B,2,0),AS202,1),"")</f>
        <v>K</v>
      </c>
      <c r="AS202" s="3">
        <v>280</v>
      </c>
      <c r="AT202" s="3" t="str">
        <f>IFERROR(MID(VLOOKUP($B202,Seqs!$A:$B,2,0),AU202,1),"")</f>
        <v>A</v>
      </c>
      <c r="AU202" s="3">
        <v>308</v>
      </c>
      <c r="AV202" s="3" t="str">
        <f>IFERROR(MID(VLOOKUP($B202,Seqs!$A:$B,2,0),AW202,1),"")</f>
        <v>N</v>
      </c>
      <c r="AW202" s="3">
        <v>311</v>
      </c>
      <c r="AX202" s="3" t="str">
        <f>IFERROR(MID(VLOOKUP($B202,Seqs!$A:$B,2,0),AY202,1),"")</f>
        <v>K</v>
      </c>
      <c r="AY202" s="3">
        <v>322</v>
      </c>
      <c r="AZ202" s="77" t="str">
        <f>VLOOKUP(B202,Classification!A:D,2,0)</f>
        <v>A</v>
      </c>
      <c r="BA202" s="94" t="str">
        <f>VLOOKUP(B202,Classification!A:D,4,0)</f>
        <v>Leukotriene</v>
      </c>
      <c r="BB202" s="27" t="b">
        <f t="shared" si="1680"/>
        <v>1</v>
      </c>
      <c r="BC202" s="23">
        <f t="shared" si="1681"/>
        <v>253</v>
      </c>
      <c r="BD202" s="16" t="s">
        <v>23</v>
      </c>
      <c r="BE202" s="3" t="s">
        <v>1467</v>
      </c>
      <c r="BF202" s="118">
        <v>2.4300000000000002</v>
      </c>
      <c r="BG202" s="49" t="s">
        <v>1</v>
      </c>
      <c r="BH202" s="49" t="s">
        <v>1</v>
      </c>
      <c r="BI202" s="1"/>
      <c r="BJ202" s="70" t="s">
        <v>1283</v>
      </c>
      <c r="BK202" s="57" t="s">
        <v>1283</v>
      </c>
      <c r="BL202" s="57" t="s">
        <v>1283</v>
      </c>
      <c r="BM202" s="57" t="s">
        <v>1283</v>
      </c>
      <c r="BN202" s="57" t="s">
        <v>1283</v>
      </c>
      <c r="BO202" s="57" t="s">
        <v>1283</v>
      </c>
      <c r="BP202" s="57" t="s">
        <v>1283</v>
      </c>
      <c r="BQ202" s="57" t="s">
        <v>1283</v>
      </c>
      <c r="BR202" s="57" t="s">
        <v>1283</v>
      </c>
      <c r="BS202" s="57" t="s">
        <v>1283</v>
      </c>
      <c r="BT202" s="57" t="s">
        <v>1283</v>
      </c>
      <c r="BU202" s="57" t="s">
        <v>1283</v>
      </c>
      <c r="BV202" s="70">
        <f t="shared" si="1682"/>
        <v>31</v>
      </c>
      <c r="BW202" s="71" t="str">
        <f t="shared" si="1683"/>
        <v>-</v>
      </c>
      <c r="BX202" s="72">
        <f t="shared" si="1684"/>
        <v>71</v>
      </c>
      <c r="BY202" s="71">
        <f t="shared" si="1685"/>
        <v>103</v>
      </c>
      <c r="BZ202" s="72">
        <f t="shared" si="1686"/>
        <v>107</v>
      </c>
      <c r="CA202" s="71" t="str">
        <f t="shared" si="1687"/>
        <v>-</v>
      </c>
      <c r="CB202" s="72">
        <f t="shared" si="1688"/>
        <v>149</v>
      </c>
      <c r="CC202" s="71">
        <f t="shared" si="1689"/>
        <v>187</v>
      </c>
      <c r="CD202" s="72">
        <f t="shared" si="1690"/>
        <v>194</v>
      </c>
      <c r="CE202" s="71">
        <f t="shared" si="1691"/>
        <v>241</v>
      </c>
      <c r="CF202" s="72">
        <f t="shared" si="1692"/>
        <v>280</v>
      </c>
      <c r="CG202" s="71">
        <f t="shared" si="1693"/>
        <v>311</v>
      </c>
      <c r="CH202" s="70">
        <f t="shared" si="1694"/>
        <v>65</v>
      </c>
      <c r="CI202" s="71" t="str">
        <f t="shared" si="1695"/>
        <v>-</v>
      </c>
      <c r="CJ202" s="72">
        <f t="shared" si="1696"/>
        <v>101</v>
      </c>
      <c r="CK202" s="72">
        <f t="shared" si="1697"/>
        <v>106</v>
      </c>
      <c r="CL202" s="72">
        <f t="shared" si="1698"/>
        <v>142</v>
      </c>
      <c r="CM202" s="72" t="str">
        <f t="shared" si="1699"/>
        <v>-</v>
      </c>
      <c r="CN202" s="72">
        <f t="shared" si="1700"/>
        <v>176</v>
      </c>
      <c r="CO202" s="72">
        <f t="shared" si="1701"/>
        <v>189</v>
      </c>
      <c r="CP202" s="72">
        <f t="shared" si="1702"/>
        <v>232</v>
      </c>
      <c r="CQ202" s="72">
        <f t="shared" si="1703"/>
        <v>274</v>
      </c>
      <c r="CR202" s="72">
        <f t="shared" si="1704"/>
        <v>308</v>
      </c>
      <c r="CS202" s="72">
        <f t="shared" si="1705"/>
        <v>322</v>
      </c>
      <c r="CT202" s="23" t="e">
        <f t="shared" si="1706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ht="17" customHeight="1" x14ac:dyDescent="0.2">
      <c r="A203" s="3" t="str">
        <f t="shared" ref="A203" si="1707">CONCATENATE(B203,"_",C203)</f>
        <v>cltr2_human_6RZ7</v>
      </c>
      <c r="B203" s="3" t="s">
        <v>180</v>
      </c>
      <c r="C203" s="3" t="s">
        <v>1616</v>
      </c>
      <c r="D203" s="3" t="str">
        <f>IFERROR(MID(VLOOKUP($B203,Seqs!$A:$B,2,0),E203,1),"")</f>
        <v>C</v>
      </c>
      <c r="E203" s="3">
        <v>31</v>
      </c>
      <c r="F203" s="3" t="str">
        <f>IFERROR(MID(VLOOKUP($B203,Seqs!$A:$B,2,0),G203,1),"")</f>
        <v>Q</v>
      </c>
      <c r="G203" s="3">
        <v>65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T</v>
      </c>
      <c r="M203" s="3">
        <v>71</v>
      </c>
      <c r="N203" s="3" t="str">
        <f>IFERROR(MID(VLOOKUP($B203,Seqs!$A:$B,2,0),O203,1),"")</f>
        <v>G</v>
      </c>
      <c r="O203" s="3">
        <v>101</v>
      </c>
      <c r="P203" s="3" t="str">
        <f>IFERROR(MID(VLOOKUP($B203,Seqs!$A:$B,2,0),Q203,1),"")</f>
        <v>N</v>
      </c>
      <c r="Q203" s="3">
        <v>103</v>
      </c>
      <c r="R203" s="3" t="str">
        <f>IFERROR(MID(VLOOKUP($B203,Seqs!$A:$B,2,0),S203,1),"")</f>
        <v>F</v>
      </c>
      <c r="S203" s="3">
        <v>106</v>
      </c>
      <c r="T203" s="3" t="str">
        <f>IFERROR(MID(VLOOKUP($B203,Seqs!$A:$B,2,0),U203,1),"")</f>
        <v>G</v>
      </c>
      <c r="U203" s="3">
        <v>107</v>
      </c>
      <c r="V203" s="3" t="str">
        <f>IFERROR(MID(VLOOKUP($B203,Seqs!$A:$B,2,0),W203,1),"")</f>
        <v>H</v>
      </c>
      <c r="W203" s="3">
        <v>142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S</v>
      </c>
      <c r="AC203" s="3">
        <v>151</v>
      </c>
      <c r="AD203" s="3" t="str">
        <f>IFERROR(MID(VLOOKUP($B203,Seqs!$A:$B,2,0),AE203,1),"")</f>
        <v>L</v>
      </c>
      <c r="AE203" s="3">
        <v>174</v>
      </c>
      <c r="AF203" s="3" t="str">
        <f>IFERROR(MID(VLOOKUP($B203,Seqs!$A:$B,2,0),AG203,1),"")</f>
        <v>C</v>
      </c>
      <c r="AG203" s="3">
        <v>187</v>
      </c>
      <c r="AH203" s="3" t="str">
        <f>IFERROR(MID(VLOOKUP($B203,Seqs!$A:$B,2,0),AI203,1),"")</f>
        <v>E</v>
      </c>
      <c r="AI203" s="3">
        <v>189</v>
      </c>
      <c r="AJ203" s="3" t="str">
        <f>IFERROR(MID(VLOOKUP($B203,Seqs!$A:$B,2,0),AK203,1),"")</f>
        <v>K</v>
      </c>
      <c r="AK203" s="3">
        <v>194</v>
      </c>
      <c r="AL203" s="3" t="str">
        <f>IFERROR(MID(VLOOKUP($B203,Seqs!$A:$B,2,0),AM203,1),"")</f>
        <v>E</v>
      </c>
      <c r="AM203" s="3">
        <v>232</v>
      </c>
      <c r="AN203" s="3" t="str">
        <f>IFERROR(MID(VLOOKUP($B203,Seqs!$A:$B,2,0),AO203,1),"")</f>
        <v>S</v>
      </c>
      <c r="AO203" s="3">
        <v>241</v>
      </c>
      <c r="AP203" s="3" t="str">
        <f>IFERROR(MID(VLOOKUP($B203,Seqs!$A:$B,2,0),AQ203,1),"")</f>
        <v>W</v>
      </c>
      <c r="AQ203" s="3">
        <v>274</v>
      </c>
      <c r="AR203" s="3" t="str">
        <f>IFERROR(MID(VLOOKUP($B203,Seqs!$A:$B,2,0),AS203,1),"")</f>
        <v>K</v>
      </c>
      <c r="AS203" s="3">
        <v>280</v>
      </c>
      <c r="AT203" s="3" t="str">
        <f>IFERROR(MID(VLOOKUP($B203,Seqs!$A:$B,2,0),AU203,1),"")</f>
        <v>G</v>
      </c>
      <c r="AU203" s="3">
        <v>309</v>
      </c>
      <c r="AV203" s="3" t="str">
        <f>IFERROR(MID(VLOOKUP($B203,Seqs!$A:$B,2,0),AW203,1),"")</f>
        <v>N</v>
      </c>
      <c r="AW203" s="3">
        <v>311</v>
      </c>
      <c r="AX203" s="3" t="str">
        <f>IFERROR(MID(VLOOKUP($B203,Seqs!$A:$B,2,0),AY203,1),"")</f>
        <v>R</v>
      </c>
      <c r="AY203" s="3">
        <v>321</v>
      </c>
      <c r="AZ203" s="77" t="str">
        <f>VLOOKUP(B203,Classification!A:D,2,0)</f>
        <v>A</v>
      </c>
      <c r="BA203" s="94" t="str">
        <f>VLOOKUP(B203,Classification!A:D,4,0)</f>
        <v>Leukotriene</v>
      </c>
      <c r="BB203" s="27" t="b">
        <f t="shared" ref="BB203" si="1708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23">
        <f t="shared" ref="BC203" si="1709">_xlfn.AGGREGATE(9,6,CH203:CS203)-_xlfn.AGGREGATE(9,6,BV203:CG203)+12</f>
        <v>249</v>
      </c>
      <c r="BD203" s="16" t="s">
        <v>23</v>
      </c>
      <c r="BE203" s="3" t="s">
        <v>1467</v>
      </c>
      <c r="BF203" s="118">
        <v>2.4300000000000002</v>
      </c>
      <c r="BG203" s="49" t="s">
        <v>1</v>
      </c>
      <c r="BH203" s="49" t="s">
        <v>1</v>
      </c>
      <c r="BI203" s="1"/>
      <c r="BJ203" s="70" t="s">
        <v>1283</v>
      </c>
      <c r="BK203" s="57" t="s">
        <v>1283</v>
      </c>
      <c r="BL203" s="57" t="s">
        <v>1283</v>
      </c>
      <c r="BM203" s="57" t="s">
        <v>1283</v>
      </c>
      <c r="BN203" s="57" t="s">
        <v>1283</v>
      </c>
      <c r="BO203" s="57" t="s">
        <v>1283</v>
      </c>
      <c r="BP203" s="57" t="s">
        <v>1283</v>
      </c>
      <c r="BQ203" s="57" t="s">
        <v>1283</v>
      </c>
      <c r="BR203" s="57" t="s">
        <v>1283</v>
      </c>
      <c r="BS203" s="57" t="s">
        <v>1283</v>
      </c>
      <c r="BT203" s="57" t="s">
        <v>1283</v>
      </c>
      <c r="BU203" s="57" t="s">
        <v>1283</v>
      </c>
      <c r="BV203" s="70">
        <f t="shared" ref="BV203" si="1710">E203</f>
        <v>31</v>
      </c>
      <c r="BW203" s="71" t="str">
        <f t="shared" ref="BW203" si="1711">I203</f>
        <v>-</v>
      </c>
      <c r="BX203" s="72">
        <f t="shared" ref="BX203" si="1712">M203</f>
        <v>71</v>
      </c>
      <c r="BY203" s="71">
        <f t="shared" ref="BY203" si="1713">Q203</f>
        <v>103</v>
      </c>
      <c r="BZ203" s="72">
        <f t="shared" ref="BZ203" si="1714">U203</f>
        <v>107</v>
      </c>
      <c r="CA203" s="71" t="str">
        <f t="shared" ref="CA203" si="1715">Y203</f>
        <v>-</v>
      </c>
      <c r="CB203" s="72">
        <f t="shared" ref="CB203" si="1716">AC203</f>
        <v>151</v>
      </c>
      <c r="CC203" s="71">
        <f t="shared" ref="CC203" si="1717">AG203</f>
        <v>187</v>
      </c>
      <c r="CD203" s="72">
        <f t="shared" ref="CD203" si="1718">AK203</f>
        <v>194</v>
      </c>
      <c r="CE203" s="71">
        <f t="shared" ref="CE203" si="1719">AO203</f>
        <v>241</v>
      </c>
      <c r="CF203" s="72">
        <f t="shared" ref="CF203" si="1720">AS203</f>
        <v>280</v>
      </c>
      <c r="CG203" s="71">
        <f t="shared" ref="CG203" si="1721">AW203</f>
        <v>311</v>
      </c>
      <c r="CH203" s="70">
        <f t="shared" ref="CH203" si="1722">G203</f>
        <v>65</v>
      </c>
      <c r="CI203" s="71" t="str">
        <f t="shared" ref="CI203" si="1723">K203</f>
        <v>-</v>
      </c>
      <c r="CJ203" s="72">
        <f t="shared" ref="CJ203" si="1724">O203</f>
        <v>101</v>
      </c>
      <c r="CK203" s="72">
        <f t="shared" ref="CK203" si="1725">S203</f>
        <v>106</v>
      </c>
      <c r="CL203" s="72">
        <f t="shared" ref="CL203" si="1726">W203</f>
        <v>142</v>
      </c>
      <c r="CM203" s="72" t="str">
        <f t="shared" ref="CM203" si="1727">AA203</f>
        <v>-</v>
      </c>
      <c r="CN203" s="72">
        <f t="shared" ref="CN203" si="1728">AE203</f>
        <v>174</v>
      </c>
      <c r="CO203" s="72">
        <f t="shared" ref="CO203" si="1729">AI203</f>
        <v>189</v>
      </c>
      <c r="CP203" s="72">
        <f t="shared" ref="CP203" si="1730">AM203</f>
        <v>232</v>
      </c>
      <c r="CQ203" s="72">
        <f t="shared" ref="CQ203" si="1731">AQ203</f>
        <v>274</v>
      </c>
      <c r="CR203" s="72">
        <f t="shared" ref="CR203" si="1732">AU203</f>
        <v>309</v>
      </c>
      <c r="CS203" s="72">
        <f t="shared" ref="CS203" si="1733">AY203</f>
        <v>321</v>
      </c>
      <c r="CT203" s="23" t="e">
        <f t="shared" ref="CT203" si="1734">M203-K203</f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ref="A204" si="1735">CONCATENATE(B204,"_",C204)</f>
        <v>cltr2_human_6RZ8</v>
      </c>
      <c r="B204" s="3" t="s">
        <v>180</v>
      </c>
      <c r="C204" s="3" t="s">
        <v>1617</v>
      </c>
      <c r="D204" s="3" t="str">
        <f>IFERROR(MID(VLOOKUP($B204,Seqs!$A:$B,2,0),E204,1),"")</f>
        <v>T</v>
      </c>
      <c r="E204" s="3">
        <v>32</v>
      </c>
      <c r="F204" s="3" t="str">
        <f>IFERROR(MID(VLOOKUP($B204,Seqs!$A:$B,2,0),G204,1),"")</f>
        <v>Q</v>
      </c>
      <c r="G204" s="3">
        <v>65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71</v>
      </c>
      <c r="N204" s="3" t="str">
        <f>IFERROR(MID(VLOOKUP($B204,Seqs!$A:$B,2,0),O204,1),"")</f>
        <v>G</v>
      </c>
      <c r="O204" s="3">
        <v>101</v>
      </c>
      <c r="P204" s="3" t="str">
        <f>IFERROR(MID(VLOOKUP($B204,Seqs!$A:$B,2,0),Q204,1),"")</f>
        <v>N</v>
      </c>
      <c r="Q204" s="3">
        <v>103</v>
      </c>
      <c r="R204" s="3" t="str">
        <f>IFERROR(MID(VLOOKUP($B204,Seqs!$A:$B,2,0),S204,1),"")</f>
        <v>F</v>
      </c>
      <c r="S204" s="3">
        <v>106</v>
      </c>
      <c r="T204" s="3" t="str">
        <f>IFERROR(MID(VLOOKUP($B204,Seqs!$A:$B,2,0),U204,1),"")</f>
        <v>G</v>
      </c>
      <c r="U204" s="3">
        <v>107</v>
      </c>
      <c r="V204" s="3" t="str">
        <f>IFERROR(MID(VLOOKUP($B204,Seqs!$A:$B,2,0),W204,1),"")</f>
        <v>H</v>
      </c>
      <c r="W204" s="3">
        <v>142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S</v>
      </c>
      <c r="AC204" s="3">
        <v>151</v>
      </c>
      <c r="AD204" s="3" t="str">
        <f>IFERROR(MID(VLOOKUP($B204,Seqs!$A:$B,2,0),AE204,1),"")</f>
        <v>S</v>
      </c>
      <c r="AE204" s="3">
        <v>176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E</v>
      </c>
      <c r="AI204" s="3">
        <v>189</v>
      </c>
      <c r="AJ204" s="3" t="str">
        <f>IFERROR(MID(VLOOKUP($B204,Seqs!$A:$B,2,0),AK204,1),"")</f>
        <v>K</v>
      </c>
      <c r="AK204" s="3">
        <v>194</v>
      </c>
      <c r="AL204" s="3" t="str">
        <f>IFERROR(MID(VLOOKUP($B204,Seqs!$A:$B,2,0),AM204,1),"")</f>
        <v>E</v>
      </c>
      <c r="AM204" s="3">
        <v>232</v>
      </c>
      <c r="AN204" s="3" t="str">
        <f>IFERROR(MID(VLOOKUP($B204,Seqs!$A:$B,2,0),AO204,1),"")</f>
        <v>S</v>
      </c>
      <c r="AO204" s="3">
        <v>241</v>
      </c>
      <c r="AP204" s="3" t="str">
        <f>IFERROR(MID(VLOOKUP($B204,Seqs!$A:$B,2,0),AQ204,1),"")</f>
        <v>W</v>
      </c>
      <c r="AQ204" s="3">
        <v>274</v>
      </c>
      <c r="AR204" s="3" t="str">
        <f>IFERROR(MID(VLOOKUP($B204,Seqs!$A:$B,2,0),AS204,1),"")</f>
        <v>K</v>
      </c>
      <c r="AS204" s="3">
        <v>280</v>
      </c>
      <c r="AT204" s="3" t="str">
        <f>IFERROR(MID(VLOOKUP($B204,Seqs!$A:$B,2,0),AU204,1),"")</f>
        <v>E</v>
      </c>
      <c r="AU204" s="3">
        <v>310</v>
      </c>
      <c r="AV204" s="3" t="str">
        <f>IFERROR(MID(VLOOKUP($B204,Seqs!$A:$B,2,0),AW204,1),"")</f>
        <v/>
      </c>
      <c r="AW204" s="3" t="s">
        <v>23</v>
      </c>
      <c r="AX204" s="3" t="str">
        <f>IFERROR(MID(VLOOKUP($B204,Seqs!$A:$B,2,0),AY204,1),"")</f>
        <v/>
      </c>
      <c r="AY204" s="3" t="s">
        <v>23</v>
      </c>
      <c r="AZ204" s="77" t="str">
        <f>VLOOKUP(B204,Classification!A:D,2,0)</f>
        <v>A</v>
      </c>
      <c r="BA204" s="94" t="str">
        <f>VLOOKUP(B204,Classification!A:D,4,0)</f>
        <v>Leukotriene</v>
      </c>
      <c r="BB204" s="27" t="b">
        <f t="shared" ref="BB204" si="1736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ref="BC204" si="1737">_xlfn.AGGREGATE(9,6,CH204:CS204)-_xlfn.AGGREGATE(9,6,BV204:CG204)+12</f>
        <v>241</v>
      </c>
      <c r="BD204" s="16" t="s">
        <v>23</v>
      </c>
      <c r="BE204" s="3" t="s">
        <v>1467</v>
      </c>
      <c r="BF204" s="118">
        <v>2.7</v>
      </c>
      <c r="BG204" s="49" t="s">
        <v>1</v>
      </c>
      <c r="BH204" s="49" t="s">
        <v>1</v>
      </c>
      <c r="BI204" s="1"/>
      <c r="BJ204" s="70" t="s">
        <v>1283</v>
      </c>
      <c r="BK204" s="57" t="s">
        <v>1283</v>
      </c>
      <c r="BL204" s="57" t="s">
        <v>1283</v>
      </c>
      <c r="BM204" s="57" t="s">
        <v>1283</v>
      </c>
      <c r="BN204" s="57" t="s">
        <v>1283</v>
      </c>
      <c r="BO204" s="57" t="s">
        <v>1283</v>
      </c>
      <c r="BP204" s="57" t="s">
        <v>1283</v>
      </c>
      <c r="BQ204" s="57" t="s">
        <v>1283</v>
      </c>
      <c r="BR204" s="57" t="s">
        <v>1283</v>
      </c>
      <c r="BS204" s="57" t="s">
        <v>1283</v>
      </c>
      <c r="BT204" s="57" t="s">
        <v>1283</v>
      </c>
      <c r="BU204" s="57" t="s">
        <v>1283</v>
      </c>
      <c r="BV204" s="70">
        <f t="shared" ref="BV204" si="1738">E204</f>
        <v>32</v>
      </c>
      <c r="BW204" s="71" t="str">
        <f t="shared" ref="BW204" si="1739">I204</f>
        <v>-</v>
      </c>
      <c r="BX204" s="72">
        <f t="shared" ref="BX204" si="1740">M204</f>
        <v>71</v>
      </c>
      <c r="BY204" s="71">
        <f t="shared" ref="BY204" si="1741">Q204</f>
        <v>103</v>
      </c>
      <c r="BZ204" s="72">
        <f t="shared" ref="BZ204" si="1742">U204</f>
        <v>107</v>
      </c>
      <c r="CA204" s="71" t="str">
        <f t="shared" ref="CA204" si="1743">Y204</f>
        <v>-</v>
      </c>
      <c r="CB204" s="72">
        <f t="shared" ref="CB204" si="1744">AC204</f>
        <v>151</v>
      </c>
      <c r="CC204" s="71">
        <f t="shared" ref="CC204" si="1745">AG204</f>
        <v>187</v>
      </c>
      <c r="CD204" s="72">
        <f t="shared" ref="CD204" si="1746">AK204</f>
        <v>194</v>
      </c>
      <c r="CE204" s="71">
        <f t="shared" ref="CE204" si="1747">AO204</f>
        <v>241</v>
      </c>
      <c r="CF204" s="72">
        <f t="shared" ref="CF204" si="1748">AS204</f>
        <v>280</v>
      </c>
      <c r="CG204" s="71" t="str">
        <f t="shared" ref="CG204" si="1749">AW204</f>
        <v>-</v>
      </c>
      <c r="CH204" s="70">
        <f t="shared" ref="CH204" si="1750">G204</f>
        <v>65</v>
      </c>
      <c r="CI204" s="71" t="str">
        <f t="shared" ref="CI204" si="1751">K204</f>
        <v>-</v>
      </c>
      <c r="CJ204" s="72">
        <f t="shared" ref="CJ204" si="1752">O204</f>
        <v>101</v>
      </c>
      <c r="CK204" s="72">
        <f t="shared" ref="CK204" si="1753">S204</f>
        <v>106</v>
      </c>
      <c r="CL204" s="72">
        <f t="shared" ref="CL204" si="1754">W204</f>
        <v>142</v>
      </c>
      <c r="CM204" s="72" t="str">
        <f t="shared" ref="CM204" si="1755">AA204</f>
        <v>-</v>
      </c>
      <c r="CN204" s="72">
        <f t="shared" ref="CN204" si="1756">AE204</f>
        <v>176</v>
      </c>
      <c r="CO204" s="72">
        <f t="shared" ref="CO204" si="1757">AI204</f>
        <v>189</v>
      </c>
      <c r="CP204" s="72">
        <f t="shared" ref="CP204" si="1758">AM204</f>
        <v>232</v>
      </c>
      <c r="CQ204" s="72">
        <f t="shared" ref="CQ204" si="1759">AQ204</f>
        <v>274</v>
      </c>
      <c r="CR204" s="72">
        <f t="shared" ref="CR204" si="1760">AU204</f>
        <v>310</v>
      </c>
      <c r="CS204" s="72" t="str">
        <f t="shared" ref="CS204" si="1761">AY204</f>
        <v>-</v>
      </c>
      <c r="CT204" s="23" t="e">
        <f t="shared" ref="CT204" si="1762"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ref="A205" si="1763">CONCATENATE(B205,"_",C205)</f>
        <v>cltr2_human_6RZ9</v>
      </c>
      <c r="B205" s="3" t="s">
        <v>180</v>
      </c>
      <c r="C205" s="3" t="s">
        <v>1618</v>
      </c>
      <c r="D205" s="3" t="str">
        <f>IFERROR(MID(VLOOKUP($B205,Seqs!$A:$B,2,0),E205,1),"")</f>
        <v>C</v>
      </c>
      <c r="E205" s="3">
        <v>31</v>
      </c>
      <c r="F205" s="3" t="str">
        <f>IFERROR(MID(VLOOKUP($B205,Seqs!$A:$B,2,0),G205,1),"")</f>
        <v>Q</v>
      </c>
      <c r="G205" s="3">
        <v>65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71</v>
      </c>
      <c r="N205" s="3" t="str">
        <f>IFERROR(MID(VLOOKUP($B205,Seqs!$A:$B,2,0),O205,1),"")</f>
        <v>G</v>
      </c>
      <c r="O205" s="3">
        <v>101</v>
      </c>
      <c r="P205" s="3" t="str">
        <f>IFERROR(MID(VLOOKUP($B205,Seqs!$A:$B,2,0),Q205,1),"")</f>
        <v>N</v>
      </c>
      <c r="Q205" s="3">
        <v>103</v>
      </c>
      <c r="R205" s="3" t="str">
        <f>IFERROR(MID(VLOOKUP($B205,Seqs!$A:$B,2,0),S205,1),"")</f>
        <v>F</v>
      </c>
      <c r="S205" s="3">
        <v>106</v>
      </c>
      <c r="T205" s="3" t="str">
        <f>IFERROR(MID(VLOOKUP($B205,Seqs!$A:$B,2,0),U205,1),"")</f>
        <v>G</v>
      </c>
      <c r="U205" s="3">
        <v>107</v>
      </c>
      <c r="V205" s="3" t="str">
        <f>IFERROR(MID(VLOOKUP($B205,Seqs!$A:$B,2,0),W205,1),"")</f>
        <v>H</v>
      </c>
      <c r="W205" s="3">
        <v>142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H</v>
      </c>
      <c r="AC205" s="3">
        <v>148</v>
      </c>
      <c r="AD205" s="3" t="str">
        <f>IFERROR(MID(VLOOKUP($B205,Seqs!$A:$B,2,0),AE205,1),"")</f>
        <v>S</v>
      </c>
      <c r="AE205" s="3">
        <v>176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E</v>
      </c>
      <c r="AI205" s="3">
        <v>189</v>
      </c>
      <c r="AJ205" s="3" t="str">
        <f>IFERROR(MID(VLOOKUP($B205,Seqs!$A:$B,2,0),AK205,1),"")</f>
        <v>K</v>
      </c>
      <c r="AK205" s="3">
        <v>194</v>
      </c>
      <c r="AL205" s="3" t="str">
        <f>IFERROR(MID(VLOOKUP($B205,Seqs!$A:$B,2,0),AM205,1),"")</f>
        <v>E</v>
      </c>
      <c r="AM205" s="3">
        <v>232</v>
      </c>
      <c r="AN205" s="3" t="str">
        <f>IFERROR(MID(VLOOKUP($B205,Seqs!$A:$B,2,0),AO205,1),"")</f>
        <v>S</v>
      </c>
      <c r="AO205" s="3">
        <v>241</v>
      </c>
      <c r="AP205" s="3" t="str">
        <f>IFERROR(MID(VLOOKUP($B205,Seqs!$A:$B,2,0),AQ205,1),"")</f>
        <v>W</v>
      </c>
      <c r="AQ205" s="3">
        <v>274</v>
      </c>
      <c r="AR205" s="3" t="str">
        <f>IFERROR(MID(VLOOKUP($B205,Seqs!$A:$B,2,0),AS205,1),"")</f>
        <v>K</v>
      </c>
      <c r="AS205" s="3">
        <v>280</v>
      </c>
      <c r="AT205" s="3" t="str">
        <f>IFERROR(MID(VLOOKUP($B205,Seqs!$A:$B,2,0),AU205,1),"")</f>
        <v>A</v>
      </c>
      <c r="AU205" s="3">
        <v>308</v>
      </c>
      <c r="AV205" s="3" t="str">
        <f>IFERROR(MID(VLOOKUP($B205,Seqs!$A:$B,2,0),AW205,1),"")</f>
        <v>N</v>
      </c>
      <c r="AW205" s="3">
        <v>311</v>
      </c>
      <c r="AX205" s="3" t="str">
        <f>IFERROR(MID(VLOOKUP($B205,Seqs!$A:$B,2,0),AY205,1),"")</f>
        <v>R</v>
      </c>
      <c r="AY205" s="3">
        <v>321</v>
      </c>
      <c r="AZ205" s="77" t="str">
        <f>VLOOKUP(B205,Classification!A:D,2,0)</f>
        <v>A</v>
      </c>
      <c r="BA205" s="94" t="str">
        <f>VLOOKUP(B205,Classification!A:D,4,0)</f>
        <v>Leukotriene</v>
      </c>
      <c r="BB205" s="27" t="b">
        <f t="shared" ref="BB205" si="1764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 t="shared" ref="BC205" si="1765">_xlfn.AGGREGATE(9,6,CH205:CS205)-_xlfn.AGGREGATE(9,6,BV205:CG205)+12</f>
        <v>253</v>
      </c>
      <c r="BD205" s="16" t="s">
        <v>1425</v>
      </c>
      <c r="BE205" s="3" t="s">
        <v>1467</v>
      </c>
      <c r="BF205" s="118">
        <v>2.73</v>
      </c>
      <c r="BG205" s="49" t="s">
        <v>1</v>
      </c>
      <c r="BH205" s="49" t="s">
        <v>1</v>
      </c>
      <c r="BI205" s="1"/>
      <c r="BJ205" s="70" t="s">
        <v>1283</v>
      </c>
      <c r="BK205" s="57" t="s">
        <v>1283</v>
      </c>
      <c r="BL205" s="57" t="s">
        <v>1283</v>
      </c>
      <c r="BM205" s="57" t="s">
        <v>1283</v>
      </c>
      <c r="BN205" s="57" t="s">
        <v>1283</v>
      </c>
      <c r="BO205" s="57" t="s">
        <v>1283</v>
      </c>
      <c r="BP205" s="57" t="s">
        <v>1283</v>
      </c>
      <c r="BQ205" s="57" t="s">
        <v>1283</v>
      </c>
      <c r="BR205" s="57" t="s">
        <v>1283</v>
      </c>
      <c r="BS205" s="57" t="s">
        <v>1283</v>
      </c>
      <c r="BT205" s="57" t="s">
        <v>1283</v>
      </c>
      <c r="BU205" s="57" t="s">
        <v>1283</v>
      </c>
      <c r="BV205" s="70">
        <f t="shared" ref="BV205" si="1766">E205</f>
        <v>31</v>
      </c>
      <c r="BW205" s="71" t="str">
        <f t="shared" ref="BW205" si="1767">I205</f>
        <v>-</v>
      </c>
      <c r="BX205" s="72">
        <f t="shared" ref="BX205" si="1768">M205</f>
        <v>71</v>
      </c>
      <c r="BY205" s="71">
        <f t="shared" ref="BY205" si="1769">Q205</f>
        <v>103</v>
      </c>
      <c r="BZ205" s="72">
        <f t="shared" ref="BZ205" si="1770">U205</f>
        <v>107</v>
      </c>
      <c r="CA205" s="71" t="str">
        <f t="shared" ref="CA205" si="1771">Y205</f>
        <v>-</v>
      </c>
      <c r="CB205" s="72">
        <f t="shared" ref="CB205" si="1772">AC205</f>
        <v>148</v>
      </c>
      <c r="CC205" s="71">
        <f t="shared" ref="CC205" si="1773">AG205</f>
        <v>187</v>
      </c>
      <c r="CD205" s="72">
        <f t="shared" ref="CD205" si="1774">AK205</f>
        <v>194</v>
      </c>
      <c r="CE205" s="71">
        <f t="shared" ref="CE205" si="1775">AO205</f>
        <v>241</v>
      </c>
      <c r="CF205" s="72">
        <f t="shared" ref="CF205" si="1776">AS205</f>
        <v>280</v>
      </c>
      <c r="CG205" s="71">
        <f t="shared" ref="CG205" si="1777">AW205</f>
        <v>311</v>
      </c>
      <c r="CH205" s="70">
        <f t="shared" ref="CH205" si="1778">G205</f>
        <v>65</v>
      </c>
      <c r="CI205" s="71" t="str">
        <f t="shared" ref="CI205" si="1779">K205</f>
        <v>-</v>
      </c>
      <c r="CJ205" s="72">
        <f t="shared" ref="CJ205" si="1780">O205</f>
        <v>101</v>
      </c>
      <c r="CK205" s="72">
        <f t="shared" ref="CK205" si="1781">S205</f>
        <v>106</v>
      </c>
      <c r="CL205" s="72">
        <f t="shared" ref="CL205" si="1782">W205</f>
        <v>142</v>
      </c>
      <c r="CM205" s="72" t="str">
        <f t="shared" ref="CM205" si="1783">AA205</f>
        <v>-</v>
      </c>
      <c r="CN205" s="72">
        <f t="shared" ref="CN205" si="1784">AE205</f>
        <v>176</v>
      </c>
      <c r="CO205" s="72">
        <f t="shared" ref="CO205" si="1785">AI205</f>
        <v>189</v>
      </c>
      <c r="CP205" s="72">
        <f t="shared" ref="CP205" si="1786">AM205</f>
        <v>232</v>
      </c>
      <c r="CQ205" s="72">
        <f t="shared" ref="CQ205" si="1787">AQ205</f>
        <v>274</v>
      </c>
      <c r="CR205" s="72">
        <f t="shared" ref="CR205" si="1788">AU205</f>
        <v>308</v>
      </c>
      <c r="CS205" s="72">
        <f t="shared" ref="CS205" si="1789">AY205</f>
        <v>321</v>
      </c>
      <c r="CT205" s="23" t="e">
        <f t="shared" ref="CT205" si="1790">M205-K205</f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1231"/>
        <v>cnr1_human__wt</v>
      </c>
      <c r="B206" s="3" t="s">
        <v>182</v>
      </c>
      <c r="C206" s="3" t="s">
        <v>100</v>
      </c>
      <c r="D206" s="3" t="str">
        <f>IFERROR(MID(VLOOKUP($B206,Seqs!$A:$B,2,0),E206,1),"")</f>
        <v>N</v>
      </c>
      <c r="E206" s="3">
        <v>112</v>
      </c>
      <c r="F206" s="3" t="str">
        <f>IFERROR(MID(VLOOKUP($B206,Seqs!$A:$B,2,0),G206,1),"")</f>
        <v>S</v>
      </c>
      <c r="G206" s="3">
        <v>144</v>
      </c>
      <c r="H206" s="3" t="str">
        <f>IFERROR(MID(VLOOKUP($B206,Seqs!$A:$B,2,0),I206,1),"")</f>
        <v>R</v>
      </c>
      <c r="I206" s="23">
        <v>145</v>
      </c>
      <c r="J206" s="3" t="str">
        <f>IFERROR(MID(VLOOKUP($B206,Seqs!$A:$B,2,0),K206,1),"")</f>
        <v>R</v>
      </c>
      <c r="K206" s="23">
        <v>148</v>
      </c>
      <c r="L206" s="3" t="str">
        <f>IFERROR(MID(VLOOKUP($B206,Seqs!$A:$B,2,0),M206,1),"")</f>
        <v>R</v>
      </c>
      <c r="M206" s="3">
        <v>150</v>
      </c>
      <c r="N206" s="3" t="str">
        <f>IFERROR(MID(VLOOKUP($B206,Seqs!$A:$B,2,0),O206,1),"")</f>
        <v>V</v>
      </c>
      <c r="O206" s="3">
        <v>179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S</v>
      </c>
      <c r="U206" s="3">
        <v>185</v>
      </c>
      <c r="V206" s="3" t="str">
        <f>IFERROR(MID(VLOOKUP($B206,Seqs!$A:$B,2,0),W206,1),"")</f>
        <v>R</v>
      </c>
      <c r="W206" s="3">
        <v>220</v>
      </c>
      <c r="X206" s="3" t="str">
        <f>IFERROR(MID(VLOOKUP($B206,Seqs!$A:$B,2,0),Y206,1),"")</f>
        <v>P</v>
      </c>
      <c r="Y206" s="3">
        <v>221</v>
      </c>
      <c r="Z206" s="3" t="str">
        <f>IFERROR(MID(VLOOKUP($B206,Seqs!$A:$B,2,0),AA206,1),"")</f>
        <v>V</v>
      </c>
      <c r="AA206" s="3">
        <v>228</v>
      </c>
      <c r="AB206" s="3" t="str">
        <f>IFERROR(MID(VLOOKUP($B206,Seqs!$A:$B,2,0),AC206,1),"")</f>
        <v>T</v>
      </c>
      <c r="AC206" s="3">
        <v>229</v>
      </c>
      <c r="AD206" s="3" t="str">
        <f>IFERROR(MID(VLOOKUP($B206,Seqs!$A:$B,2,0),AE206,1),"")</f>
        <v>G</v>
      </c>
      <c r="AE206" s="3">
        <v>254</v>
      </c>
      <c r="AF206" s="3" t="str">
        <f>IFERROR(MID(VLOOKUP($B206,Seqs!$A:$B,2,0),AG206,1),"")</f>
        <v/>
      </c>
      <c r="AG206" s="3" t="s">
        <v>23</v>
      </c>
      <c r="AH206" s="3" t="str">
        <f>IFERROR(MID(VLOOKUP($B206,Seqs!$A:$B,2,0),AI206,1),"")</f>
        <v/>
      </c>
      <c r="AI206" s="3" t="s">
        <v>23</v>
      </c>
      <c r="AJ206" s="3" t="str">
        <f>IFERROR(MID(VLOOKUP($B206,Seqs!$A:$B,2,0),AK206,1),"")</f>
        <v>D</v>
      </c>
      <c r="AK206" s="3">
        <v>272</v>
      </c>
      <c r="AL206" s="3" t="str">
        <f>IFERROR(MID(VLOOKUP($B206,Seqs!$A:$B,2,0),AM206,1),"")</f>
        <v>G</v>
      </c>
      <c r="AM206" s="3">
        <v>312</v>
      </c>
      <c r="AN206" s="3" t="str">
        <f>IFERROR(MID(VLOOKUP($B206,Seqs!$A:$B,2,0),AO206,1),"")</f>
        <v>P</v>
      </c>
      <c r="AO206" s="3">
        <v>332</v>
      </c>
      <c r="AP206" s="3" t="str">
        <f>IFERROR(MID(VLOOKUP($B206,Seqs!$A:$B,2,0),AQ206,1),"")</f>
        <v>G</v>
      </c>
      <c r="AQ206" s="3">
        <v>369</v>
      </c>
      <c r="AR206" s="3" t="str">
        <f>IFERROR(MID(VLOOKUP($B206,Seqs!$A:$B,2,0),AS206,1),"")</f>
        <v>N</v>
      </c>
      <c r="AS206" s="3">
        <v>372</v>
      </c>
      <c r="AT206" s="3" t="str">
        <f>IFERROR(MID(VLOOKUP($B206,Seqs!$A:$B,2,0),AU206,1),"")</f>
        <v>R</v>
      </c>
      <c r="AU206" s="3">
        <v>400</v>
      </c>
      <c r="AV206" s="3" t="str">
        <f>IFERROR(MID(VLOOKUP($B206,Seqs!$A:$B,2,0),AW206,1),"")</f>
        <v>S</v>
      </c>
      <c r="AW206" s="3">
        <v>401</v>
      </c>
      <c r="AX206" s="3" t="str">
        <f>IFERROR(MID(VLOOKUP($B206,Seqs!$A:$B,2,0),AY206,1),"")</f>
        <v>P</v>
      </c>
      <c r="AY206" s="3">
        <v>413</v>
      </c>
      <c r="AZ206" s="77" t="str">
        <f>VLOOKUP(B206,Classification!A:D,2,0)</f>
        <v>A</v>
      </c>
      <c r="BA206" s="94" t="str">
        <f>VLOOKUP(B206,Classification!A:D,4,0)</f>
        <v>Cannabinoid</v>
      </c>
      <c r="BB206" s="27" t="b">
        <f t="shared" si="1232"/>
        <v>1</v>
      </c>
      <c r="BC206" s="23">
        <f t="shared" si="981"/>
        <v>260</v>
      </c>
      <c r="BD206" s="56" t="s">
        <v>23</v>
      </c>
      <c r="BE206" s="3" t="s">
        <v>23</v>
      </c>
      <c r="BF206" s="118" t="s">
        <v>23</v>
      </c>
      <c r="BG206" s="49" t="s">
        <v>1368</v>
      </c>
      <c r="BH206" s="49" t="s">
        <v>1373</v>
      </c>
      <c r="BJ206" s="70" t="s">
        <v>1283</v>
      </c>
      <c r="BK206" s="57" t="s">
        <v>1283</v>
      </c>
      <c r="BL206" s="57" t="s">
        <v>1283</v>
      </c>
      <c r="BM206" s="57" t="s">
        <v>1283</v>
      </c>
      <c r="BN206" s="57" t="s">
        <v>1283</v>
      </c>
      <c r="BO206" s="57" t="s">
        <v>1283</v>
      </c>
      <c r="BP206" s="57" t="s">
        <v>1283</v>
      </c>
      <c r="BQ206" s="57" t="s">
        <v>1283</v>
      </c>
      <c r="BR206" s="57" t="s">
        <v>1283</v>
      </c>
      <c r="BS206" s="57" t="s">
        <v>1283</v>
      </c>
      <c r="BT206" s="57" t="s">
        <v>1283</v>
      </c>
      <c r="BU206" s="57" t="s">
        <v>1283</v>
      </c>
      <c r="BV206" s="70">
        <f t="shared" si="982"/>
        <v>112</v>
      </c>
      <c r="BW206" s="71">
        <f t="shared" si="983"/>
        <v>145</v>
      </c>
      <c r="BX206" s="72">
        <f t="shared" si="984"/>
        <v>150</v>
      </c>
      <c r="BY206" s="71" t="str">
        <f t="shared" si="985"/>
        <v>-</v>
      </c>
      <c r="BZ206" s="72">
        <f t="shared" si="986"/>
        <v>185</v>
      </c>
      <c r="CA206" s="71">
        <f t="shared" si="987"/>
        <v>221</v>
      </c>
      <c r="CB206" s="72">
        <f t="shared" si="988"/>
        <v>229</v>
      </c>
      <c r="CC206" s="71" t="str">
        <f t="shared" si="989"/>
        <v>-</v>
      </c>
      <c r="CD206" s="72">
        <f t="shared" si="990"/>
        <v>272</v>
      </c>
      <c r="CE206" s="71">
        <f t="shared" si="991"/>
        <v>332</v>
      </c>
      <c r="CF206" s="72">
        <f t="shared" si="992"/>
        <v>372</v>
      </c>
      <c r="CG206" s="71">
        <f t="shared" si="993"/>
        <v>401</v>
      </c>
      <c r="CH206" s="70">
        <f t="shared" si="994"/>
        <v>144</v>
      </c>
      <c r="CI206" s="71">
        <f t="shared" si="995"/>
        <v>148</v>
      </c>
      <c r="CJ206" s="72">
        <f t="shared" si="996"/>
        <v>179</v>
      </c>
      <c r="CK206" s="72" t="str">
        <f t="shared" si="997"/>
        <v>-</v>
      </c>
      <c r="CL206" s="72">
        <f t="shared" si="998"/>
        <v>220</v>
      </c>
      <c r="CM206" s="72">
        <f t="shared" si="999"/>
        <v>228</v>
      </c>
      <c r="CN206" s="72">
        <f t="shared" si="1000"/>
        <v>254</v>
      </c>
      <c r="CO206" s="72" t="str">
        <f t="shared" si="1001"/>
        <v>-</v>
      </c>
      <c r="CP206" s="72">
        <f t="shared" si="1002"/>
        <v>312</v>
      </c>
      <c r="CQ206" s="72">
        <f t="shared" si="1003"/>
        <v>369</v>
      </c>
      <c r="CR206" s="72">
        <f t="shared" si="1004"/>
        <v>400</v>
      </c>
      <c r="CS206" s="72">
        <f t="shared" si="1005"/>
        <v>413</v>
      </c>
      <c r="CT206" s="23">
        <f t="shared" si="1006"/>
        <v>2</v>
      </c>
    </row>
    <row r="207" spans="1:1030" s="3" customFormat="1" x14ac:dyDescent="0.2">
      <c r="A207" s="3" t="str">
        <f t="shared" si="1231"/>
        <v>cnr1_human_5TGZ</v>
      </c>
      <c r="B207" s="3" t="s">
        <v>182</v>
      </c>
      <c r="C207" s="3" t="s">
        <v>1355</v>
      </c>
      <c r="D207" s="3" t="str">
        <f>IFERROR(MID(VLOOKUP($B207,Seqs!$A:$B,2,0),E207,1),"")</f>
        <v>P</v>
      </c>
      <c r="E207" s="3">
        <v>113</v>
      </c>
      <c r="F207" s="3" t="str">
        <f>IFERROR(MID(VLOOKUP($B207,Seqs!$A:$B,2,0),G207,1),"")</f>
        <v>S</v>
      </c>
      <c r="G207" s="3">
        <v>144</v>
      </c>
      <c r="H207" s="3" t="str">
        <f>IFERROR(MID(VLOOKUP($B207,Seqs!$A:$B,2,0),I207,1),"")</f>
        <v>R</v>
      </c>
      <c r="I207" s="23">
        <v>145</v>
      </c>
      <c r="J207" s="3" t="str">
        <f>IFERROR(MID(VLOOKUP($B207,Seqs!$A:$B,2,0),K207,1),"")</f>
        <v>R</v>
      </c>
      <c r="K207" s="23">
        <v>148</v>
      </c>
      <c r="L207" s="3" t="str">
        <f>IFERROR(MID(VLOOKUP($B207,Seqs!$A:$B,2,0),M207,1),"")</f>
        <v>R</v>
      </c>
      <c r="M207" s="3">
        <v>150</v>
      </c>
      <c r="N207" s="3" t="str">
        <f>IFERROR(MID(VLOOKUP($B207,Seqs!$A:$B,2,0),O207,1),"")</f>
        <v>V</v>
      </c>
      <c r="O207" s="3">
        <v>179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S</v>
      </c>
      <c r="U207" s="3">
        <v>185</v>
      </c>
      <c r="V207" s="3" t="str">
        <f>IFERROR(MID(VLOOKUP($B207,Seqs!$A:$B,2,0),W207,1),"")</f>
        <v>R</v>
      </c>
      <c r="W207" s="3">
        <v>220</v>
      </c>
      <c r="X207" s="3" t="str">
        <f>IFERROR(MID(VLOOKUP($B207,Seqs!$A:$B,2,0),Y207,1),"")</f>
        <v>P</v>
      </c>
      <c r="Y207" s="3">
        <v>221</v>
      </c>
      <c r="Z207" s="3" t="str">
        <f>IFERROR(MID(VLOOKUP($B207,Seqs!$A:$B,2,0),AA207,1),"")</f>
        <v>V</v>
      </c>
      <c r="AA207" s="3">
        <v>228</v>
      </c>
      <c r="AB207" s="3" t="str">
        <f>IFERROR(MID(VLOOKUP($B207,Seqs!$A:$B,2,0),AC207,1),"")</f>
        <v>T</v>
      </c>
      <c r="AC207" s="3">
        <v>229</v>
      </c>
      <c r="AD207" s="3" t="str">
        <f>IFERROR(MID(VLOOKUP($B207,Seqs!$A:$B,2,0),AE207,1),"")</f>
        <v>G</v>
      </c>
      <c r="AE207" s="3">
        <v>254</v>
      </c>
      <c r="AF207" s="3" t="str">
        <f>IFERROR(MID(VLOOKUP($B207,Seqs!$A:$B,2,0),AG207,1),"")</f>
        <v/>
      </c>
      <c r="AG207" s="3" t="s">
        <v>23</v>
      </c>
      <c r="AH207" s="3" t="str">
        <f>IFERROR(MID(VLOOKUP($B207,Seqs!$A:$B,2,0),AI207,1),"")</f>
        <v/>
      </c>
      <c r="AI207" s="3" t="s">
        <v>23</v>
      </c>
      <c r="AJ207" s="3" t="str">
        <f>IFERROR(MID(VLOOKUP($B207,Seqs!$A:$B,2,0),AK207,1),"")</f>
        <v>D</v>
      </c>
      <c r="AK207" s="3">
        <v>272</v>
      </c>
      <c r="AL207" s="3" t="str">
        <f>IFERROR(MID(VLOOKUP($B207,Seqs!$A:$B,2,0),AM207,1),"")</f>
        <v>H</v>
      </c>
      <c r="AM207" s="3">
        <v>304</v>
      </c>
      <c r="AN207" s="3" t="str">
        <f>IFERROR(MID(VLOOKUP($B207,Seqs!$A:$B,2,0),AO207,1),"")</f>
        <v>P</v>
      </c>
      <c r="AO207" s="3">
        <v>332</v>
      </c>
      <c r="AP207" s="3" t="str">
        <f>IFERROR(MID(VLOOKUP($B207,Seqs!$A:$B,2,0),AQ207,1),"")</f>
        <v>F</v>
      </c>
      <c r="AQ207" s="3">
        <v>368</v>
      </c>
      <c r="AR207" s="3" t="str">
        <f>IFERROR(MID(VLOOKUP($B207,Seqs!$A:$B,2,0),AS207,1),"")</f>
        <v>N</v>
      </c>
      <c r="AS207" s="3">
        <v>372</v>
      </c>
      <c r="AT207" s="3" t="str">
        <f>IFERROR(MID(VLOOKUP($B207,Seqs!$A:$B,2,0),AU207,1),"")</f>
        <v>R</v>
      </c>
      <c r="AU207" s="3">
        <v>400</v>
      </c>
      <c r="AV207" s="3" t="str">
        <f>IFERROR(MID(VLOOKUP($B207,Seqs!$A:$B,2,0),AW207,1),"")</f>
        <v>S</v>
      </c>
      <c r="AW207" s="3">
        <v>401</v>
      </c>
      <c r="AX207" s="3" t="str">
        <f>IFERROR(MID(VLOOKUP($B207,Seqs!$A:$B,2,0),AY207,1),"")</f>
        <v>M</v>
      </c>
      <c r="AY207" s="3">
        <v>411</v>
      </c>
      <c r="AZ207" s="77" t="str">
        <f>VLOOKUP(B207,Classification!A:D,2,0)</f>
        <v>A</v>
      </c>
      <c r="BA207" s="94" t="str">
        <f>VLOOKUP(B207,Classification!A:D,4,0)</f>
        <v>Cannabinoid</v>
      </c>
      <c r="BB207" s="27" t="b">
        <f t="shared" si="1232"/>
        <v>1</v>
      </c>
      <c r="BC207" s="23">
        <f t="shared" si="981"/>
        <v>248</v>
      </c>
      <c r="BD207" s="16" t="s">
        <v>1372</v>
      </c>
      <c r="BE207" s="3" t="s">
        <v>1370</v>
      </c>
      <c r="BF207" s="118">
        <v>2.8</v>
      </c>
      <c r="BG207" s="49" t="s">
        <v>1373</v>
      </c>
      <c r="BH207" s="49" t="s">
        <v>1373</v>
      </c>
      <c r="BJ207" s="70" t="s">
        <v>1283</v>
      </c>
      <c r="BK207" s="57" t="s">
        <v>1283</v>
      </c>
      <c r="BL207" s="57" t="s">
        <v>1283</v>
      </c>
      <c r="BM207" s="57" t="s">
        <v>1283</v>
      </c>
      <c r="BN207" s="57" t="s">
        <v>1283</v>
      </c>
      <c r="BO207" s="57" t="s">
        <v>1283</v>
      </c>
      <c r="BP207" s="57" t="s">
        <v>1283</v>
      </c>
      <c r="BQ207" s="57" t="s">
        <v>1283</v>
      </c>
      <c r="BR207" s="57" t="s">
        <v>1283</v>
      </c>
      <c r="BS207" s="57" t="s">
        <v>1283</v>
      </c>
      <c r="BT207" s="57" t="s">
        <v>1283</v>
      </c>
      <c r="BU207" s="57" t="s">
        <v>1283</v>
      </c>
      <c r="BV207" s="70">
        <f t="shared" si="982"/>
        <v>113</v>
      </c>
      <c r="BW207" s="71">
        <f t="shared" si="983"/>
        <v>145</v>
      </c>
      <c r="BX207" s="72">
        <f t="shared" si="984"/>
        <v>150</v>
      </c>
      <c r="BY207" s="71" t="str">
        <f t="shared" si="985"/>
        <v>-</v>
      </c>
      <c r="BZ207" s="72">
        <f t="shared" si="986"/>
        <v>185</v>
      </c>
      <c r="CA207" s="71">
        <f t="shared" si="987"/>
        <v>221</v>
      </c>
      <c r="CB207" s="72">
        <f t="shared" si="988"/>
        <v>229</v>
      </c>
      <c r="CC207" s="71" t="str">
        <f t="shared" si="989"/>
        <v>-</v>
      </c>
      <c r="CD207" s="72">
        <f t="shared" si="990"/>
        <v>272</v>
      </c>
      <c r="CE207" s="71">
        <f t="shared" si="991"/>
        <v>332</v>
      </c>
      <c r="CF207" s="72">
        <f t="shared" si="992"/>
        <v>372</v>
      </c>
      <c r="CG207" s="71">
        <f t="shared" si="993"/>
        <v>401</v>
      </c>
      <c r="CH207" s="70">
        <f t="shared" si="994"/>
        <v>144</v>
      </c>
      <c r="CI207" s="71">
        <f t="shared" si="995"/>
        <v>148</v>
      </c>
      <c r="CJ207" s="72">
        <f t="shared" si="996"/>
        <v>179</v>
      </c>
      <c r="CK207" s="72" t="str">
        <f t="shared" si="997"/>
        <v>-</v>
      </c>
      <c r="CL207" s="72">
        <f t="shared" si="998"/>
        <v>220</v>
      </c>
      <c r="CM207" s="72">
        <f t="shared" si="999"/>
        <v>228</v>
      </c>
      <c r="CN207" s="72">
        <f t="shared" si="1000"/>
        <v>254</v>
      </c>
      <c r="CO207" s="72" t="str">
        <f t="shared" si="1001"/>
        <v>-</v>
      </c>
      <c r="CP207" s="72">
        <f t="shared" si="1002"/>
        <v>304</v>
      </c>
      <c r="CQ207" s="72">
        <f t="shared" si="1003"/>
        <v>368</v>
      </c>
      <c r="CR207" s="72">
        <f t="shared" si="1004"/>
        <v>400</v>
      </c>
      <c r="CS207" s="72">
        <f t="shared" si="1005"/>
        <v>411</v>
      </c>
      <c r="CT207" s="23">
        <f t="shared" si="1006"/>
        <v>2</v>
      </c>
      <c r="AMP207" s="1"/>
    </row>
    <row r="208" spans="1:1030" x14ac:dyDescent="0.2">
      <c r="A208" s="3" t="str">
        <f t="shared" si="1231"/>
        <v>cnr1_human_5U09</v>
      </c>
      <c r="B208" s="3" t="s">
        <v>182</v>
      </c>
      <c r="C208" s="3" t="s">
        <v>1360</v>
      </c>
      <c r="D208" s="3" t="str">
        <f>IFERROR(MID(VLOOKUP($B208,Seqs!$A:$B,2,0),E208,1),"")</f>
        <v>N</v>
      </c>
      <c r="E208" s="3">
        <v>112</v>
      </c>
      <c r="F208" s="3" t="str">
        <f>IFERROR(MID(VLOOKUP($B208,Seqs!$A:$B,2,0),G208,1),"")</f>
        <v>S</v>
      </c>
      <c r="G208" s="3">
        <v>144</v>
      </c>
      <c r="H208" s="3" t="str">
        <f>IFERROR(MID(VLOOKUP($B208,Seqs!$A:$B,2,0),I208,1),"")</f>
        <v>R</v>
      </c>
      <c r="I208" s="23">
        <v>145</v>
      </c>
      <c r="J208" s="3" t="str">
        <f>IFERROR(MID(VLOOKUP($B208,Seqs!$A:$B,2,0),K208,1),"")</f>
        <v>R</v>
      </c>
      <c r="K208" s="23">
        <v>148</v>
      </c>
      <c r="L208" s="3" t="str">
        <f>IFERROR(MID(VLOOKUP($B208,Seqs!$A:$B,2,0),M208,1),"")</f>
        <v>R</v>
      </c>
      <c r="M208" s="3">
        <v>150</v>
      </c>
      <c r="N208" s="3" t="str">
        <f>IFERROR(MID(VLOOKUP($B208,Seqs!$A:$B,2,0),O208,1),"")</f>
        <v>V</v>
      </c>
      <c r="O208" s="3">
        <v>179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S</v>
      </c>
      <c r="U208" s="3">
        <v>185</v>
      </c>
      <c r="V208" s="3" t="str">
        <f>IFERROR(MID(VLOOKUP($B208,Seqs!$A:$B,2,0),W208,1),"")</f>
        <v>R</v>
      </c>
      <c r="W208" s="3">
        <v>220</v>
      </c>
      <c r="X208" s="3" t="str">
        <f>IFERROR(MID(VLOOKUP($B208,Seqs!$A:$B,2,0),Y208,1),"")</f>
        <v>P</v>
      </c>
      <c r="Y208" s="3">
        <v>221</v>
      </c>
      <c r="Z208" s="3" t="str">
        <f>IFERROR(MID(VLOOKUP($B208,Seqs!$A:$B,2,0),AA208,1),"")</f>
        <v>V</v>
      </c>
      <c r="AA208" s="3">
        <v>228</v>
      </c>
      <c r="AB208" s="3" t="str">
        <f>IFERROR(MID(VLOOKUP($B208,Seqs!$A:$B,2,0),AC208,1),"")</f>
        <v>T</v>
      </c>
      <c r="AC208" s="3">
        <v>229</v>
      </c>
      <c r="AD208" s="3" t="str">
        <f>IFERROR(MID(VLOOKUP($B208,Seqs!$A:$B,2,0),AE208,1),"")</f>
        <v>G</v>
      </c>
      <c r="AE208" s="3">
        <v>254</v>
      </c>
      <c r="AF208" s="3" t="str">
        <f>IFERROR(MID(VLOOKUP($B208,Seqs!$A:$B,2,0),AG208,1),"")</f>
        <v/>
      </c>
      <c r="AG208" s="3" t="s">
        <v>23</v>
      </c>
      <c r="AH208" s="3" t="str">
        <f>IFERROR(MID(VLOOKUP($B208,Seqs!$A:$B,2,0),AI208,1),"")</f>
        <v/>
      </c>
      <c r="AI208" s="3" t="s">
        <v>23</v>
      </c>
      <c r="AJ208" s="3" t="str">
        <f>IFERROR(MID(VLOOKUP($B208,Seqs!$A:$B,2,0),AK208,1),"")</f>
        <v>D</v>
      </c>
      <c r="AK208" s="3">
        <v>272</v>
      </c>
      <c r="AL208" s="3" t="str">
        <f>IFERROR(MID(VLOOKUP($B208,Seqs!$A:$B,2,0),AM208,1),"")</f>
        <v>A</v>
      </c>
      <c r="AM208" s="3">
        <v>301</v>
      </c>
      <c r="AN208" s="3" t="str">
        <f>IFERROR(MID(VLOOKUP($B208,Seqs!$A:$B,2,0),AO208,1),"")</f>
        <v>D</v>
      </c>
      <c r="AO208" s="3">
        <v>333</v>
      </c>
      <c r="AP208" s="3" t="str">
        <f>IFERROR(MID(VLOOKUP($B208,Seqs!$A:$B,2,0),AQ208,1),"")</f>
        <v>F</v>
      </c>
      <c r="AQ208" s="3">
        <v>368</v>
      </c>
      <c r="AR208" s="3" t="str">
        <f>IFERROR(MID(VLOOKUP($B208,Seqs!$A:$B,2,0),AS208,1),"")</f>
        <v>L</v>
      </c>
      <c r="AS208" s="3">
        <v>374</v>
      </c>
      <c r="AT208" s="3" t="str">
        <f>IFERROR(MID(VLOOKUP($B208,Seqs!$A:$B,2,0),AU208,1),"")</f>
        <v>R</v>
      </c>
      <c r="AU208" s="3">
        <v>400</v>
      </c>
      <c r="AV208" s="3" t="str">
        <f>IFERROR(MID(VLOOKUP($B208,Seqs!$A:$B,2,0),AW208,1),"")</f>
        <v>S</v>
      </c>
      <c r="AW208" s="3">
        <v>401</v>
      </c>
      <c r="AX208" s="3" t="str">
        <f>IFERROR(MID(VLOOKUP($B208,Seqs!$A:$B,2,0),AY208,1),"")</f>
        <v>M</v>
      </c>
      <c r="AY208" s="3">
        <v>411</v>
      </c>
      <c r="AZ208" s="77" t="str">
        <f>VLOOKUP(B208,Classification!A:D,2,0)</f>
        <v>A</v>
      </c>
      <c r="BA208" s="94" t="str">
        <f>VLOOKUP(B208,Classification!A:D,4,0)</f>
        <v>Cannabinoid</v>
      </c>
      <c r="BB208" s="27" t="b">
        <f t="shared" si="1232"/>
        <v>1</v>
      </c>
      <c r="BC208" s="23">
        <f t="shared" si="981"/>
        <v>243</v>
      </c>
      <c r="BD208" s="2" t="s">
        <v>23</v>
      </c>
      <c r="BE208" s="3" t="s">
        <v>1370</v>
      </c>
      <c r="BF208" s="118">
        <v>2.6</v>
      </c>
      <c r="BG208" s="49" t="s">
        <v>1373</v>
      </c>
      <c r="BH208" s="49" t="s">
        <v>1373</v>
      </c>
      <c r="BJ208" s="70" t="s">
        <v>1283</v>
      </c>
      <c r="BK208" s="57" t="s">
        <v>1283</v>
      </c>
      <c r="BL208" s="57" t="s">
        <v>1283</v>
      </c>
      <c r="BM208" s="57" t="s">
        <v>1283</v>
      </c>
      <c r="BN208" s="57" t="s">
        <v>1283</v>
      </c>
      <c r="BO208" s="57" t="s">
        <v>1283</v>
      </c>
      <c r="BP208" s="57" t="s">
        <v>1283</v>
      </c>
      <c r="BQ208" s="57" t="s">
        <v>1283</v>
      </c>
      <c r="BR208" s="57" t="s">
        <v>1283</v>
      </c>
      <c r="BS208" s="57" t="s">
        <v>1283</v>
      </c>
      <c r="BT208" s="57" t="s">
        <v>1283</v>
      </c>
      <c r="BU208" s="57" t="s">
        <v>1283</v>
      </c>
      <c r="BV208" s="70">
        <f t="shared" si="982"/>
        <v>112</v>
      </c>
      <c r="BW208" s="71">
        <f t="shared" si="983"/>
        <v>145</v>
      </c>
      <c r="BX208" s="72">
        <f t="shared" si="984"/>
        <v>150</v>
      </c>
      <c r="BY208" s="71" t="str">
        <f t="shared" si="985"/>
        <v>-</v>
      </c>
      <c r="BZ208" s="72">
        <f t="shared" si="986"/>
        <v>185</v>
      </c>
      <c r="CA208" s="71">
        <f t="shared" si="987"/>
        <v>221</v>
      </c>
      <c r="CB208" s="72">
        <f t="shared" si="988"/>
        <v>229</v>
      </c>
      <c r="CC208" s="71" t="str">
        <f t="shared" si="989"/>
        <v>-</v>
      </c>
      <c r="CD208" s="72">
        <f t="shared" si="990"/>
        <v>272</v>
      </c>
      <c r="CE208" s="71">
        <f t="shared" si="991"/>
        <v>333</v>
      </c>
      <c r="CF208" s="72">
        <f t="shared" si="992"/>
        <v>374</v>
      </c>
      <c r="CG208" s="71">
        <f t="shared" si="993"/>
        <v>401</v>
      </c>
      <c r="CH208" s="70">
        <f t="shared" si="994"/>
        <v>144</v>
      </c>
      <c r="CI208" s="71">
        <f t="shared" si="995"/>
        <v>148</v>
      </c>
      <c r="CJ208" s="72">
        <f t="shared" si="996"/>
        <v>179</v>
      </c>
      <c r="CK208" s="72" t="str">
        <f t="shared" si="997"/>
        <v>-</v>
      </c>
      <c r="CL208" s="72">
        <f t="shared" si="998"/>
        <v>220</v>
      </c>
      <c r="CM208" s="72">
        <f t="shared" si="999"/>
        <v>228</v>
      </c>
      <c r="CN208" s="72">
        <f t="shared" si="1000"/>
        <v>254</v>
      </c>
      <c r="CO208" s="72" t="str">
        <f t="shared" si="1001"/>
        <v>-</v>
      </c>
      <c r="CP208" s="72">
        <f t="shared" si="1002"/>
        <v>301</v>
      </c>
      <c r="CQ208" s="72">
        <f t="shared" si="1003"/>
        <v>368</v>
      </c>
      <c r="CR208" s="72">
        <f t="shared" si="1004"/>
        <v>400</v>
      </c>
      <c r="CS208" s="72">
        <f t="shared" si="1005"/>
        <v>411</v>
      </c>
      <c r="CT208" s="23">
        <f t="shared" si="1006"/>
        <v>2</v>
      </c>
    </row>
    <row r="209" spans="1:1029" x14ac:dyDescent="0.2">
      <c r="A209" s="3" t="str">
        <f t="shared" ref="A209:A215" si="1791">CONCATENATE(B209,"_",C209)</f>
        <v>cnr1_human_5XR8</v>
      </c>
      <c r="B209" s="3" t="s">
        <v>182</v>
      </c>
      <c r="C209" s="3" t="s">
        <v>1420</v>
      </c>
      <c r="D209" s="3" t="str">
        <f>IFERROR(MID(VLOOKUP($B209,Seqs!$A:$B,2,0),E209,1),"")</f>
        <v>N</v>
      </c>
      <c r="E209" s="3">
        <v>112</v>
      </c>
      <c r="F209" s="3" t="str">
        <f>IFERROR(MID(VLOOKUP($B209,Seqs!$A:$B,2,0),G209,1),"")</f>
        <v>S</v>
      </c>
      <c r="G209" s="3">
        <v>146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Y</v>
      </c>
      <c r="M209" s="3">
        <v>153</v>
      </c>
      <c r="N209" s="3" t="str">
        <f>IFERROR(MID(VLOOKUP($B209,Seqs!$A:$B,2,0),O209,1),"")</f>
        <v>F</v>
      </c>
      <c r="O209" s="3">
        <v>180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S</v>
      </c>
      <c r="U209" s="3">
        <v>185</v>
      </c>
      <c r="V209" s="3" t="str">
        <f>IFERROR(MID(VLOOKUP($B209,Seqs!$A:$B,2,0),W209,1),"")</f>
        <v>R</v>
      </c>
      <c r="W209" s="3">
        <v>220</v>
      </c>
      <c r="X209" s="3" t="str">
        <f>IFERROR(MID(VLOOKUP($B209,Seqs!$A:$B,2,0),Y209,1),"")</f>
        <v>P</v>
      </c>
      <c r="Y209" s="3">
        <v>221</v>
      </c>
      <c r="Z209" s="3" t="str">
        <f>IFERROR(MID(VLOOKUP($B209,Seqs!$A:$B,2,0),AA209,1),"")</f>
        <v>V</v>
      </c>
      <c r="AA209" s="3">
        <v>228</v>
      </c>
      <c r="AB209" s="3" t="str">
        <f>IFERROR(MID(VLOOKUP($B209,Seqs!$A:$B,2,0),AC209,1),"")</f>
        <v>T</v>
      </c>
      <c r="AC209" s="3">
        <v>229</v>
      </c>
      <c r="AD209" s="3" t="str">
        <f>IFERROR(MID(VLOOKUP($B209,Seqs!$A:$B,2,0),AE209,1),"")</f>
        <v>G</v>
      </c>
      <c r="AE209" s="3">
        <v>254</v>
      </c>
      <c r="AF209" s="3" t="str">
        <f>IFERROR(MID(VLOOKUP($B209,Seqs!$A:$B,2,0),AG209,1),"")</f>
        <v/>
      </c>
      <c r="AG209" s="3" t="s">
        <v>23</v>
      </c>
      <c r="AH209" s="3" t="str">
        <f>IFERROR(MID(VLOOKUP($B209,Seqs!$A:$B,2,0),AI209,1),"")</f>
        <v/>
      </c>
      <c r="AI209" s="3" t="s">
        <v>23</v>
      </c>
      <c r="AJ209" s="3" t="str">
        <f>IFERROR(MID(VLOOKUP($B209,Seqs!$A:$B,2,0),AK209,1),"")</f>
        <v>D</v>
      </c>
      <c r="AK209" s="3">
        <v>272</v>
      </c>
      <c r="AL209" s="3" t="str">
        <f>IFERROR(MID(VLOOKUP($B209,Seqs!$A:$B,2,0),AM209,1),"")</f>
        <v>S</v>
      </c>
      <c r="AM209" s="3">
        <v>303</v>
      </c>
      <c r="AN209" s="3" t="str">
        <f>IFERROR(MID(VLOOKUP($B209,Seqs!$A:$B,2,0),AO209,1),"")</f>
        <v>D</v>
      </c>
      <c r="AO209" s="3">
        <v>338</v>
      </c>
      <c r="AP209" s="3" t="str">
        <f>IFERROR(MID(VLOOKUP($B209,Seqs!$A:$B,2,0),AQ209,1),"")</f>
        <v>F</v>
      </c>
      <c r="AQ209" s="3">
        <v>368</v>
      </c>
      <c r="AR209" s="3" t="str">
        <f>IFERROR(MID(VLOOKUP($B209,Seqs!$A:$B,2,0),AS209,1),"")</f>
        <v>N</v>
      </c>
      <c r="AS209" s="3">
        <v>372</v>
      </c>
      <c r="AT209" s="3" t="str">
        <f>IFERROR(MID(VLOOKUP($B209,Seqs!$A:$B,2,0),AU209,1),"")</f>
        <v>Y</v>
      </c>
      <c r="AU209" s="3">
        <v>397</v>
      </c>
      <c r="AV209" s="3" t="str">
        <f>IFERROR(MID(VLOOKUP($B209,Seqs!$A:$B,2,0),AW209,1),"")</f>
        <v>S</v>
      </c>
      <c r="AW209" s="3">
        <v>401</v>
      </c>
      <c r="AX209" s="3" t="str">
        <f>IFERROR(MID(VLOOKUP($B209,Seqs!$A:$B,2,0),AY209,1),"")</f>
        <v>F</v>
      </c>
      <c r="AY209" s="3">
        <v>412</v>
      </c>
      <c r="AZ209" s="77" t="str">
        <f>VLOOKUP(B209,Classification!A:D,2,0)</f>
        <v>A</v>
      </c>
      <c r="BA209" s="94" t="str">
        <f>VLOOKUP(B209,Classification!A:D,4,0)</f>
        <v>Cannabinoid</v>
      </c>
      <c r="BB209" s="27" t="b">
        <f t="shared" ref="BB209:BB215" si="1792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:BC215" si="1793">_xlfn.AGGREGATE(9,6,CH209:CS209)-_xlfn.AGGREGATE(9,6,BV209:CG209)+12</f>
        <v>237</v>
      </c>
      <c r="BD209" s="2" t="s">
        <v>23</v>
      </c>
      <c r="BE209" s="3" t="s">
        <v>1287</v>
      </c>
      <c r="BF209" s="118">
        <v>2.95</v>
      </c>
      <c r="BG209" s="49" t="s">
        <v>1</v>
      </c>
      <c r="BH209" s="49" t="s">
        <v>1</v>
      </c>
      <c r="BJ209" s="70" t="s">
        <v>1283</v>
      </c>
      <c r="BK209" s="57" t="s">
        <v>1283</v>
      </c>
      <c r="BL209" s="57" t="s">
        <v>1283</v>
      </c>
      <c r="BM209" s="57" t="s">
        <v>1283</v>
      </c>
      <c r="BN209" s="57" t="s">
        <v>1283</v>
      </c>
      <c r="BO209" s="57" t="s">
        <v>1283</v>
      </c>
      <c r="BP209" s="57" t="s">
        <v>1283</v>
      </c>
      <c r="BQ209" s="57" t="s">
        <v>1283</v>
      </c>
      <c r="BR209" s="57" t="s">
        <v>1283</v>
      </c>
      <c r="BS209" s="57" t="s">
        <v>1283</v>
      </c>
      <c r="BT209" s="57" t="s">
        <v>1283</v>
      </c>
      <c r="BU209" s="57" t="s">
        <v>1283</v>
      </c>
      <c r="BV209" s="70">
        <f t="shared" ref="BV209:BV215" si="1794">E209</f>
        <v>112</v>
      </c>
      <c r="BW209" s="71" t="str">
        <f t="shared" ref="BW209:BW215" si="1795">I209</f>
        <v>-</v>
      </c>
      <c r="BX209" s="72">
        <f t="shared" ref="BX209:BX215" si="1796">M209</f>
        <v>153</v>
      </c>
      <c r="BY209" s="71" t="str">
        <f t="shared" ref="BY209:BY215" si="1797">Q209</f>
        <v>-</v>
      </c>
      <c r="BZ209" s="72">
        <f t="shared" ref="BZ209:BZ215" si="1798">U209</f>
        <v>185</v>
      </c>
      <c r="CA209" s="71">
        <f t="shared" ref="CA209:CA215" si="1799">Y209</f>
        <v>221</v>
      </c>
      <c r="CB209" s="72">
        <f t="shared" ref="CB209:CB215" si="1800">AC209</f>
        <v>229</v>
      </c>
      <c r="CC209" s="71" t="str">
        <f t="shared" ref="CC209:CC215" si="1801">AG209</f>
        <v>-</v>
      </c>
      <c r="CD209" s="72">
        <f t="shared" ref="CD209:CD215" si="1802">AK209</f>
        <v>272</v>
      </c>
      <c r="CE209" s="71">
        <f t="shared" ref="CE209:CE215" si="1803">AO209</f>
        <v>338</v>
      </c>
      <c r="CF209" s="72">
        <f t="shared" ref="CF209:CF215" si="1804">AS209</f>
        <v>372</v>
      </c>
      <c r="CG209" s="71">
        <f t="shared" ref="CG209:CG215" si="1805">AW209</f>
        <v>401</v>
      </c>
      <c r="CH209" s="70">
        <f t="shared" ref="CH209:CH215" si="1806">G209</f>
        <v>146</v>
      </c>
      <c r="CI209" s="71" t="str">
        <f t="shared" ref="CI209:CI215" si="1807">K209</f>
        <v>-</v>
      </c>
      <c r="CJ209" s="72">
        <f t="shared" ref="CJ209:CJ215" si="1808">O209</f>
        <v>180</v>
      </c>
      <c r="CK209" s="72" t="str">
        <f t="shared" ref="CK209:CK215" si="1809">S209</f>
        <v>-</v>
      </c>
      <c r="CL209" s="72">
        <f t="shared" ref="CL209:CL215" si="1810">W209</f>
        <v>220</v>
      </c>
      <c r="CM209" s="72">
        <f t="shared" ref="CM209:CM215" si="1811">AA209</f>
        <v>228</v>
      </c>
      <c r="CN209" s="72">
        <f t="shared" ref="CN209:CN215" si="1812">AE209</f>
        <v>254</v>
      </c>
      <c r="CO209" s="72" t="str">
        <f t="shared" ref="CO209:CO215" si="1813">AI209</f>
        <v>-</v>
      </c>
      <c r="CP209" s="72">
        <f t="shared" ref="CP209:CP215" si="1814">AM209</f>
        <v>303</v>
      </c>
      <c r="CQ209" s="72">
        <f t="shared" ref="CQ209:CQ215" si="1815">AQ209</f>
        <v>368</v>
      </c>
      <c r="CR209" s="72">
        <f t="shared" ref="CR209:CR215" si="1816">AU209</f>
        <v>397</v>
      </c>
      <c r="CS209" s="72">
        <f t="shared" ref="CS209:CS215" si="1817">AY209</f>
        <v>412</v>
      </c>
      <c r="CT209" s="23" t="e">
        <f t="shared" ref="CT209:CT215" si="1818">M209-K209</f>
        <v>#VALUE!</v>
      </c>
    </row>
    <row r="210" spans="1:1029" x14ac:dyDescent="0.2">
      <c r="A210" s="3" t="str">
        <f t="shared" si="1791"/>
        <v>cnr1_human_5XRA</v>
      </c>
      <c r="B210" s="3" t="s">
        <v>182</v>
      </c>
      <c r="C210" s="3" t="s">
        <v>1421</v>
      </c>
      <c r="D210" s="3" t="str">
        <f>IFERROR(MID(VLOOKUP($B210,Seqs!$A:$B,2,0),E210,1),"")</f>
        <v>N</v>
      </c>
      <c r="E210" s="3">
        <v>112</v>
      </c>
      <c r="F210" s="3" t="str">
        <f>IFERROR(MID(VLOOKUP($B210,Seqs!$A:$B,2,0),G210,1),"")</f>
        <v>S</v>
      </c>
      <c r="G210" s="3">
        <v>146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Y</v>
      </c>
      <c r="M210" s="3">
        <v>153</v>
      </c>
      <c r="N210" s="3" t="str">
        <f>IFERROR(MID(VLOOKUP($B210,Seqs!$A:$B,2,0),O210,1),"")</f>
        <v>F</v>
      </c>
      <c r="O210" s="3">
        <v>180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S</v>
      </c>
      <c r="U210" s="3">
        <v>185</v>
      </c>
      <c r="V210" s="3" t="str">
        <f>IFERROR(MID(VLOOKUP($B210,Seqs!$A:$B,2,0),W210,1),"")</f>
        <v>R</v>
      </c>
      <c r="W210" s="3">
        <v>220</v>
      </c>
      <c r="X210" s="3" t="str">
        <f>IFERROR(MID(VLOOKUP($B210,Seqs!$A:$B,2,0),Y210,1),"")</f>
        <v>P</v>
      </c>
      <c r="Y210" s="3">
        <v>221</v>
      </c>
      <c r="Z210" s="3" t="str">
        <f>IFERROR(MID(VLOOKUP($B210,Seqs!$A:$B,2,0),AA210,1),"")</f>
        <v>V</v>
      </c>
      <c r="AA210" s="3">
        <v>228</v>
      </c>
      <c r="AB210" s="3" t="str">
        <f>IFERROR(MID(VLOOKUP($B210,Seqs!$A:$B,2,0),AC210,1),"")</f>
        <v>T</v>
      </c>
      <c r="AC210" s="3">
        <v>229</v>
      </c>
      <c r="AD210" s="3" t="str">
        <f>IFERROR(MID(VLOOKUP($B210,Seqs!$A:$B,2,0),AE210,1),"")</f>
        <v>G</v>
      </c>
      <c r="AE210" s="3">
        <v>254</v>
      </c>
      <c r="AF210" s="3" t="str">
        <f>IFERROR(MID(VLOOKUP($B210,Seqs!$A:$B,2,0),AG210,1),"")</f>
        <v/>
      </c>
      <c r="AG210" s="3" t="s">
        <v>23</v>
      </c>
      <c r="AH210" s="3" t="str">
        <f>IFERROR(MID(VLOOKUP($B210,Seqs!$A:$B,2,0),AI210,1),"")</f>
        <v/>
      </c>
      <c r="AI210" s="3" t="s">
        <v>23</v>
      </c>
      <c r="AJ210" s="3" t="str">
        <f>IFERROR(MID(VLOOKUP($B210,Seqs!$A:$B,2,0),AK210,1),"")</f>
        <v>D</v>
      </c>
      <c r="AK210" s="3">
        <v>272</v>
      </c>
      <c r="AL210" s="3" t="str">
        <f>IFERROR(MID(VLOOKUP($B210,Seqs!$A:$B,2,0),AM210,1),"")</f>
        <v>A</v>
      </c>
      <c r="AM210" s="3">
        <v>305</v>
      </c>
      <c r="AN210" s="3" t="str">
        <f>IFERROR(MID(VLOOKUP($B210,Seqs!$A:$B,2,0),AO210,1),"")</f>
        <v>D</v>
      </c>
      <c r="AO210" s="3">
        <v>338</v>
      </c>
      <c r="AP210" s="3" t="str">
        <f>IFERROR(MID(VLOOKUP($B210,Seqs!$A:$B,2,0),AQ210,1),"")</f>
        <v>G</v>
      </c>
      <c r="AQ210" s="3">
        <v>369</v>
      </c>
      <c r="AR210" s="3" t="str">
        <f>IFERROR(MID(VLOOKUP($B210,Seqs!$A:$B,2,0),AS210,1),"")</f>
        <v>N</v>
      </c>
      <c r="AS210" s="3">
        <v>372</v>
      </c>
      <c r="AT210" s="3" t="str">
        <f>IFERROR(MID(VLOOKUP($B210,Seqs!$A:$B,2,0),AU210,1),"")</f>
        <v>Y</v>
      </c>
      <c r="AU210" s="3">
        <v>397</v>
      </c>
      <c r="AV210" s="3" t="str">
        <f>IFERROR(MID(VLOOKUP($B210,Seqs!$A:$B,2,0),AW210,1),"")</f>
        <v>S</v>
      </c>
      <c r="AW210" s="3">
        <v>401</v>
      </c>
      <c r="AX210" s="3" t="str">
        <f>IFERROR(MID(VLOOKUP($B210,Seqs!$A:$B,2,0),AY210,1),"")</f>
        <v>F</v>
      </c>
      <c r="AY210" s="3">
        <v>412</v>
      </c>
      <c r="AZ210" s="77" t="str">
        <f>VLOOKUP(B210,Classification!A:D,2,0)</f>
        <v>A</v>
      </c>
      <c r="BA210" s="94" t="str">
        <f>VLOOKUP(B210,Classification!A:D,4,0)</f>
        <v>Cannabinoid</v>
      </c>
      <c r="BB210" s="27" t="b">
        <f t="shared" si="1792"/>
        <v>1</v>
      </c>
      <c r="BC210" s="23">
        <f t="shared" si="1793"/>
        <v>240</v>
      </c>
      <c r="BD210" s="2" t="s">
        <v>23</v>
      </c>
      <c r="BE210" s="3" t="s">
        <v>1287</v>
      </c>
      <c r="BF210" s="118">
        <v>2.8</v>
      </c>
      <c r="BG210" s="49" t="s">
        <v>1</v>
      </c>
      <c r="BH210" s="49" t="s">
        <v>1</v>
      </c>
      <c r="BJ210" s="70" t="s">
        <v>1283</v>
      </c>
      <c r="BK210" s="57" t="s">
        <v>1283</v>
      </c>
      <c r="BL210" s="57" t="s">
        <v>1283</v>
      </c>
      <c r="BM210" s="57" t="s">
        <v>1283</v>
      </c>
      <c r="BN210" s="57" t="s">
        <v>1283</v>
      </c>
      <c r="BO210" s="57" t="s">
        <v>1283</v>
      </c>
      <c r="BP210" s="57" t="s">
        <v>1283</v>
      </c>
      <c r="BQ210" s="57" t="s">
        <v>1283</v>
      </c>
      <c r="BR210" s="57" t="s">
        <v>1283</v>
      </c>
      <c r="BS210" s="57" t="s">
        <v>1283</v>
      </c>
      <c r="BT210" s="57" t="s">
        <v>1283</v>
      </c>
      <c r="BU210" s="57" t="s">
        <v>1283</v>
      </c>
      <c r="BV210" s="70">
        <f t="shared" si="1794"/>
        <v>112</v>
      </c>
      <c r="BW210" s="71" t="str">
        <f t="shared" si="1795"/>
        <v>-</v>
      </c>
      <c r="BX210" s="72">
        <f t="shared" si="1796"/>
        <v>153</v>
      </c>
      <c r="BY210" s="71" t="str">
        <f t="shared" si="1797"/>
        <v>-</v>
      </c>
      <c r="BZ210" s="72">
        <f t="shared" si="1798"/>
        <v>185</v>
      </c>
      <c r="CA210" s="71">
        <f t="shared" si="1799"/>
        <v>221</v>
      </c>
      <c r="CB210" s="72">
        <f t="shared" si="1800"/>
        <v>229</v>
      </c>
      <c r="CC210" s="71" t="str">
        <f t="shared" si="1801"/>
        <v>-</v>
      </c>
      <c r="CD210" s="72">
        <f t="shared" si="1802"/>
        <v>272</v>
      </c>
      <c r="CE210" s="71">
        <f t="shared" si="1803"/>
        <v>338</v>
      </c>
      <c r="CF210" s="72">
        <f t="shared" si="1804"/>
        <v>372</v>
      </c>
      <c r="CG210" s="71">
        <f t="shared" si="1805"/>
        <v>401</v>
      </c>
      <c r="CH210" s="70">
        <f t="shared" si="1806"/>
        <v>146</v>
      </c>
      <c r="CI210" s="71" t="str">
        <f t="shared" si="1807"/>
        <v>-</v>
      </c>
      <c r="CJ210" s="72">
        <f t="shared" si="1808"/>
        <v>180</v>
      </c>
      <c r="CK210" s="72" t="str">
        <f t="shared" si="1809"/>
        <v>-</v>
      </c>
      <c r="CL210" s="72">
        <f t="shared" si="1810"/>
        <v>220</v>
      </c>
      <c r="CM210" s="72">
        <f t="shared" si="1811"/>
        <v>228</v>
      </c>
      <c r="CN210" s="72">
        <f t="shared" si="1812"/>
        <v>254</v>
      </c>
      <c r="CO210" s="72" t="str">
        <f t="shared" si="1813"/>
        <v>-</v>
      </c>
      <c r="CP210" s="72">
        <f t="shared" si="1814"/>
        <v>305</v>
      </c>
      <c r="CQ210" s="72">
        <f t="shared" si="1815"/>
        <v>369</v>
      </c>
      <c r="CR210" s="72">
        <f t="shared" si="1816"/>
        <v>397</v>
      </c>
      <c r="CS210" s="72">
        <f t="shared" si="1817"/>
        <v>412</v>
      </c>
      <c r="CT210" s="23" t="e">
        <f t="shared" si="1818"/>
        <v>#VALUE!</v>
      </c>
    </row>
    <row r="211" spans="1:1029" x14ac:dyDescent="0.2">
      <c r="A211" s="3" t="str">
        <f t="shared" si="1791"/>
        <v>cnr1_human_6N4B</v>
      </c>
      <c r="B211" s="3" t="s">
        <v>182</v>
      </c>
      <c r="C211" s="3" t="s">
        <v>1552</v>
      </c>
      <c r="D211" s="3" t="str">
        <f>IFERROR(MID(VLOOKUP($B211,Seqs!$A:$B,2,0),E211,1),"")</f>
        <v>N</v>
      </c>
      <c r="E211" s="3">
        <v>112</v>
      </c>
      <c r="F211" s="3" t="str">
        <f>IFERROR(MID(VLOOKUP($B211,Seqs!$A:$B,2,0),G211,1),"")</f>
        <v>H</v>
      </c>
      <c r="G211" s="3">
        <v>143</v>
      </c>
      <c r="H211" s="3" t="str">
        <f>IFERROR(MID(VLOOKUP($B211,Seqs!$A:$B,2,0),I211,1),"")</f>
        <v>R</v>
      </c>
      <c r="I211" s="23">
        <v>145</v>
      </c>
      <c r="J211" s="3" t="str">
        <f>IFERROR(MID(VLOOKUP($B211,Seqs!$A:$B,2,0),K211,1),"")</f>
        <v>R</v>
      </c>
      <c r="K211" s="23">
        <v>148</v>
      </c>
      <c r="L211" s="3" t="str">
        <f>IFERROR(MID(VLOOKUP($B211,Seqs!$A:$B,2,0),M211,1),"")</f>
        <v>Y</v>
      </c>
      <c r="M211" s="3">
        <v>153</v>
      </c>
      <c r="N211" s="3" t="str">
        <f>IFERROR(MID(VLOOKUP($B211,Seqs!$A:$B,2,0),O211,1),"")</f>
        <v>H</v>
      </c>
      <c r="O211" s="3">
        <v>178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S</v>
      </c>
      <c r="U211" s="3">
        <v>185</v>
      </c>
      <c r="V211" s="3" t="str">
        <f>IFERROR(MID(VLOOKUP($B211,Seqs!$A:$B,2,0),W211,1),"")</f>
        <v>R</v>
      </c>
      <c r="W211" s="3">
        <v>220</v>
      </c>
      <c r="X211" s="3" t="str">
        <f>IFERROR(MID(VLOOKUP($B211,Seqs!$A:$B,2,0),Y211,1),"")</f>
        <v>P</v>
      </c>
      <c r="Y211" s="3">
        <v>221</v>
      </c>
      <c r="Z211" s="3" t="str">
        <f>IFERROR(MID(VLOOKUP($B211,Seqs!$A:$B,2,0),AA211,1),"")</f>
        <v>V</v>
      </c>
      <c r="AA211" s="3">
        <v>228</v>
      </c>
      <c r="AB211" s="3" t="str">
        <f>IFERROR(MID(VLOOKUP($B211,Seqs!$A:$B,2,0),AC211,1),"")</f>
        <v>T</v>
      </c>
      <c r="AC211" s="3">
        <v>229</v>
      </c>
      <c r="AD211" s="3" t="str">
        <f>IFERROR(MID(VLOOKUP($B211,Seqs!$A:$B,2,0),AE211,1),"")</f>
        <v>G</v>
      </c>
      <c r="AE211" s="3">
        <v>254</v>
      </c>
      <c r="AF211" s="3" t="str">
        <f>IFERROR(MID(VLOOKUP($B211,Seqs!$A:$B,2,0),AG211,1),"")</f>
        <v/>
      </c>
      <c r="AG211" s="3" t="s">
        <v>23</v>
      </c>
      <c r="AH211" s="3" t="str">
        <f>IFERROR(MID(VLOOKUP($B211,Seqs!$A:$B,2,0),AI211,1),"")</f>
        <v/>
      </c>
      <c r="AI211" s="3" t="s">
        <v>23</v>
      </c>
      <c r="AJ211" s="3" t="str">
        <f>IFERROR(MID(VLOOKUP($B211,Seqs!$A:$B,2,0),AK211,1),"")</f>
        <v>D</v>
      </c>
      <c r="AK211" s="3">
        <v>272</v>
      </c>
      <c r="AL211" s="3" t="str">
        <f>IFERROR(MID(VLOOKUP($B211,Seqs!$A:$B,2,0),AM211,1),"")</f>
        <v>R</v>
      </c>
      <c r="AM211" s="3">
        <v>311</v>
      </c>
      <c r="AN211" s="3" t="str">
        <f>IFERROR(MID(VLOOKUP($B211,Seqs!$A:$B,2,0),AO211,1),"")</f>
        <v>A</v>
      </c>
      <c r="AO211" s="3">
        <v>335</v>
      </c>
      <c r="AP211" s="3" t="str">
        <f>IFERROR(MID(VLOOKUP($B211,Seqs!$A:$B,2,0),AQ211,1),"")</f>
        <v>M</v>
      </c>
      <c r="AQ211" s="3">
        <v>363</v>
      </c>
      <c r="AR211" s="3" t="str">
        <f>IFERROR(MID(VLOOKUP($B211,Seqs!$A:$B,2,0),AS211,1),"")</f>
        <v>L</v>
      </c>
      <c r="AS211" s="3">
        <v>374</v>
      </c>
      <c r="AT211" s="3" t="str">
        <f>IFERROR(MID(VLOOKUP($B211,Seqs!$A:$B,2,0),AU211,1),"")</f>
        <v>R</v>
      </c>
      <c r="AU211" s="3">
        <v>400</v>
      </c>
      <c r="AV211" s="3" t="str">
        <f>IFERROR(MID(VLOOKUP($B211,Seqs!$A:$B,2,0),AW211,1),"")</f>
        <v>S</v>
      </c>
      <c r="AW211" s="3">
        <v>401</v>
      </c>
      <c r="AX211" s="3" t="str">
        <f>IFERROR(MID(VLOOKUP($B211,Seqs!$A:$B,2,0),AY211,1),"")</f>
        <v>M</v>
      </c>
      <c r="AY211" s="3">
        <v>411</v>
      </c>
      <c r="AZ211" s="77" t="str">
        <f>VLOOKUP(B211,Classification!A:D,2,0)</f>
        <v>A</v>
      </c>
      <c r="BA211" s="94" t="str">
        <f>VLOOKUP(B211,Classification!A:D,4,0)</f>
        <v>Cannabinoid</v>
      </c>
      <c r="BB211" s="27" t="b">
        <f t="shared" si="1792"/>
        <v>1</v>
      </c>
      <c r="BC211" s="23">
        <f t="shared" si="1793"/>
        <v>241</v>
      </c>
      <c r="BD211" s="2" t="s">
        <v>1371</v>
      </c>
      <c r="BE211" s="3" t="s">
        <v>1287</v>
      </c>
      <c r="BF211" s="118">
        <v>3</v>
      </c>
      <c r="BG211" s="49" t="s">
        <v>1418</v>
      </c>
      <c r="BH211" s="49" t="s">
        <v>1418</v>
      </c>
      <c r="BJ211" s="70" t="s">
        <v>1283</v>
      </c>
      <c r="BK211" s="57" t="s">
        <v>1283</v>
      </c>
      <c r="BL211" s="57" t="s">
        <v>1283</v>
      </c>
      <c r="BM211" s="57" t="s">
        <v>1283</v>
      </c>
      <c r="BN211" s="57" t="s">
        <v>1283</v>
      </c>
      <c r="BO211" s="57" t="s">
        <v>1283</v>
      </c>
      <c r="BP211" s="57" t="s">
        <v>1283</v>
      </c>
      <c r="BQ211" s="57" t="s">
        <v>1283</v>
      </c>
      <c r="BR211" s="57" t="s">
        <v>1283</v>
      </c>
      <c r="BS211" s="57" t="s">
        <v>1283</v>
      </c>
      <c r="BT211" s="57" t="s">
        <v>1283</v>
      </c>
      <c r="BU211" s="57" t="s">
        <v>1283</v>
      </c>
      <c r="BV211" s="70">
        <f t="shared" si="1794"/>
        <v>112</v>
      </c>
      <c r="BW211" s="71">
        <f t="shared" si="1795"/>
        <v>145</v>
      </c>
      <c r="BX211" s="72">
        <f t="shared" si="1796"/>
        <v>153</v>
      </c>
      <c r="BY211" s="71" t="str">
        <f t="shared" si="1797"/>
        <v>-</v>
      </c>
      <c r="BZ211" s="72">
        <f t="shared" si="1798"/>
        <v>185</v>
      </c>
      <c r="CA211" s="71">
        <f t="shared" si="1799"/>
        <v>221</v>
      </c>
      <c r="CB211" s="72">
        <f t="shared" si="1800"/>
        <v>229</v>
      </c>
      <c r="CC211" s="71" t="str">
        <f t="shared" si="1801"/>
        <v>-</v>
      </c>
      <c r="CD211" s="72">
        <f t="shared" si="1802"/>
        <v>272</v>
      </c>
      <c r="CE211" s="71">
        <f t="shared" si="1803"/>
        <v>335</v>
      </c>
      <c r="CF211" s="72">
        <f t="shared" si="1804"/>
        <v>374</v>
      </c>
      <c r="CG211" s="71">
        <f t="shared" si="1805"/>
        <v>401</v>
      </c>
      <c r="CH211" s="70">
        <f t="shared" si="1806"/>
        <v>143</v>
      </c>
      <c r="CI211" s="71">
        <f t="shared" si="1807"/>
        <v>148</v>
      </c>
      <c r="CJ211" s="72">
        <f t="shared" si="1808"/>
        <v>178</v>
      </c>
      <c r="CK211" s="72" t="str">
        <f t="shared" si="1809"/>
        <v>-</v>
      </c>
      <c r="CL211" s="72">
        <f t="shared" si="1810"/>
        <v>220</v>
      </c>
      <c r="CM211" s="72">
        <f t="shared" si="1811"/>
        <v>228</v>
      </c>
      <c r="CN211" s="72">
        <f t="shared" si="1812"/>
        <v>254</v>
      </c>
      <c r="CO211" s="72" t="str">
        <f t="shared" si="1813"/>
        <v>-</v>
      </c>
      <c r="CP211" s="72">
        <f t="shared" si="1814"/>
        <v>311</v>
      </c>
      <c r="CQ211" s="72">
        <f t="shared" si="1815"/>
        <v>363</v>
      </c>
      <c r="CR211" s="72">
        <f t="shared" si="1816"/>
        <v>400</v>
      </c>
      <c r="CS211" s="72">
        <f t="shared" si="1817"/>
        <v>411</v>
      </c>
      <c r="CT211" s="23">
        <f t="shared" si="1818"/>
        <v>5</v>
      </c>
    </row>
    <row r="212" spans="1:1029" x14ac:dyDescent="0.2">
      <c r="A212" s="3" t="str">
        <f t="shared" si="1791"/>
        <v>cnr1_human_6KQI</v>
      </c>
      <c r="B212" s="3" t="s">
        <v>182</v>
      </c>
      <c r="C212" s="3" t="s">
        <v>1589</v>
      </c>
      <c r="D212" s="3" t="str">
        <f>IFERROR(MID(VLOOKUP($B212,Seqs!$A:$B,2,0),E212,1),"")</f>
        <v>N</v>
      </c>
      <c r="E212" s="3">
        <v>112</v>
      </c>
      <c r="F212" s="3" t="str">
        <f>IFERROR(MID(VLOOKUP($B212,Seqs!$A:$B,2,0),G212,1),"")</f>
        <v>S</v>
      </c>
      <c r="G212" s="3">
        <v>144</v>
      </c>
      <c r="H212" s="3" t="str">
        <f>IFERROR(MID(VLOOKUP($B212,Seqs!$A:$B,2,0),I212,1),"")</f>
        <v>R</v>
      </c>
      <c r="I212" s="23">
        <v>145</v>
      </c>
      <c r="J212" s="3" t="str">
        <f>IFERROR(MID(VLOOKUP($B212,Seqs!$A:$B,2,0),K212,1),"")</f>
        <v>R</v>
      </c>
      <c r="K212" s="23">
        <v>148</v>
      </c>
      <c r="L212" s="3" t="str">
        <f>IFERROR(MID(VLOOKUP($B212,Seqs!$A:$B,2,0),M212,1),"")</f>
        <v>Y</v>
      </c>
      <c r="M212" s="3">
        <v>153</v>
      </c>
      <c r="N212" s="3" t="str">
        <f>IFERROR(MID(VLOOKUP($B212,Seqs!$A:$B,2,0),O212,1),"")</f>
        <v>V</v>
      </c>
      <c r="O212" s="3">
        <v>179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S</v>
      </c>
      <c r="U212" s="3">
        <v>185</v>
      </c>
      <c r="V212" s="3" t="str">
        <f>IFERROR(MID(VLOOKUP($B212,Seqs!$A:$B,2,0),W212,1),"")</f>
        <v>R</v>
      </c>
      <c r="W212" s="3">
        <v>220</v>
      </c>
      <c r="X212" s="3" t="str">
        <f>IFERROR(MID(VLOOKUP($B212,Seqs!$A:$B,2,0),Y212,1),"")</f>
        <v>P</v>
      </c>
      <c r="Y212" s="3">
        <v>221</v>
      </c>
      <c r="Z212" s="3" t="str">
        <f>IFERROR(MID(VLOOKUP($B212,Seqs!$A:$B,2,0),AA212,1),"")</f>
        <v>V</v>
      </c>
      <c r="AA212" s="3">
        <v>228</v>
      </c>
      <c r="AC212" s="3">
        <v>229</v>
      </c>
      <c r="AD212" s="3" t="str">
        <f>IFERROR(MID(VLOOKUP($B212,Seqs!$A:$B,2,0),AE212,1),"")</f>
        <v>L</v>
      </c>
      <c r="AE212" s="3">
        <v>253</v>
      </c>
      <c r="AF212" s="3" t="str">
        <f>IFERROR(MID(VLOOKUP($B212,Seqs!$A:$B,2,0),AG212,1),"")</f>
        <v/>
      </c>
      <c r="AG212" s="3" t="s">
        <v>23</v>
      </c>
      <c r="AH212" s="3" t="str">
        <f>IFERROR(MID(VLOOKUP($B212,Seqs!$A:$B,2,0),AI212,1),"")</f>
        <v/>
      </c>
      <c r="AI212" s="3" t="s">
        <v>23</v>
      </c>
      <c r="AJ212" s="3" t="str">
        <f>IFERROR(MID(VLOOKUP($B212,Seqs!$A:$B,2,0),AK212,1),"")</f>
        <v>D</v>
      </c>
      <c r="AK212" s="3">
        <v>272</v>
      </c>
      <c r="AL212" s="3" t="str">
        <f>IFERROR(MID(VLOOKUP($B212,Seqs!$A:$B,2,0),AM212,1),"")</f>
        <v>A</v>
      </c>
      <c r="AM212" s="3">
        <v>301</v>
      </c>
      <c r="AN212" s="3" t="str">
        <f>IFERROR(MID(VLOOKUP($B212,Seqs!$A:$B,2,0),AO212,1),"")</f>
        <v>D</v>
      </c>
      <c r="AO212" s="3">
        <v>333</v>
      </c>
      <c r="AP212" s="3" t="str">
        <f>IFERROR(MID(VLOOKUP($B212,Seqs!$A:$B,2,0),AQ212,1),"")</f>
        <v>F</v>
      </c>
      <c r="AQ212" s="3">
        <v>368</v>
      </c>
      <c r="AR212" s="3" t="str">
        <f>IFERROR(MID(VLOOKUP($B212,Seqs!$A:$B,2,0),AS212,1),"")</f>
        <v>N</v>
      </c>
      <c r="AS212" s="3">
        <v>372</v>
      </c>
      <c r="AT212" s="3" t="str">
        <f>IFERROR(MID(VLOOKUP($B212,Seqs!$A:$B,2,0),AU212,1),"")</f>
        <v>R</v>
      </c>
      <c r="AU212" s="3">
        <v>400</v>
      </c>
      <c r="AV212" s="3" t="str">
        <f>IFERROR(MID(VLOOKUP($B212,Seqs!$A:$B,2,0),AW212,1),"")</f>
        <v>S</v>
      </c>
      <c r="AW212" s="3">
        <v>401</v>
      </c>
      <c r="AX212" s="3" t="str">
        <f>IFERROR(MID(VLOOKUP($B212,Seqs!$A:$B,2,0),AY212,1),"")</f>
        <v>F</v>
      </c>
      <c r="AY212" s="3">
        <v>412</v>
      </c>
      <c r="AZ212" s="77" t="str">
        <f>VLOOKUP(B212,Classification!A:D,2,0)</f>
        <v>A</v>
      </c>
      <c r="BA212" s="94" t="str">
        <f>VLOOKUP(B212,Classification!A:D,4,0)</f>
        <v>Cannabinoid</v>
      </c>
      <c r="BB212" s="27" t="b">
        <f t="shared" si="1792"/>
        <v>1</v>
      </c>
      <c r="BC212" s="23">
        <f t="shared" si="1793"/>
        <v>242</v>
      </c>
      <c r="BD212" s="2" t="s">
        <v>23</v>
      </c>
      <c r="BE212" s="3" t="s">
        <v>1370</v>
      </c>
      <c r="BF212" s="118">
        <v>3.25</v>
      </c>
      <c r="BG212" s="49" t="s">
        <v>1</v>
      </c>
      <c r="BH212" s="49" t="s">
        <v>1</v>
      </c>
      <c r="BJ212" s="70" t="s">
        <v>1283</v>
      </c>
      <c r="BK212" s="57" t="s">
        <v>1283</v>
      </c>
      <c r="BL212" s="57" t="s">
        <v>1283</v>
      </c>
      <c r="BM212" s="57" t="s">
        <v>1283</v>
      </c>
      <c r="BN212" s="57" t="s">
        <v>1283</v>
      </c>
      <c r="BO212" s="57" t="s">
        <v>1283</v>
      </c>
      <c r="BP212" s="57" t="s">
        <v>1283</v>
      </c>
      <c r="BQ212" s="57" t="s">
        <v>1283</v>
      </c>
      <c r="BR212" s="57" t="s">
        <v>1283</v>
      </c>
      <c r="BS212" s="57" t="s">
        <v>1283</v>
      </c>
      <c r="BT212" s="57" t="s">
        <v>1283</v>
      </c>
      <c r="BU212" s="57" t="s">
        <v>1283</v>
      </c>
      <c r="BV212" s="70">
        <f t="shared" si="1794"/>
        <v>112</v>
      </c>
      <c r="BW212" s="71">
        <f t="shared" si="1795"/>
        <v>145</v>
      </c>
      <c r="BX212" s="72">
        <f t="shared" si="1796"/>
        <v>153</v>
      </c>
      <c r="BY212" s="71" t="str">
        <f t="shared" si="1797"/>
        <v>-</v>
      </c>
      <c r="BZ212" s="72">
        <f t="shared" si="1798"/>
        <v>185</v>
      </c>
      <c r="CA212" s="71">
        <f t="shared" si="1799"/>
        <v>221</v>
      </c>
      <c r="CB212" s="72">
        <f t="shared" si="1800"/>
        <v>229</v>
      </c>
      <c r="CC212" s="71" t="str">
        <f t="shared" si="1801"/>
        <v>-</v>
      </c>
      <c r="CD212" s="72">
        <f t="shared" si="1802"/>
        <v>272</v>
      </c>
      <c r="CE212" s="71">
        <f t="shared" si="1803"/>
        <v>333</v>
      </c>
      <c r="CF212" s="72">
        <f t="shared" si="1804"/>
        <v>372</v>
      </c>
      <c r="CG212" s="71">
        <f t="shared" si="1805"/>
        <v>401</v>
      </c>
      <c r="CH212" s="70">
        <f t="shared" si="1806"/>
        <v>144</v>
      </c>
      <c r="CI212" s="71">
        <f t="shared" si="1807"/>
        <v>148</v>
      </c>
      <c r="CJ212" s="72">
        <f t="shared" si="1808"/>
        <v>179</v>
      </c>
      <c r="CK212" s="72" t="str">
        <f t="shared" si="1809"/>
        <v>-</v>
      </c>
      <c r="CL212" s="72">
        <f t="shared" si="1810"/>
        <v>220</v>
      </c>
      <c r="CM212" s="72">
        <f t="shared" si="1811"/>
        <v>228</v>
      </c>
      <c r="CN212" s="72">
        <f t="shared" si="1812"/>
        <v>253</v>
      </c>
      <c r="CO212" s="72" t="str">
        <f t="shared" si="1813"/>
        <v>-</v>
      </c>
      <c r="CP212" s="72">
        <f t="shared" si="1814"/>
        <v>301</v>
      </c>
      <c r="CQ212" s="72">
        <f t="shared" si="1815"/>
        <v>368</v>
      </c>
      <c r="CR212" s="72">
        <f t="shared" si="1816"/>
        <v>400</v>
      </c>
      <c r="CS212" s="72">
        <f t="shared" si="1817"/>
        <v>412</v>
      </c>
      <c r="CT212" s="23">
        <f t="shared" si="1818"/>
        <v>5</v>
      </c>
    </row>
    <row r="213" spans="1:1029" x14ac:dyDescent="0.2">
      <c r="A213" s="3" t="str">
        <f t="shared" ref="A213" si="1819">CONCATENATE(B213,"_",C213)</f>
        <v>cnr1_human_6KPG</v>
      </c>
      <c r="B213" s="3" t="s">
        <v>182</v>
      </c>
      <c r="C213" s="3" t="s">
        <v>1662</v>
      </c>
      <c r="D213" s="3" t="str">
        <f>IFERROR(MID(VLOOKUP($B213,Seqs!$A:$B,2,0),E213,1),"")</f>
        <v>Q</v>
      </c>
      <c r="E213" s="3">
        <v>115</v>
      </c>
      <c r="F213" s="3" t="str">
        <f>IFERROR(MID(VLOOKUP($B213,Seqs!$A:$B,2,0),G213,1),"")</f>
        <v>S</v>
      </c>
      <c r="G213" s="3">
        <v>144</v>
      </c>
      <c r="H213" s="3" t="str">
        <f>IFERROR(MID(VLOOKUP($B213,Seqs!$A:$B,2,0),I213,1),"")</f>
        <v>R</v>
      </c>
      <c r="I213" s="23">
        <v>145</v>
      </c>
      <c r="J213" s="3" t="str">
        <f>IFERROR(MID(VLOOKUP($B213,Seqs!$A:$B,2,0),K213,1),"")</f>
        <v>R</v>
      </c>
      <c r="K213" s="23">
        <v>148</v>
      </c>
      <c r="L213" s="3" t="str">
        <f>IFERROR(MID(VLOOKUP($B213,Seqs!$A:$B,2,0),M213,1),"")</f>
        <v>R</v>
      </c>
      <c r="M213" s="3">
        <v>150</v>
      </c>
      <c r="N213" s="3" t="str">
        <f>IFERROR(MID(VLOOKUP($B213,Seqs!$A:$B,2,0),O213,1),"")</f>
        <v>H</v>
      </c>
      <c r="O213" s="3">
        <v>178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F</v>
      </c>
      <c r="U213" s="3">
        <v>189</v>
      </c>
      <c r="V213" s="3" t="str">
        <f>IFERROR(MID(VLOOKUP($B213,Seqs!$A:$B,2,0),W213,1),"")</f>
        <v>R</v>
      </c>
      <c r="W213" s="3">
        <v>220</v>
      </c>
      <c r="X213" s="3" t="str">
        <f>IFERROR(MID(VLOOKUP($B213,Seqs!$A:$B,2,0),Y213,1),"")</f>
        <v>P</v>
      </c>
      <c r="Y213" s="3">
        <v>221</v>
      </c>
      <c r="Z213" s="3" t="str">
        <f>IFERROR(MID(VLOOKUP($B213,Seqs!$A:$B,2,0),AA213,1),"")</f>
        <v>V</v>
      </c>
      <c r="AA213" s="3">
        <v>228</v>
      </c>
      <c r="AC213" s="3">
        <v>229</v>
      </c>
      <c r="AD213" s="3" t="str">
        <f>IFERROR(MID(VLOOKUP($B213,Seqs!$A:$B,2,0),AE213,1),"")</f>
        <v>L</v>
      </c>
      <c r="AE213" s="3">
        <v>253</v>
      </c>
      <c r="AF213" s="3" t="str">
        <f>IFERROR(MID(VLOOKUP($B213,Seqs!$A:$B,2,0),AG213,1),"")</f>
        <v/>
      </c>
      <c r="AG213" s="3" t="s">
        <v>23</v>
      </c>
      <c r="AH213" s="3" t="str">
        <f>IFERROR(MID(VLOOKUP($B213,Seqs!$A:$B,2,0),AI213,1),"")</f>
        <v/>
      </c>
      <c r="AI213" s="3" t="s">
        <v>23</v>
      </c>
      <c r="AJ213" s="3" t="str">
        <f>IFERROR(MID(VLOOKUP($B213,Seqs!$A:$B,2,0),AK213,1),"")</f>
        <v>Y</v>
      </c>
      <c r="AK213" s="3">
        <v>275</v>
      </c>
      <c r="AL213" s="3" t="str">
        <f>IFERROR(MID(VLOOKUP($B213,Seqs!$A:$B,2,0),AM213,1),"")</f>
        <v>G</v>
      </c>
      <c r="AM213" s="3">
        <v>312</v>
      </c>
      <c r="AN213" s="3" t="str">
        <f>IFERROR(MID(VLOOKUP($B213,Seqs!$A:$B,2,0),AO213,1),"")</f>
        <v>M</v>
      </c>
      <c r="AO213" s="3">
        <v>337</v>
      </c>
      <c r="AP213" s="3" t="str">
        <f>IFERROR(MID(VLOOKUP($B213,Seqs!$A:$B,2,0),AQ213,1),"")</f>
        <v>Y</v>
      </c>
      <c r="AQ213" s="3">
        <v>365</v>
      </c>
      <c r="AR213" s="3" t="str">
        <f>IFERROR(MID(VLOOKUP($B213,Seqs!$A:$B,2,0),AS213,1),"")</f>
        <v>N</v>
      </c>
      <c r="AS213" s="3">
        <v>372</v>
      </c>
      <c r="AT213" s="3" t="str">
        <f>IFERROR(MID(VLOOKUP($B213,Seqs!$A:$B,2,0),AU213,1),"")</f>
        <v>R</v>
      </c>
      <c r="AU213" s="3">
        <v>400</v>
      </c>
      <c r="AV213" s="3" t="str">
        <f>IFERROR(MID(VLOOKUP($B213,Seqs!$A:$B,2,0),AW213,1),"")</f>
        <v>S</v>
      </c>
      <c r="AW213" s="3">
        <v>401</v>
      </c>
      <c r="AX213" s="3" t="str">
        <f>IFERROR(MID(VLOOKUP($B213,Seqs!$A:$B,2,0),AY213,1),"")</f>
        <v>M</v>
      </c>
      <c r="AY213" s="3">
        <v>411</v>
      </c>
      <c r="AZ213" s="77" t="str">
        <f>VLOOKUP(B213,Classification!A:D,2,0)</f>
        <v>A</v>
      </c>
      <c r="BA213" s="94" t="str">
        <f>VLOOKUP(B213,Classification!A:D,4,0)</f>
        <v>Cannabinoid</v>
      </c>
      <c r="BB213" s="27" t="b">
        <f t="shared" ref="BB213" si="1820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821">_xlfn.AGGREGATE(9,6,CH213:CS213)-_xlfn.AGGREGATE(9,6,BV213:CG213)+12</f>
        <v>237</v>
      </c>
      <c r="BD213" s="2" t="s">
        <v>23</v>
      </c>
      <c r="BE213" s="3" t="s">
        <v>1287</v>
      </c>
      <c r="BF213" s="118">
        <v>3</v>
      </c>
      <c r="BG213" s="49" t="s">
        <v>1418</v>
      </c>
      <c r="BH213" s="49" t="s">
        <v>1418</v>
      </c>
      <c r="BJ213" s="70" t="s">
        <v>1283</v>
      </c>
      <c r="BK213" s="57" t="s">
        <v>1283</v>
      </c>
      <c r="BL213" s="57" t="s">
        <v>1283</v>
      </c>
      <c r="BM213" s="57" t="s">
        <v>1283</v>
      </c>
      <c r="BN213" s="57" t="s">
        <v>1283</v>
      </c>
      <c r="BO213" s="57" t="s">
        <v>1283</v>
      </c>
      <c r="BP213" s="57" t="s">
        <v>1283</v>
      </c>
      <c r="BQ213" s="57" t="s">
        <v>1283</v>
      </c>
      <c r="BR213" s="57" t="s">
        <v>1283</v>
      </c>
      <c r="BS213" s="57" t="s">
        <v>1283</v>
      </c>
      <c r="BT213" s="57" t="s">
        <v>1283</v>
      </c>
      <c r="BU213" s="57" t="s">
        <v>1283</v>
      </c>
      <c r="BV213" s="70">
        <f t="shared" ref="BV213" si="1822">E213</f>
        <v>115</v>
      </c>
      <c r="BW213" s="71">
        <f t="shared" ref="BW213" si="1823">I213</f>
        <v>145</v>
      </c>
      <c r="BX213" s="72">
        <f t="shared" ref="BX213" si="1824">M213</f>
        <v>150</v>
      </c>
      <c r="BY213" s="71" t="str">
        <f t="shared" ref="BY213" si="1825">Q213</f>
        <v>-</v>
      </c>
      <c r="BZ213" s="72">
        <f t="shared" ref="BZ213" si="1826">U213</f>
        <v>189</v>
      </c>
      <c r="CA213" s="71">
        <f t="shared" ref="CA213" si="1827">Y213</f>
        <v>221</v>
      </c>
      <c r="CB213" s="72">
        <f t="shared" ref="CB213" si="1828">AC213</f>
        <v>229</v>
      </c>
      <c r="CC213" s="71" t="str">
        <f t="shared" ref="CC213" si="1829">AG213</f>
        <v>-</v>
      </c>
      <c r="CD213" s="72">
        <f t="shared" ref="CD213" si="1830">AK213</f>
        <v>275</v>
      </c>
      <c r="CE213" s="71">
        <f t="shared" ref="CE213" si="1831">AO213</f>
        <v>337</v>
      </c>
      <c r="CF213" s="72">
        <f t="shared" ref="CF213" si="1832">AS213</f>
        <v>372</v>
      </c>
      <c r="CG213" s="71">
        <f t="shared" ref="CG213" si="1833">AW213</f>
        <v>401</v>
      </c>
      <c r="CH213" s="70">
        <f t="shared" ref="CH213" si="1834">G213</f>
        <v>144</v>
      </c>
      <c r="CI213" s="71">
        <f t="shared" ref="CI213" si="1835">K213</f>
        <v>148</v>
      </c>
      <c r="CJ213" s="72">
        <f t="shared" ref="CJ213" si="1836">O213</f>
        <v>178</v>
      </c>
      <c r="CK213" s="72" t="str">
        <f t="shared" ref="CK213" si="1837">S213</f>
        <v>-</v>
      </c>
      <c r="CL213" s="72">
        <f t="shared" ref="CL213" si="1838">W213</f>
        <v>220</v>
      </c>
      <c r="CM213" s="72">
        <f t="shared" ref="CM213" si="1839">AA213</f>
        <v>228</v>
      </c>
      <c r="CN213" s="72">
        <f t="shared" ref="CN213" si="1840">AE213</f>
        <v>253</v>
      </c>
      <c r="CO213" s="72" t="str">
        <f t="shared" ref="CO213" si="1841">AI213</f>
        <v>-</v>
      </c>
      <c r="CP213" s="72">
        <f t="shared" ref="CP213" si="1842">AM213</f>
        <v>312</v>
      </c>
      <c r="CQ213" s="72">
        <f t="shared" ref="CQ213" si="1843">AQ213</f>
        <v>365</v>
      </c>
      <c r="CR213" s="72">
        <f t="shared" ref="CR213" si="1844">AU213</f>
        <v>400</v>
      </c>
      <c r="CS213" s="72">
        <f t="shared" ref="CS213" si="1845">AY213</f>
        <v>411</v>
      </c>
      <c r="CT213" s="23">
        <f t="shared" ref="CT213" si="1846">M213-K213</f>
        <v>2</v>
      </c>
    </row>
    <row r="214" spans="1:1029" x14ac:dyDescent="0.2">
      <c r="A214" s="3" t="str">
        <f t="shared" si="1791"/>
        <v>cnr2_human__wt</v>
      </c>
      <c r="B214" s="3" t="s">
        <v>183</v>
      </c>
      <c r="C214" s="3" t="s">
        <v>100</v>
      </c>
      <c r="D214" s="3" t="str">
        <f>IFERROR(MID(VLOOKUP($B214,Seqs!$A:$B,2,0),E214,1),"")</f>
        <v>S</v>
      </c>
      <c r="E214" s="3">
        <v>29</v>
      </c>
      <c r="F214" s="3" t="str">
        <f>IFERROR(MID(VLOOKUP($B214,Seqs!$A:$B,2,0),G214,1),"")</f>
        <v>S</v>
      </c>
      <c r="G214" s="3">
        <v>61</v>
      </c>
      <c r="H214" s="3" t="str">
        <f>IFERROR(MID(VLOOKUP($B214,Seqs!$A:$B,2,0),I214,1),"")</f>
        <v>H</v>
      </c>
      <c r="I214" s="23">
        <v>62</v>
      </c>
      <c r="J214" s="3" t="str">
        <f>IFERROR(MID(VLOOKUP($B214,Seqs!$A:$B,2,0),K214,1),"")</f>
        <v>R</v>
      </c>
      <c r="K214" s="23">
        <v>65</v>
      </c>
      <c r="L214" s="3" t="str">
        <f>IFERROR(MID(VLOOKUP($B214,Seqs!$A:$B,2,0),M214,1),"")</f>
        <v>K</v>
      </c>
      <c r="M214" s="3">
        <v>67</v>
      </c>
      <c r="N214" s="3" t="str">
        <f>IFERROR(MID(VLOOKUP($B214,Seqs!$A:$B,2,0),O214,1),"")</f>
        <v>V</v>
      </c>
      <c r="O214" s="3">
        <v>96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S</v>
      </c>
      <c r="U214" s="3">
        <v>102</v>
      </c>
      <c r="V214" s="3" t="str">
        <f>IFERROR(MID(VLOOKUP($B214,Seqs!$A:$B,2,0),W214,1),"")</f>
        <v>Y</v>
      </c>
      <c r="W214" s="3">
        <v>137</v>
      </c>
      <c r="X214" s="3" t="str">
        <f>IFERROR(MID(VLOOKUP($B214,Seqs!$A:$B,2,0),Y214,1),"")</f>
        <v>P</v>
      </c>
      <c r="Y214" s="3">
        <v>138</v>
      </c>
      <c r="Z214" s="3" t="str">
        <f>IFERROR(MID(VLOOKUP($B214,Seqs!$A:$B,2,0),AA214,1),"")</f>
        <v>L</v>
      </c>
      <c r="AA214" s="3">
        <v>145</v>
      </c>
      <c r="AB214" s="3" t="str">
        <f>IFERROR(MID(VLOOKUP($B214,Seqs!$A:$B,2,0),AC214,1),"")</f>
        <v>T</v>
      </c>
      <c r="AC214" s="3">
        <v>146</v>
      </c>
      <c r="AD214" s="3" t="str">
        <f>IFERROR(MID(VLOOKUP($B214,Seqs!$A:$B,2,0),AE214,1),"")</f>
        <v>G</v>
      </c>
      <c r="AE214" s="3">
        <v>171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P</v>
      </c>
      <c r="AK214" s="3">
        <v>187</v>
      </c>
      <c r="AL214" s="3" t="str">
        <f>IFERROR(MID(VLOOKUP($B214,Seqs!$A:$B,2,0),AM214,1),"")</f>
        <v>G</v>
      </c>
      <c r="AM214" s="3">
        <v>225</v>
      </c>
      <c r="AN214" s="3" t="str">
        <f>IFERROR(MID(VLOOKUP($B214,Seqs!$A:$B,2,0),AO214,1),"")</f>
        <v>R</v>
      </c>
      <c r="AO214" s="3">
        <v>238</v>
      </c>
      <c r="AP214" s="3" t="str">
        <f>IFERROR(MID(VLOOKUP($B214,Seqs!$A:$B,2,0),AQ214,1),"")</f>
        <v>T</v>
      </c>
      <c r="AQ214" s="3">
        <v>271</v>
      </c>
      <c r="AR214" s="3" t="str">
        <f>IFERROR(MID(VLOOKUP($B214,Seqs!$A:$B,2,0),AS214,1),"")</f>
        <v>S</v>
      </c>
      <c r="AS214" s="3">
        <v>274</v>
      </c>
      <c r="AT214" s="3" t="str">
        <f>IFERROR(MID(VLOOKUP($B214,Seqs!$A:$B,2,0),AU214,1),"")</f>
        <v>R</v>
      </c>
      <c r="AU214" s="3">
        <v>302</v>
      </c>
      <c r="AV214" s="3" t="str">
        <f>IFERROR(MID(VLOOKUP($B214,Seqs!$A:$B,2,0),AW214,1),"")</f>
        <v>S</v>
      </c>
      <c r="AW214" s="3">
        <v>303</v>
      </c>
      <c r="AX214" s="3" t="str">
        <f>IFERROR(MID(VLOOKUP($B214,Seqs!$A:$B,2,0),AY214,1),"")</f>
        <v>K</v>
      </c>
      <c r="AY214" s="3">
        <v>319</v>
      </c>
      <c r="AZ214" s="77" t="str">
        <f>VLOOKUP(B214,Classification!A:D,2,0)</f>
        <v>A</v>
      </c>
      <c r="BA214" s="94" t="str">
        <f>VLOOKUP(B214,Classification!A:D,4,0)</f>
        <v>Cannabinoid</v>
      </c>
      <c r="BB214" s="27" t="b">
        <f t="shared" si="1792"/>
        <v>1</v>
      </c>
      <c r="BC214" s="23">
        <f t="shared" si="1793"/>
        <v>258</v>
      </c>
      <c r="BD214" s="2" t="s">
        <v>23</v>
      </c>
      <c r="BE214" s="3" t="s">
        <v>23</v>
      </c>
      <c r="BF214" s="118" t="s">
        <v>23</v>
      </c>
      <c r="BG214" s="49" t="s">
        <v>23</v>
      </c>
      <c r="BH214" s="49" t="s">
        <v>23</v>
      </c>
      <c r="BJ214" s="70" t="s">
        <v>1283</v>
      </c>
      <c r="BK214" s="57" t="s">
        <v>1283</v>
      </c>
      <c r="BL214" s="57" t="s">
        <v>1283</v>
      </c>
      <c r="BM214" s="57" t="s">
        <v>1283</v>
      </c>
      <c r="BN214" s="57" t="s">
        <v>1283</v>
      </c>
      <c r="BO214" s="57" t="s">
        <v>1283</v>
      </c>
      <c r="BP214" s="57" t="s">
        <v>1283</v>
      </c>
      <c r="BQ214" s="57" t="s">
        <v>1283</v>
      </c>
      <c r="BR214" s="57" t="s">
        <v>1283</v>
      </c>
      <c r="BS214" s="57" t="s">
        <v>1283</v>
      </c>
      <c r="BT214" s="57" t="s">
        <v>1283</v>
      </c>
      <c r="BU214" s="57" t="s">
        <v>1283</v>
      </c>
      <c r="BV214" s="70">
        <f t="shared" si="1794"/>
        <v>29</v>
      </c>
      <c r="BW214" s="71">
        <f t="shared" si="1795"/>
        <v>62</v>
      </c>
      <c r="BX214" s="72">
        <f t="shared" si="1796"/>
        <v>67</v>
      </c>
      <c r="BY214" s="71" t="str">
        <f t="shared" si="1797"/>
        <v>-</v>
      </c>
      <c r="BZ214" s="72">
        <f t="shared" si="1798"/>
        <v>102</v>
      </c>
      <c r="CA214" s="71">
        <f t="shared" si="1799"/>
        <v>138</v>
      </c>
      <c r="CB214" s="72">
        <f t="shared" si="1800"/>
        <v>146</v>
      </c>
      <c r="CC214" s="71" t="str">
        <f t="shared" si="1801"/>
        <v>-</v>
      </c>
      <c r="CD214" s="72">
        <f t="shared" si="1802"/>
        <v>187</v>
      </c>
      <c r="CE214" s="71">
        <f t="shared" si="1803"/>
        <v>238</v>
      </c>
      <c r="CF214" s="72">
        <f t="shared" si="1804"/>
        <v>274</v>
      </c>
      <c r="CG214" s="71">
        <f t="shared" si="1805"/>
        <v>303</v>
      </c>
      <c r="CH214" s="70">
        <f t="shared" si="1806"/>
        <v>61</v>
      </c>
      <c r="CI214" s="71">
        <f t="shared" si="1807"/>
        <v>65</v>
      </c>
      <c r="CJ214" s="72">
        <f t="shared" si="1808"/>
        <v>96</v>
      </c>
      <c r="CK214" s="72" t="str">
        <f t="shared" si="1809"/>
        <v>-</v>
      </c>
      <c r="CL214" s="72">
        <f t="shared" si="1810"/>
        <v>137</v>
      </c>
      <c r="CM214" s="72">
        <f t="shared" si="1811"/>
        <v>145</v>
      </c>
      <c r="CN214" s="72">
        <f t="shared" si="1812"/>
        <v>171</v>
      </c>
      <c r="CO214" s="72" t="str">
        <f t="shared" si="1813"/>
        <v>-</v>
      </c>
      <c r="CP214" s="72">
        <f t="shared" si="1814"/>
        <v>225</v>
      </c>
      <c r="CQ214" s="72">
        <f t="shared" si="1815"/>
        <v>271</v>
      </c>
      <c r="CR214" s="72">
        <f t="shared" si="1816"/>
        <v>302</v>
      </c>
      <c r="CS214" s="72">
        <f t="shared" si="1817"/>
        <v>319</v>
      </c>
      <c r="CT214" s="23">
        <f t="shared" si="1818"/>
        <v>2</v>
      </c>
    </row>
    <row r="215" spans="1:1029" x14ac:dyDescent="0.2">
      <c r="A215" s="3" t="str">
        <f t="shared" si="1791"/>
        <v>cnr2_human_5ZTY</v>
      </c>
      <c r="B215" s="3" t="s">
        <v>183</v>
      </c>
      <c r="C215" s="3" t="s">
        <v>1553</v>
      </c>
      <c r="D215" s="3" t="str">
        <f>IFERROR(MID(VLOOKUP($B215,Seqs!$A:$B,2,0),E215,1),"")</f>
        <v>S</v>
      </c>
      <c r="E215" s="3">
        <v>29</v>
      </c>
      <c r="F215" s="3" t="str">
        <f>IFERROR(MID(VLOOKUP($B215,Seqs!$A:$B,2,0),G215,1),"")</f>
        <v>S</v>
      </c>
      <c r="G215" s="3">
        <v>61</v>
      </c>
      <c r="H215" s="3" t="str">
        <f>IFERROR(MID(VLOOKUP($B215,Seqs!$A:$B,2,0),I215,1),"")</f>
        <v>H</v>
      </c>
      <c r="I215" s="23">
        <v>62</v>
      </c>
      <c r="J215" s="3" t="str">
        <f>IFERROR(MID(VLOOKUP($B215,Seqs!$A:$B,2,0),K215,1),"")</f>
        <v>R</v>
      </c>
      <c r="K215" s="23">
        <v>65</v>
      </c>
      <c r="L215" s="3" t="str">
        <f>IFERROR(MID(VLOOKUP($B215,Seqs!$A:$B,2,0),M215,1),"")</f>
        <v>K</v>
      </c>
      <c r="M215" s="3">
        <v>67</v>
      </c>
      <c r="N215" s="3" t="str">
        <f>IFERROR(MID(VLOOKUP($B215,Seqs!$A:$B,2,0),O215,1),"")</f>
        <v>V</v>
      </c>
      <c r="O215" s="3">
        <v>96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S</v>
      </c>
      <c r="U215" s="3">
        <v>102</v>
      </c>
      <c r="V215" s="3" t="str">
        <f>IFERROR(MID(VLOOKUP($B215,Seqs!$A:$B,2,0),W215,1),"")</f>
        <v>Y</v>
      </c>
      <c r="W215" s="3">
        <v>137</v>
      </c>
      <c r="X215" s="3" t="str">
        <f>IFERROR(MID(VLOOKUP($B215,Seqs!$A:$B,2,0),Y215,1),"")</f>
        <v>P</v>
      </c>
      <c r="Y215" s="3">
        <v>138</v>
      </c>
      <c r="Z215" s="3" t="str">
        <f>IFERROR(MID(VLOOKUP($B215,Seqs!$A:$B,2,0),AA215,1),"")</f>
        <v>L</v>
      </c>
      <c r="AA215" s="3">
        <v>145</v>
      </c>
      <c r="AB215" s="3" t="str">
        <f>IFERROR(MID(VLOOKUP($B215,Seqs!$A:$B,2,0),AC215,1),"")</f>
        <v>T</v>
      </c>
      <c r="AC215" s="3">
        <v>146</v>
      </c>
      <c r="AD215" s="3" t="str">
        <f>IFERROR(MID(VLOOKUP($B215,Seqs!$A:$B,2,0),AE215,1),"")</f>
        <v>G</v>
      </c>
      <c r="AE215" s="3">
        <v>171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P</v>
      </c>
      <c r="AK215" s="3">
        <v>187</v>
      </c>
      <c r="AL215" s="3" t="str">
        <f>IFERROR(MID(VLOOKUP($B215,Seqs!$A:$B,2,0),AM215,1),"")</f>
        <v>V</v>
      </c>
      <c r="AM215" s="3">
        <v>220</v>
      </c>
      <c r="AN215" s="3" t="str">
        <f>IFERROR(MID(VLOOKUP($B215,Seqs!$A:$B,2,0),AO215,1),"")</f>
        <v>M</v>
      </c>
      <c r="AO215" s="3">
        <v>237</v>
      </c>
      <c r="AP215" s="3" t="str">
        <f>IFERROR(MID(VLOOKUP($B215,Seqs!$A:$B,2,0),AQ215,1),"")</f>
        <v>T</v>
      </c>
      <c r="AQ215" s="3">
        <v>271</v>
      </c>
      <c r="AR215" s="3" t="str">
        <f>IFERROR(MID(VLOOKUP($B215,Seqs!$A:$B,2,0),AS215,1),"")</f>
        <v>S</v>
      </c>
      <c r="AS215" s="3">
        <v>274</v>
      </c>
      <c r="AT215" s="3" t="str">
        <f>IFERROR(MID(VLOOKUP($B215,Seqs!$A:$B,2,0),AU215,1),"")</f>
        <v>R</v>
      </c>
      <c r="AU215" s="3">
        <v>302</v>
      </c>
      <c r="AV215" s="3" t="str">
        <f>IFERROR(MID(VLOOKUP($B215,Seqs!$A:$B,2,0),AW215,1),"")</f>
        <v>S</v>
      </c>
      <c r="AW215" s="3">
        <v>303</v>
      </c>
      <c r="AX215" s="3" t="str">
        <f>IFERROR(MID(VLOOKUP($B215,Seqs!$A:$B,2,0),AY215,1),"")</f>
        <v>K</v>
      </c>
      <c r="AY215" s="3">
        <v>319</v>
      </c>
      <c r="AZ215" s="77" t="str">
        <f>VLOOKUP(B215,Classification!A:D,2,0)</f>
        <v>A</v>
      </c>
      <c r="BA215" s="94" t="str">
        <f>VLOOKUP(B215,Classification!A:D,4,0)</f>
        <v>Cannabinoid</v>
      </c>
      <c r="BB215" s="27" t="b">
        <f t="shared" si="1792"/>
        <v>1</v>
      </c>
      <c r="BC215" s="23">
        <f t="shared" si="1793"/>
        <v>254</v>
      </c>
      <c r="BD215" s="2" t="s">
        <v>1372</v>
      </c>
      <c r="BE215" s="3" t="s">
        <v>1370</v>
      </c>
      <c r="BF215" s="118">
        <v>2.8</v>
      </c>
      <c r="BG215" s="49" t="s">
        <v>1</v>
      </c>
      <c r="BH215" s="49" t="s">
        <v>1</v>
      </c>
      <c r="BJ215" s="70" t="s">
        <v>1283</v>
      </c>
      <c r="BK215" s="57" t="s">
        <v>1283</v>
      </c>
      <c r="BL215" s="57" t="s">
        <v>1283</v>
      </c>
      <c r="BM215" s="57" t="s">
        <v>1283</v>
      </c>
      <c r="BN215" s="57" t="s">
        <v>1283</v>
      </c>
      <c r="BO215" s="57" t="s">
        <v>1283</v>
      </c>
      <c r="BP215" s="57" t="s">
        <v>1283</v>
      </c>
      <c r="BQ215" s="57" t="s">
        <v>1283</v>
      </c>
      <c r="BR215" s="57" t="s">
        <v>1283</v>
      </c>
      <c r="BS215" s="57" t="s">
        <v>1283</v>
      </c>
      <c r="BT215" s="57" t="s">
        <v>1283</v>
      </c>
      <c r="BU215" s="57" t="s">
        <v>1283</v>
      </c>
      <c r="BV215" s="70">
        <f t="shared" si="1794"/>
        <v>29</v>
      </c>
      <c r="BW215" s="71">
        <f t="shared" si="1795"/>
        <v>62</v>
      </c>
      <c r="BX215" s="72">
        <f t="shared" si="1796"/>
        <v>67</v>
      </c>
      <c r="BY215" s="71" t="str">
        <f t="shared" si="1797"/>
        <v>-</v>
      </c>
      <c r="BZ215" s="72">
        <f t="shared" si="1798"/>
        <v>102</v>
      </c>
      <c r="CA215" s="71">
        <f t="shared" si="1799"/>
        <v>138</v>
      </c>
      <c r="CB215" s="72">
        <f t="shared" si="1800"/>
        <v>146</v>
      </c>
      <c r="CC215" s="71" t="str">
        <f t="shared" si="1801"/>
        <v>-</v>
      </c>
      <c r="CD215" s="72">
        <f t="shared" si="1802"/>
        <v>187</v>
      </c>
      <c r="CE215" s="71">
        <f t="shared" si="1803"/>
        <v>237</v>
      </c>
      <c r="CF215" s="72">
        <f t="shared" si="1804"/>
        <v>274</v>
      </c>
      <c r="CG215" s="71">
        <f t="shared" si="1805"/>
        <v>303</v>
      </c>
      <c r="CH215" s="70">
        <f t="shared" si="1806"/>
        <v>61</v>
      </c>
      <c r="CI215" s="71">
        <f t="shared" si="1807"/>
        <v>65</v>
      </c>
      <c r="CJ215" s="72">
        <f t="shared" si="1808"/>
        <v>96</v>
      </c>
      <c r="CK215" s="72" t="str">
        <f t="shared" si="1809"/>
        <v>-</v>
      </c>
      <c r="CL215" s="72">
        <f t="shared" si="1810"/>
        <v>137</v>
      </c>
      <c r="CM215" s="72">
        <f t="shared" si="1811"/>
        <v>145</v>
      </c>
      <c r="CN215" s="72">
        <f t="shared" si="1812"/>
        <v>171</v>
      </c>
      <c r="CO215" s="72" t="str">
        <f t="shared" si="1813"/>
        <v>-</v>
      </c>
      <c r="CP215" s="72">
        <f t="shared" si="1814"/>
        <v>220</v>
      </c>
      <c r="CQ215" s="72">
        <f t="shared" si="1815"/>
        <v>271</v>
      </c>
      <c r="CR215" s="72">
        <f t="shared" si="1816"/>
        <v>302</v>
      </c>
      <c r="CS215" s="72">
        <f t="shared" si="1817"/>
        <v>319</v>
      </c>
      <c r="CT215" s="23">
        <f t="shared" si="1818"/>
        <v>2</v>
      </c>
    </row>
    <row r="216" spans="1:1029" x14ac:dyDescent="0.2">
      <c r="A216" s="3" t="str">
        <f t="shared" ref="A216" si="1847">CONCATENATE(B216,"_",C216)</f>
        <v>cnr2_human_6KPC</v>
      </c>
      <c r="B216" s="3" t="s">
        <v>183</v>
      </c>
      <c r="C216" s="3" t="s">
        <v>1645</v>
      </c>
      <c r="D216" s="3" t="str">
        <f>IFERROR(MID(VLOOKUP($B216,Seqs!$A:$B,2,0),E216,1),"")</f>
        <v>S</v>
      </c>
      <c r="E216" s="3">
        <v>29</v>
      </c>
      <c r="F216" s="3" t="str">
        <f>IFERROR(MID(VLOOKUP($B216,Seqs!$A:$B,2,0),G216,1),"")</f>
        <v>S</v>
      </c>
      <c r="G216" s="3">
        <v>61</v>
      </c>
      <c r="H216" s="3" t="str">
        <f>IFERROR(MID(VLOOKUP($B216,Seqs!$A:$B,2,0),I216,1),"")</f>
        <v>H</v>
      </c>
      <c r="I216" s="23">
        <v>62</v>
      </c>
      <c r="J216" s="3" t="str">
        <f>IFERROR(MID(VLOOKUP($B216,Seqs!$A:$B,2,0),K216,1),"")</f>
        <v>R</v>
      </c>
      <c r="K216" s="23">
        <v>65</v>
      </c>
      <c r="L216" s="3" t="str">
        <f>IFERROR(MID(VLOOKUP($B216,Seqs!$A:$B,2,0),M216,1),"")</f>
        <v>P</v>
      </c>
      <c r="M216" s="3">
        <v>68</v>
      </c>
      <c r="N216" s="3" t="str">
        <f>IFERROR(MID(VLOOKUP($B216,Seqs!$A:$B,2,0),O216,1),"")</f>
        <v>H</v>
      </c>
      <c r="O216" s="3">
        <v>95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S</v>
      </c>
      <c r="U216" s="3">
        <v>102</v>
      </c>
      <c r="V216" s="3" t="str">
        <f>IFERROR(MID(VLOOKUP($B216,Seqs!$A:$B,2,0),W216,1),"")</f>
        <v>Y</v>
      </c>
      <c r="W216" s="3">
        <v>137</v>
      </c>
      <c r="X216" s="3" t="str">
        <f>IFERROR(MID(VLOOKUP($B216,Seqs!$A:$B,2,0),Y216,1),"")</f>
        <v>P</v>
      </c>
      <c r="Y216" s="3">
        <v>138</v>
      </c>
      <c r="Z216" s="3" t="str">
        <f>IFERROR(MID(VLOOKUP($B216,Seqs!$A:$B,2,0),AA216,1),"")</f>
        <v>L</v>
      </c>
      <c r="AA216" s="3">
        <v>145</v>
      </c>
      <c r="AB216" s="3" t="str">
        <f>IFERROR(MID(VLOOKUP($B216,Seqs!$A:$B,2,0),AC216,1),"")</f>
        <v>T</v>
      </c>
      <c r="AC216" s="3">
        <v>146</v>
      </c>
      <c r="AD216" s="3" t="str">
        <f>IFERROR(MID(VLOOKUP($B216,Seqs!$A:$B,2,0),AE216,1),"")</f>
        <v>M</v>
      </c>
      <c r="AE216" s="3">
        <v>170</v>
      </c>
      <c r="AF216" s="3" t="str">
        <f>IFERROR(MID(VLOOKUP($B216,Seqs!$A:$B,2,0),AG216,1),"")</f>
        <v/>
      </c>
      <c r="AG216" s="3" t="s">
        <v>23</v>
      </c>
      <c r="AH216" s="3" t="str">
        <f>IFERROR(MID(VLOOKUP($B216,Seqs!$A:$B,2,0),AI216,1),"")</f>
        <v/>
      </c>
      <c r="AI216" s="3" t="s">
        <v>23</v>
      </c>
      <c r="AJ216" s="3" t="str">
        <f>IFERROR(MID(VLOOKUP($B216,Seqs!$A:$B,2,0),AK216,1),"")</f>
        <v>P</v>
      </c>
      <c r="AK216" s="3">
        <v>187</v>
      </c>
      <c r="AL216" s="3" t="str">
        <f>IFERROR(MID(VLOOKUP($B216,Seqs!$A:$B,2,0),AM216,1),"")</f>
        <v>V</v>
      </c>
      <c r="AM216" s="3">
        <v>220</v>
      </c>
      <c r="AN216" s="3" t="str">
        <f>IFERROR(MID(VLOOKUP($B216,Seqs!$A:$B,2,0),AO216,1),"")</f>
        <v>M</v>
      </c>
      <c r="AO216" s="3">
        <v>237</v>
      </c>
      <c r="AP216" s="3" t="str">
        <f>IFERROR(MID(VLOOKUP($B216,Seqs!$A:$B,2,0),AQ216,1),"")</f>
        <v>T</v>
      </c>
      <c r="AQ216" s="3">
        <v>271</v>
      </c>
      <c r="AR216" s="3" t="str">
        <f>IFERROR(MID(VLOOKUP($B216,Seqs!$A:$B,2,0),AS216,1),"")</f>
        <v>S</v>
      </c>
      <c r="AS216" s="3">
        <v>274</v>
      </c>
      <c r="AT216" s="3" t="str">
        <f>IFERROR(MID(VLOOKUP($B216,Seqs!$A:$B,2,0),AU216,1),"")</f>
        <v>R</v>
      </c>
      <c r="AU216" s="3">
        <v>302</v>
      </c>
      <c r="AV216" s="3" t="str">
        <f>IFERROR(MID(VLOOKUP($B216,Seqs!$A:$B,2,0),AW216,1),"")</f>
        <v>S</v>
      </c>
      <c r="AW216" s="3">
        <v>303</v>
      </c>
      <c r="AX216" s="3" t="str">
        <f>IFERROR(MID(VLOOKUP($B216,Seqs!$A:$B,2,0),AY216,1),"")</f>
        <v>H</v>
      </c>
      <c r="AY216" s="3">
        <v>312</v>
      </c>
      <c r="AZ216" s="77" t="str">
        <f>VLOOKUP(B216,Classification!A:D,2,0)</f>
        <v>A</v>
      </c>
      <c r="BA216" s="94" t="str">
        <f>VLOOKUP(B216,Classification!A:D,4,0)</f>
        <v>Cannabinoid</v>
      </c>
      <c r="BB216" s="27" t="b">
        <f t="shared" ref="BB216" si="1848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849">_xlfn.AGGREGATE(9,6,CH216:CS216)-_xlfn.AGGREGATE(9,6,BV216:CG216)+12</f>
        <v>244</v>
      </c>
      <c r="BD216" s="2" t="s">
        <v>23</v>
      </c>
      <c r="BE216" s="3" t="s">
        <v>1370</v>
      </c>
      <c r="BF216" s="118">
        <v>3.2</v>
      </c>
      <c r="BG216" s="49" t="s">
        <v>1</v>
      </c>
      <c r="BH216" s="49" t="s">
        <v>1</v>
      </c>
      <c r="BJ216" s="70" t="s">
        <v>1283</v>
      </c>
      <c r="BK216" s="57" t="s">
        <v>1283</v>
      </c>
      <c r="BL216" s="57" t="s">
        <v>1283</v>
      </c>
      <c r="BM216" s="57" t="s">
        <v>1283</v>
      </c>
      <c r="BN216" s="57" t="s">
        <v>1283</v>
      </c>
      <c r="BO216" s="57" t="s">
        <v>1283</v>
      </c>
      <c r="BP216" s="57" t="s">
        <v>1283</v>
      </c>
      <c r="BQ216" s="57" t="s">
        <v>1283</v>
      </c>
      <c r="BR216" s="57" t="s">
        <v>1283</v>
      </c>
      <c r="BS216" s="57" t="s">
        <v>1283</v>
      </c>
      <c r="BT216" s="57" t="s">
        <v>1283</v>
      </c>
      <c r="BU216" s="57" t="s">
        <v>1283</v>
      </c>
      <c r="BV216" s="70">
        <f t="shared" ref="BV216" si="1850">E216</f>
        <v>29</v>
      </c>
      <c r="BW216" s="71">
        <f t="shared" ref="BW216" si="1851">I216</f>
        <v>62</v>
      </c>
      <c r="BX216" s="72">
        <f t="shared" ref="BX216" si="1852">M216</f>
        <v>68</v>
      </c>
      <c r="BY216" s="71" t="str">
        <f t="shared" ref="BY216" si="1853">Q216</f>
        <v>-</v>
      </c>
      <c r="BZ216" s="72">
        <f t="shared" ref="BZ216" si="1854">U216</f>
        <v>102</v>
      </c>
      <c r="CA216" s="71">
        <f t="shared" ref="CA216" si="1855">Y216</f>
        <v>138</v>
      </c>
      <c r="CB216" s="72">
        <f t="shared" ref="CB216" si="1856">AC216</f>
        <v>146</v>
      </c>
      <c r="CC216" s="71" t="str">
        <f t="shared" ref="CC216" si="1857">AG216</f>
        <v>-</v>
      </c>
      <c r="CD216" s="72">
        <f t="shared" ref="CD216" si="1858">AK216</f>
        <v>187</v>
      </c>
      <c r="CE216" s="71">
        <f t="shared" ref="CE216" si="1859">AO216</f>
        <v>237</v>
      </c>
      <c r="CF216" s="72">
        <f t="shared" ref="CF216" si="1860">AS216</f>
        <v>274</v>
      </c>
      <c r="CG216" s="71">
        <f t="shared" ref="CG216" si="1861">AW216</f>
        <v>303</v>
      </c>
      <c r="CH216" s="70">
        <f t="shared" ref="CH216" si="1862">G216</f>
        <v>61</v>
      </c>
      <c r="CI216" s="71">
        <f t="shared" ref="CI216" si="1863">K216</f>
        <v>65</v>
      </c>
      <c r="CJ216" s="72">
        <f t="shared" ref="CJ216" si="1864">O216</f>
        <v>95</v>
      </c>
      <c r="CK216" s="72" t="str">
        <f t="shared" ref="CK216" si="1865">S216</f>
        <v>-</v>
      </c>
      <c r="CL216" s="72">
        <f t="shared" ref="CL216" si="1866">W216</f>
        <v>137</v>
      </c>
      <c r="CM216" s="72">
        <f t="shared" ref="CM216" si="1867">AA216</f>
        <v>145</v>
      </c>
      <c r="CN216" s="72">
        <f t="shared" ref="CN216" si="1868">AE216</f>
        <v>170</v>
      </c>
      <c r="CO216" s="72" t="str">
        <f t="shared" ref="CO216" si="1869">AI216</f>
        <v>-</v>
      </c>
      <c r="CP216" s="72">
        <f t="shared" ref="CP216" si="1870">AM216</f>
        <v>220</v>
      </c>
      <c r="CQ216" s="72">
        <f t="shared" ref="CQ216" si="1871">AQ216</f>
        <v>271</v>
      </c>
      <c r="CR216" s="72">
        <f t="shared" ref="CR216" si="1872">AU216</f>
        <v>302</v>
      </c>
      <c r="CS216" s="72">
        <f t="shared" ref="CS216" si="1873">AY216</f>
        <v>312</v>
      </c>
      <c r="CT216" s="23">
        <f t="shared" ref="CT216" si="1874">M216-K216</f>
        <v>3</v>
      </c>
    </row>
    <row r="217" spans="1:1029" x14ac:dyDescent="0.2">
      <c r="A217" s="3" t="str">
        <f t="shared" ref="A217" si="1875">CONCATENATE(B217,"_",C217)</f>
        <v>cnr2_human_6KPF</v>
      </c>
      <c r="B217" s="3" t="s">
        <v>183</v>
      </c>
      <c r="C217" s="3" t="s">
        <v>1646</v>
      </c>
      <c r="D217" s="3" t="str">
        <f>IFERROR(MID(VLOOKUP($B217,Seqs!$A:$B,2,0),E217,1),"")</f>
        <v>S</v>
      </c>
      <c r="E217" s="3">
        <v>29</v>
      </c>
      <c r="F217" s="3" t="str">
        <f>IFERROR(MID(VLOOKUP($B217,Seqs!$A:$B,2,0),G217,1),"")</f>
        <v>S</v>
      </c>
      <c r="G217" s="3">
        <v>60</v>
      </c>
      <c r="H217" s="3" t="str">
        <f>IFERROR(MID(VLOOKUP($B217,Seqs!$A:$B,2,0),I217,1),"")</f>
        <v>H</v>
      </c>
      <c r="I217" s="23">
        <v>62</v>
      </c>
      <c r="J217" s="3" t="str">
        <f>IFERROR(MID(VLOOKUP($B217,Seqs!$A:$B,2,0),K217,1),"")</f>
        <v>R</v>
      </c>
      <c r="K217" s="23">
        <v>65</v>
      </c>
      <c r="L217" s="3" t="str">
        <f>IFERROR(MID(VLOOKUP($B217,Seqs!$A:$B,2,0),M217,1),"")</f>
        <v>K</v>
      </c>
      <c r="M217" s="3">
        <v>67</v>
      </c>
      <c r="N217" s="3" t="str">
        <f>IFERROR(MID(VLOOKUP($B217,Seqs!$A:$B,2,0),O217,1),"")</f>
        <v>H</v>
      </c>
      <c r="O217" s="3">
        <v>95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V</v>
      </c>
      <c r="U217" s="3">
        <v>105</v>
      </c>
      <c r="V217" s="3" t="str">
        <f>IFERROR(MID(VLOOKUP($B217,Seqs!$A:$B,2,0),W217,1),"")</f>
        <v>R</v>
      </c>
      <c r="W217" s="3">
        <v>136</v>
      </c>
      <c r="X217" s="3" t="str">
        <f>IFERROR(MID(VLOOKUP($B217,Seqs!$A:$B,2,0),Y217,1),"")</f>
        <v>P</v>
      </c>
      <c r="Y217" s="3">
        <v>138</v>
      </c>
      <c r="Z217" s="3" t="str">
        <f>IFERROR(MID(VLOOKUP($B217,Seqs!$A:$B,2,0),AA217,1),"")</f>
        <v>L</v>
      </c>
      <c r="AA217" s="3">
        <v>145</v>
      </c>
      <c r="AB217" s="3" t="str">
        <f>IFERROR(MID(VLOOKUP($B217,Seqs!$A:$B,2,0),AC217,1),"")</f>
        <v>T</v>
      </c>
      <c r="AC217" s="3">
        <v>146</v>
      </c>
      <c r="AD217" s="3" t="str">
        <f>IFERROR(MID(VLOOKUP($B217,Seqs!$A:$B,2,0),AE217,1),"")</f>
        <v>Y</v>
      </c>
      <c r="AE217" s="3">
        <v>166</v>
      </c>
      <c r="AF217" s="3" t="str">
        <f>IFERROR(MID(VLOOKUP($B217,Seqs!$A:$B,2,0),AG217,1),"")</f>
        <v/>
      </c>
      <c r="AG217" s="3" t="s">
        <v>23</v>
      </c>
      <c r="AH217" s="3" t="str">
        <f>IFERROR(MID(VLOOKUP($B217,Seqs!$A:$B,2,0),AI217,1),"")</f>
        <v/>
      </c>
      <c r="AI217" s="3" t="s">
        <v>23</v>
      </c>
      <c r="AJ217" s="3" t="str">
        <f>IFERROR(MID(VLOOKUP($B217,Seqs!$A:$B,2,0),AK217,1),"")</f>
        <v>P</v>
      </c>
      <c r="AK217" s="3">
        <v>187</v>
      </c>
      <c r="AL217" s="3" t="str">
        <f>IFERROR(MID(VLOOKUP($B217,Seqs!$A:$B,2,0),AM217,1),"")</f>
        <v>H</v>
      </c>
      <c r="AM217" s="3">
        <v>226</v>
      </c>
      <c r="AN217" s="3" t="str">
        <f>IFERROR(MID(VLOOKUP($B217,Seqs!$A:$B,2,0),AO217,1),"")</f>
        <v>R</v>
      </c>
      <c r="AO217" s="3">
        <v>238</v>
      </c>
      <c r="AP217" s="3" t="str">
        <f>IFERROR(MID(VLOOKUP($B217,Seqs!$A:$B,2,0),AQ217,1),"")</f>
        <v>A</v>
      </c>
      <c r="AQ217" s="3">
        <v>266</v>
      </c>
      <c r="AR217" s="3" t="str">
        <f>IFERROR(MID(VLOOKUP($B217,Seqs!$A:$B,2,0),AS217,1),"")</f>
        <v>D</v>
      </c>
      <c r="AS217" s="3">
        <v>275</v>
      </c>
      <c r="AT217" s="3" t="str">
        <f>IFERROR(MID(VLOOKUP($B217,Seqs!$A:$B,2,0),AU217,1),"")</f>
        <v>R</v>
      </c>
      <c r="AU217" s="3">
        <v>302</v>
      </c>
      <c r="AV217" s="3" t="str">
        <f>IFERROR(MID(VLOOKUP($B217,Seqs!$A:$B,2,0),AW217,1),"")</f>
        <v>S</v>
      </c>
      <c r="AW217" s="3">
        <v>303</v>
      </c>
      <c r="AX217" s="3" t="str">
        <f>IFERROR(MID(VLOOKUP($B217,Seqs!$A:$B,2,0),AY217,1),"")</f>
        <v>C</v>
      </c>
      <c r="AY217" s="3">
        <v>313</v>
      </c>
      <c r="AZ217" s="77" t="str">
        <f>VLOOKUP(B217,Classification!A:D,2,0)</f>
        <v>A</v>
      </c>
      <c r="BA217" s="94" t="str">
        <f>VLOOKUP(B217,Classification!A:D,4,0)</f>
        <v>Cannabinoid</v>
      </c>
      <c r="BB217" s="27" t="b">
        <f t="shared" ref="BB217" si="1876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" si="1877">_xlfn.AGGREGATE(9,6,CH217:CS217)-_xlfn.AGGREGATE(9,6,BV217:CG217)+12</f>
        <v>236</v>
      </c>
      <c r="BD217" s="2" t="s">
        <v>23</v>
      </c>
      <c r="BE217" s="3" t="s">
        <v>1287</v>
      </c>
      <c r="BF217" s="118">
        <v>2.9</v>
      </c>
      <c r="BG217" s="49" t="s">
        <v>1418</v>
      </c>
      <c r="BH217" s="49" t="s">
        <v>1418</v>
      </c>
      <c r="BJ217" s="70" t="s">
        <v>1283</v>
      </c>
      <c r="BK217" s="57" t="s">
        <v>1283</v>
      </c>
      <c r="BL217" s="57" t="s">
        <v>1283</v>
      </c>
      <c r="BM217" s="57" t="s">
        <v>1283</v>
      </c>
      <c r="BN217" s="57" t="s">
        <v>1283</v>
      </c>
      <c r="BO217" s="57" t="s">
        <v>1283</v>
      </c>
      <c r="BP217" s="57" t="s">
        <v>1283</v>
      </c>
      <c r="BQ217" s="57" t="s">
        <v>1283</v>
      </c>
      <c r="BR217" s="57" t="s">
        <v>1283</v>
      </c>
      <c r="BS217" s="57" t="s">
        <v>1283</v>
      </c>
      <c r="BT217" s="57" t="s">
        <v>1283</v>
      </c>
      <c r="BU217" s="57" t="s">
        <v>1283</v>
      </c>
      <c r="BV217" s="70">
        <f t="shared" ref="BV217" si="1878">E217</f>
        <v>29</v>
      </c>
      <c r="BW217" s="71">
        <f t="shared" ref="BW217" si="1879">I217</f>
        <v>62</v>
      </c>
      <c r="BX217" s="72">
        <f t="shared" ref="BX217" si="1880">M217</f>
        <v>67</v>
      </c>
      <c r="BY217" s="71" t="str">
        <f t="shared" ref="BY217" si="1881">Q217</f>
        <v>-</v>
      </c>
      <c r="BZ217" s="72">
        <f t="shared" ref="BZ217" si="1882">U217</f>
        <v>105</v>
      </c>
      <c r="CA217" s="71">
        <f t="shared" ref="CA217" si="1883">Y217</f>
        <v>138</v>
      </c>
      <c r="CB217" s="72">
        <f t="shared" ref="CB217" si="1884">AC217</f>
        <v>146</v>
      </c>
      <c r="CC217" s="71" t="str">
        <f t="shared" ref="CC217" si="1885">AG217</f>
        <v>-</v>
      </c>
      <c r="CD217" s="72">
        <f t="shared" ref="CD217" si="1886">AK217</f>
        <v>187</v>
      </c>
      <c r="CE217" s="71">
        <f t="shared" ref="CE217" si="1887">AO217</f>
        <v>238</v>
      </c>
      <c r="CF217" s="72">
        <f t="shared" ref="CF217" si="1888">AS217</f>
        <v>275</v>
      </c>
      <c r="CG217" s="71">
        <f t="shared" ref="CG217" si="1889">AW217</f>
        <v>303</v>
      </c>
      <c r="CH217" s="70">
        <f t="shared" ref="CH217" si="1890">G217</f>
        <v>60</v>
      </c>
      <c r="CI217" s="71">
        <f t="shared" ref="CI217" si="1891">K217</f>
        <v>65</v>
      </c>
      <c r="CJ217" s="72">
        <f t="shared" ref="CJ217" si="1892">O217</f>
        <v>95</v>
      </c>
      <c r="CK217" s="72" t="str">
        <f t="shared" ref="CK217" si="1893">S217</f>
        <v>-</v>
      </c>
      <c r="CL217" s="72">
        <f t="shared" ref="CL217" si="1894">W217</f>
        <v>136</v>
      </c>
      <c r="CM217" s="72">
        <f t="shared" ref="CM217" si="1895">AA217</f>
        <v>145</v>
      </c>
      <c r="CN217" s="72">
        <f t="shared" ref="CN217" si="1896">AE217</f>
        <v>166</v>
      </c>
      <c r="CO217" s="72" t="str">
        <f t="shared" ref="CO217" si="1897">AI217</f>
        <v>-</v>
      </c>
      <c r="CP217" s="72">
        <f t="shared" ref="CP217" si="1898">AM217</f>
        <v>226</v>
      </c>
      <c r="CQ217" s="72">
        <f t="shared" ref="CQ217" si="1899">AQ217</f>
        <v>266</v>
      </c>
      <c r="CR217" s="72">
        <f t="shared" ref="CR217" si="1900">AU217</f>
        <v>302</v>
      </c>
      <c r="CS217" s="72">
        <f t="shared" ref="CS217" si="1901">AY217</f>
        <v>313</v>
      </c>
      <c r="CT217" s="23">
        <f t="shared" ref="CT217" si="1902">M217-K217</f>
        <v>2</v>
      </c>
    </row>
    <row r="218" spans="1:1029" x14ac:dyDescent="0.2">
      <c r="A218" s="3" t="str">
        <f t="shared" ref="A218" si="1903">CONCATENATE(B218,"_",C218)</f>
        <v>cnr2_human_6PT0</v>
      </c>
      <c r="B218" s="3" t="s">
        <v>183</v>
      </c>
      <c r="C218" s="3" t="s">
        <v>1647</v>
      </c>
      <c r="D218" s="3" t="str">
        <f>IFERROR(MID(VLOOKUP($B218,Seqs!$A:$B,2,0),E218,1),"")</f>
        <v>S</v>
      </c>
      <c r="E218" s="3">
        <v>29</v>
      </c>
      <c r="F218" s="3" t="str">
        <f>IFERROR(MID(VLOOKUP($B218,Seqs!$A:$B,2,0),G218,1),"")</f>
        <v>S</v>
      </c>
      <c r="G218" s="3">
        <v>60</v>
      </c>
      <c r="H218" s="3" t="str">
        <f>IFERROR(MID(VLOOKUP($B218,Seqs!$A:$B,2,0),I218,1),"")</f>
        <v>H</v>
      </c>
      <c r="I218" s="23">
        <v>62</v>
      </c>
      <c r="J218" s="3" t="str">
        <f>IFERROR(MID(VLOOKUP($B218,Seqs!$A:$B,2,0),K218,1),"")</f>
        <v>R</v>
      </c>
      <c r="K218" s="23">
        <v>65</v>
      </c>
      <c r="L218" s="3" t="str">
        <f>IFERROR(MID(VLOOKUP($B218,Seqs!$A:$B,2,0),M218,1),"")</f>
        <v>K</v>
      </c>
      <c r="M218" s="3">
        <v>67</v>
      </c>
      <c r="N218" s="3" t="str">
        <f>IFERROR(MID(VLOOKUP($B218,Seqs!$A:$B,2,0),O218,1),"")</f>
        <v>V</v>
      </c>
      <c r="O218" s="3">
        <v>96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S</v>
      </c>
      <c r="U218" s="3">
        <v>102</v>
      </c>
      <c r="V218" s="3" t="str">
        <f>IFERROR(MID(VLOOKUP($B218,Seqs!$A:$B,2,0),W218,1),"")</f>
        <v>Y</v>
      </c>
      <c r="W218" s="3">
        <v>137</v>
      </c>
      <c r="X218" s="3" t="str">
        <f>IFERROR(MID(VLOOKUP($B218,Seqs!$A:$B,2,0),Y218,1),"")</f>
        <v>P</v>
      </c>
      <c r="Y218" s="3">
        <v>138</v>
      </c>
      <c r="Z218" s="3" t="str">
        <f>IFERROR(MID(VLOOKUP($B218,Seqs!$A:$B,2,0),AA218,1),"")</f>
        <v>L</v>
      </c>
      <c r="AA218" s="3">
        <v>145</v>
      </c>
      <c r="AB218" s="3" t="str">
        <f>IFERROR(MID(VLOOKUP($B218,Seqs!$A:$B,2,0),AC218,1),"")</f>
        <v>T</v>
      </c>
      <c r="AC218" s="3">
        <v>146</v>
      </c>
      <c r="AD218" s="3" t="str">
        <f>IFERROR(MID(VLOOKUP($B218,Seqs!$A:$B,2,0),AE218,1),"")</f>
        <v>G</v>
      </c>
      <c r="AE218" s="3">
        <v>171</v>
      </c>
      <c r="AF218" s="3" t="str">
        <f>IFERROR(MID(VLOOKUP($B218,Seqs!$A:$B,2,0),AG218,1),"")</f>
        <v/>
      </c>
      <c r="AG218" s="3" t="s">
        <v>23</v>
      </c>
      <c r="AH218" s="3" t="str">
        <f>IFERROR(MID(VLOOKUP($B218,Seqs!$A:$B,2,0),AI218,1),"")</f>
        <v/>
      </c>
      <c r="AI218" s="3" t="s">
        <v>23</v>
      </c>
      <c r="AJ218" s="3" t="str">
        <f>IFERROR(MID(VLOOKUP($B218,Seqs!$A:$B,2,0),AK218,1),"")</f>
        <v>P</v>
      </c>
      <c r="AK218" s="3">
        <v>187</v>
      </c>
      <c r="AL218" s="3" t="str">
        <f>IFERROR(MID(VLOOKUP($B218,Seqs!$A:$B,2,0),AM218,1),"")</f>
        <v>G</v>
      </c>
      <c r="AM218" s="3">
        <v>225</v>
      </c>
      <c r="AN218" s="3" t="str">
        <f>IFERROR(MID(VLOOKUP($B218,Seqs!$A:$B,2,0),AO218,1),"")</f>
        <v>R</v>
      </c>
      <c r="AO218" s="3">
        <v>238</v>
      </c>
      <c r="AP218" s="3" t="str">
        <f>IFERROR(MID(VLOOKUP($B218,Seqs!$A:$B,2,0),AQ218,1),"")</f>
        <v>T</v>
      </c>
      <c r="AQ218" s="3">
        <v>271</v>
      </c>
      <c r="AR218" s="3" t="str">
        <f>IFERROR(MID(VLOOKUP($B218,Seqs!$A:$B,2,0),AS218,1),"")</f>
        <v>S</v>
      </c>
      <c r="AS218" s="3">
        <v>274</v>
      </c>
      <c r="AT218" s="3" t="str">
        <f>IFERROR(MID(VLOOKUP($B218,Seqs!$A:$B,2,0),AU218,1),"")</f>
        <v>R</v>
      </c>
      <c r="AU218" s="3">
        <v>302</v>
      </c>
      <c r="AV218" s="3" t="str">
        <f>IFERROR(MID(VLOOKUP($B218,Seqs!$A:$B,2,0),AW218,1),"")</f>
        <v>S</v>
      </c>
      <c r="AW218" s="3">
        <v>303</v>
      </c>
      <c r="AX218" s="3" t="str">
        <f>IFERROR(MID(VLOOKUP($B218,Seqs!$A:$B,2,0),AY218,1),"")</f>
        <v>K</v>
      </c>
      <c r="AY218" s="3">
        <v>319</v>
      </c>
      <c r="AZ218" s="77" t="str">
        <f>VLOOKUP(B218,Classification!A:D,2,0)</f>
        <v>A</v>
      </c>
      <c r="BA218" s="94" t="str">
        <f>VLOOKUP(B218,Classification!A:D,4,0)</f>
        <v>Cannabinoid</v>
      </c>
      <c r="BB218" s="27" t="b">
        <f t="shared" ref="BB218" si="1904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 t="shared" ref="BC218" si="1905">_xlfn.AGGREGATE(9,6,CH218:CS218)-_xlfn.AGGREGATE(9,6,BV218:CG218)+12</f>
        <v>257</v>
      </c>
      <c r="BD218" s="2" t="s">
        <v>1371</v>
      </c>
      <c r="BE218" s="3" t="s">
        <v>1287</v>
      </c>
      <c r="BF218" s="118">
        <v>3.2</v>
      </c>
      <c r="BG218" s="49" t="s">
        <v>1418</v>
      </c>
      <c r="BH218" s="49" t="s">
        <v>1418</v>
      </c>
      <c r="BJ218" s="70" t="s">
        <v>1283</v>
      </c>
      <c r="BK218" s="57" t="s">
        <v>1283</v>
      </c>
      <c r="BL218" s="57" t="s">
        <v>1283</v>
      </c>
      <c r="BM218" s="57" t="s">
        <v>1283</v>
      </c>
      <c r="BN218" s="57" t="s">
        <v>1283</v>
      </c>
      <c r="BO218" s="57" t="s">
        <v>1283</v>
      </c>
      <c r="BP218" s="57" t="s">
        <v>1283</v>
      </c>
      <c r="BQ218" s="57" t="s">
        <v>1283</v>
      </c>
      <c r="BR218" s="57" t="s">
        <v>1283</v>
      </c>
      <c r="BS218" s="57" t="s">
        <v>1283</v>
      </c>
      <c r="BT218" s="57" t="s">
        <v>1283</v>
      </c>
      <c r="BU218" s="57" t="s">
        <v>1283</v>
      </c>
      <c r="BV218" s="70">
        <f t="shared" ref="BV218" si="1906">E218</f>
        <v>29</v>
      </c>
      <c r="BW218" s="71">
        <f t="shared" ref="BW218" si="1907">I218</f>
        <v>62</v>
      </c>
      <c r="BX218" s="72">
        <f t="shared" ref="BX218" si="1908">M218</f>
        <v>67</v>
      </c>
      <c r="BY218" s="71" t="str">
        <f t="shared" ref="BY218" si="1909">Q218</f>
        <v>-</v>
      </c>
      <c r="BZ218" s="72">
        <f t="shared" ref="BZ218" si="1910">U218</f>
        <v>102</v>
      </c>
      <c r="CA218" s="71">
        <f t="shared" ref="CA218" si="1911">Y218</f>
        <v>138</v>
      </c>
      <c r="CB218" s="72">
        <f t="shared" ref="CB218" si="1912">AC218</f>
        <v>146</v>
      </c>
      <c r="CC218" s="71" t="str">
        <f t="shared" ref="CC218" si="1913">AG218</f>
        <v>-</v>
      </c>
      <c r="CD218" s="72">
        <f t="shared" ref="CD218" si="1914">AK218</f>
        <v>187</v>
      </c>
      <c r="CE218" s="71">
        <f t="shared" ref="CE218" si="1915">AO218</f>
        <v>238</v>
      </c>
      <c r="CF218" s="72">
        <f t="shared" ref="CF218" si="1916">AS218</f>
        <v>274</v>
      </c>
      <c r="CG218" s="71">
        <f t="shared" ref="CG218" si="1917">AW218</f>
        <v>303</v>
      </c>
      <c r="CH218" s="70">
        <f t="shared" ref="CH218" si="1918">G218</f>
        <v>60</v>
      </c>
      <c r="CI218" s="71">
        <f t="shared" ref="CI218" si="1919">K218</f>
        <v>65</v>
      </c>
      <c r="CJ218" s="72">
        <f t="shared" ref="CJ218" si="1920">O218</f>
        <v>96</v>
      </c>
      <c r="CK218" s="72" t="str">
        <f t="shared" ref="CK218" si="1921">S218</f>
        <v>-</v>
      </c>
      <c r="CL218" s="72">
        <f t="shared" ref="CL218" si="1922">W218</f>
        <v>137</v>
      </c>
      <c r="CM218" s="72">
        <f t="shared" ref="CM218" si="1923">AA218</f>
        <v>145</v>
      </c>
      <c r="CN218" s="72">
        <f t="shared" ref="CN218" si="1924">AE218</f>
        <v>171</v>
      </c>
      <c r="CO218" s="72" t="str">
        <f t="shared" ref="CO218" si="1925">AI218</f>
        <v>-</v>
      </c>
      <c r="CP218" s="72">
        <f t="shared" ref="CP218" si="1926">AM218</f>
        <v>225</v>
      </c>
      <c r="CQ218" s="72">
        <f t="shared" ref="CQ218" si="1927">AQ218</f>
        <v>271</v>
      </c>
      <c r="CR218" s="72">
        <f t="shared" ref="CR218" si="1928">AU218</f>
        <v>302</v>
      </c>
      <c r="CS218" s="72">
        <f t="shared" ref="CS218" si="1929">AY218</f>
        <v>319</v>
      </c>
      <c r="CT218" s="23">
        <f t="shared" ref="CT218" si="1930">M218-K218</f>
        <v>2</v>
      </c>
    </row>
    <row r="219" spans="1:1029" x14ac:dyDescent="0.2">
      <c r="A219" s="3" t="str">
        <f t="shared" si="1231"/>
        <v>cxcr4_human__wt</v>
      </c>
      <c r="B219" s="3" t="s">
        <v>1167</v>
      </c>
      <c r="C219" s="3" t="s">
        <v>100</v>
      </c>
      <c r="D219" s="3" t="str">
        <f>IFERROR(MID(VLOOKUP($B219,Seqs!$A:$B,2,0),E219,1),"")</f>
        <v>R</v>
      </c>
      <c r="E219" s="3">
        <v>30</v>
      </c>
      <c r="F219" s="3" t="str">
        <f>IFERROR(MID(VLOOKUP($B219,Seqs!$A:$B,2,0),G219,1),"")</f>
        <v>Q</v>
      </c>
      <c r="G219" s="3">
        <v>66</v>
      </c>
      <c r="H219" s="3" t="str">
        <f>IFERROR(MID(VLOOKUP($B219,Seqs!$A:$B,2,0),I219,1),"")</f>
        <v>K</v>
      </c>
      <c r="I219" s="23">
        <v>67</v>
      </c>
      <c r="J219" s="3" t="str">
        <f>IFERROR(MID(VLOOKUP($B219,Seqs!$A:$B,2,0),K219,1),"")</f>
        <v>R</v>
      </c>
      <c r="K219" s="23">
        <v>70</v>
      </c>
      <c r="L219" s="3" t="str">
        <f>IFERROR(MID(VLOOKUP($B219,Seqs!$A:$B,2,0),M219,1),"")</f>
        <v>S</v>
      </c>
      <c r="M219" s="3">
        <v>71</v>
      </c>
      <c r="N219" s="3" t="str">
        <f>IFERROR(MID(VLOOKUP($B219,Seqs!$A:$B,2,0),O219,1),"")</f>
        <v>A</v>
      </c>
      <c r="O219" s="3">
        <v>100</v>
      </c>
      <c r="P219" s="3" t="str">
        <f>IFERROR(MID(VLOOKUP($B219,Seqs!$A:$B,2,0),Q219,1),"")</f>
        <v>N</v>
      </c>
      <c r="Q219" s="3">
        <v>101</v>
      </c>
      <c r="R219" s="3" t="str">
        <f>IFERROR(MID(VLOOKUP($B219,Seqs!$A:$B,2,0),S219,1),"")</f>
        <v>F</v>
      </c>
      <c r="S219" s="3">
        <v>104</v>
      </c>
      <c r="T219" s="3" t="str">
        <f>IFERROR(MID(VLOOKUP($B219,Seqs!$A:$B,2,0),U219,1),"")</f>
        <v>G</v>
      </c>
      <c r="U219" s="3">
        <v>105</v>
      </c>
      <c r="V219" s="3" t="str">
        <f>IFERROR(MID(VLOOKUP($B219,Seqs!$A:$B,2,0),W219,1),"")</f>
        <v>H</v>
      </c>
      <c r="W219" s="3">
        <v>140</v>
      </c>
      <c r="X219" s="3" t="str">
        <f>IFERROR(MID(VLOOKUP($B219,Seqs!$A:$B,2,0),Y219,1),"")</f>
        <v>A</v>
      </c>
      <c r="Y219" s="3">
        <v>141</v>
      </c>
      <c r="Z219" s="3" t="str">
        <f>IFERROR(MID(VLOOKUP($B219,Seqs!$A:$B,2,0),AA219,1),"")</f>
        <v>R</v>
      </c>
      <c r="AA219" s="3">
        <v>148</v>
      </c>
      <c r="AB219" s="3" t="str">
        <f>IFERROR(MID(VLOOKUP($B219,Seqs!$A:$B,2,0),AC219,1),"")</f>
        <v>K</v>
      </c>
      <c r="AC219" s="3">
        <v>149</v>
      </c>
      <c r="AD219" s="3" t="str">
        <f>IFERROR(MID(VLOOKUP($B219,Seqs!$A:$B,2,0),AE219,1),"")</f>
        <v>A</v>
      </c>
      <c r="AE219" s="3">
        <v>175</v>
      </c>
      <c r="AF219" s="3" t="str">
        <f>IFERROR(MID(VLOOKUP($B219,Seqs!$A:$B,2,0),AG219,1),"")</f>
        <v>C</v>
      </c>
      <c r="AG219" s="3">
        <v>186</v>
      </c>
      <c r="AH219" s="3" t="str">
        <f>IFERROR(MID(VLOOKUP($B219,Seqs!$A:$B,2,0),AI219,1),"")</f>
        <v>R</v>
      </c>
      <c r="AI219" s="3">
        <v>188</v>
      </c>
      <c r="AJ219" s="3" t="str">
        <f>IFERROR(MID(VLOOKUP($B219,Seqs!$A:$B,2,0),AK219,1),"")</f>
        <v>D</v>
      </c>
      <c r="AK219" s="3">
        <v>193</v>
      </c>
      <c r="AL219" s="3" t="str">
        <f>IFERROR(MID(VLOOKUP($B219,Seqs!$A:$B,2,0),AM219,1),"")</f>
        <v>S</v>
      </c>
      <c r="AM219" s="3">
        <v>229</v>
      </c>
      <c r="AN219" s="3" t="str">
        <f>IFERROR(MID(VLOOKUP($B219,Seqs!$A:$B,2,0),AO219,1),"")</f>
        <v>K</v>
      </c>
      <c r="AO219" s="3">
        <v>234</v>
      </c>
      <c r="AP219" s="3" t="str">
        <f>IFERROR(MID(VLOOKUP($B219,Seqs!$A:$B,2,0),AQ219,1),"")</f>
        <v>E</v>
      </c>
      <c r="AQ219" s="3">
        <v>268</v>
      </c>
      <c r="AR219" s="3" t="str">
        <f>IFERROR(MID(VLOOKUP($B219,Seqs!$A:$B,2,0),AS219,1),"")</f>
        <v>G</v>
      </c>
      <c r="AS219" s="3">
        <v>273</v>
      </c>
      <c r="AT219" s="3" t="str">
        <f>IFERROR(MID(VLOOKUP($B219,Seqs!$A:$B,2,0),AU219,1),"")</f>
        <v>L</v>
      </c>
      <c r="AU219" s="3">
        <v>305</v>
      </c>
      <c r="AV219" s="3" t="str">
        <f>IFERROR(MID(VLOOKUP($B219,Seqs!$A:$B,2,0),AW219,1),"")</f>
        <v>G</v>
      </c>
      <c r="AW219" s="3">
        <v>306</v>
      </c>
      <c r="AX219" s="3" t="str">
        <f>IFERROR(MID(VLOOKUP($B219,Seqs!$A:$B,2,0),AY219,1),"")</f>
        <v>T</v>
      </c>
      <c r="AY219" s="3">
        <v>318</v>
      </c>
      <c r="AZ219" s="77" t="str">
        <f>VLOOKUP(B219,Classification!A:D,2,0)</f>
        <v>A</v>
      </c>
      <c r="BA219" s="94" t="str">
        <f>VLOOKUP(B219,Classification!A:D,4,0)</f>
        <v>Chemokine</v>
      </c>
      <c r="BB219" s="27" t="b">
        <f t="shared" si="1232"/>
        <v>1</v>
      </c>
      <c r="BC219" s="23">
        <f t="shared" ref="BC219:BC228" si="1931">_xlfn.AGGREGATE(9,6,CH219:CS219)-_xlfn.AGGREGATE(9,6,BV219:CG219)+12</f>
        <v>267</v>
      </c>
      <c r="BD219" s="34" t="s">
        <v>23</v>
      </c>
      <c r="BE219" s="3" t="s">
        <v>23</v>
      </c>
      <c r="BF219" s="118" t="s">
        <v>23</v>
      </c>
      <c r="BG219" s="49" t="s">
        <v>1368</v>
      </c>
      <c r="BH219" s="49" t="s">
        <v>1373</v>
      </c>
      <c r="BI219" s="1"/>
      <c r="BJ219" s="70" t="s">
        <v>1283</v>
      </c>
      <c r="BK219" s="57" t="s">
        <v>1283</v>
      </c>
      <c r="BL219" s="57" t="s">
        <v>1283</v>
      </c>
      <c r="BM219" s="57" t="s">
        <v>1283</v>
      </c>
      <c r="BN219" s="57" t="s">
        <v>1283</v>
      </c>
      <c r="BO219" s="57" t="s">
        <v>1283</v>
      </c>
      <c r="BP219" s="57" t="s">
        <v>1283</v>
      </c>
      <c r="BQ219" s="57" t="s">
        <v>1283</v>
      </c>
      <c r="BR219" s="57" t="s">
        <v>1283</v>
      </c>
      <c r="BS219" s="57" t="s">
        <v>1283</v>
      </c>
      <c r="BT219" s="57" t="s">
        <v>1283</v>
      </c>
      <c r="BU219" s="57" t="s">
        <v>1283</v>
      </c>
      <c r="BV219" s="70">
        <f t="shared" ref="BV219:BV228" si="1932">E219</f>
        <v>30</v>
      </c>
      <c r="BW219" s="71">
        <f t="shared" ref="BW219:BW228" si="1933">I219</f>
        <v>67</v>
      </c>
      <c r="BX219" s="72">
        <f t="shared" ref="BX219:BX228" si="1934">M219</f>
        <v>71</v>
      </c>
      <c r="BY219" s="71">
        <f t="shared" ref="BY219:BY228" si="1935">Q219</f>
        <v>101</v>
      </c>
      <c r="BZ219" s="72">
        <f t="shared" ref="BZ219:BZ228" si="1936">U219</f>
        <v>105</v>
      </c>
      <c r="CA219" s="71">
        <f t="shared" ref="CA219:CA228" si="1937">Y219</f>
        <v>141</v>
      </c>
      <c r="CB219" s="72">
        <f t="shared" ref="CB219:CB228" si="1938">AC219</f>
        <v>149</v>
      </c>
      <c r="CC219" s="71">
        <f t="shared" ref="CC219:CC228" si="1939">AG219</f>
        <v>186</v>
      </c>
      <c r="CD219" s="72">
        <f t="shared" ref="CD219:CD228" si="1940">AK219</f>
        <v>193</v>
      </c>
      <c r="CE219" s="71">
        <f t="shared" ref="CE219:CE228" si="1941">AO219</f>
        <v>234</v>
      </c>
      <c r="CF219" s="72">
        <f t="shared" ref="CF219:CF228" si="1942">AS219</f>
        <v>273</v>
      </c>
      <c r="CG219" s="71">
        <f t="shared" ref="CG219:CG228" si="1943">AW219</f>
        <v>306</v>
      </c>
      <c r="CH219" s="70">
        <f t="shared" ref="CH219:CH228" si="1944">G219</f>
        <v>66</v>
      </c>
      <c r="CI219" s="71">
        <f t="shared" ref="CI219:CI228" si="1945">K219</f>
        <v>70</v>
      </c>
      <c r="CJ219" s="72">
        <f t="shared" ref="CJ219:CJ228" si="1946">O219</f>
        <v>100</v>
      </c>
      <c r="CK219" s="72">
        <f t="shared" ref="CK219:CK228" si="1947">S219</f>
        <v>104</v>
      </c>
      <c r="CL219" s="72">
        <f t="shared" ref="CL219:CL228" si="1948">W219</f>
        <v>140</v>
      </c>
      <c r="CM219" s="72">
        <f t="shared" ref="CM219:CM228" si="1949">AA219</f>
        <v>148</v>
      </c>
      <c r="CN219" s="72">
        <f t="shared" ref="CN219:CN228" si="1950">AE219</f>
        <v>175</v>
      </c>
      <c r="CO219" s="72">
        <f t="shared" ref="CO219:CO228" si="1951">AI219</f>
        <v>188</v>
      </c>
      <c r="CP219" s="72">
        <f t="shared" ref="CP219:CP228" si="1952">AM219</f>
        <v>229</v>
      </c>
      <c r="CQ219" s="72">
        <f t="shared" ref="CQ219:CQ228" si="1953">AQ219</f>
        <v>268</v>
      </c>
      <c r="CR219" s="72">
        <f t="shared" ref="CR219:CR228" si="1954">AU219</f>
        <v>305</v>
      </c>
      <c r="CS219" s="72">
        <f t="shared" ref="CS219:CS228" si="1955">AY219</f>
        <v>318</v>
      </c>
      <c r="CT219" s="23">
        <f t="shared" ref="CT219:CT228" si="1956">M219-K219</f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 t="shared" si="1231"/>
        <v>cxcr4_human_3ODU</v>
      </c>
      <c r="B220" s="3" t="s">
        <v>1167</v>
      </c>
      <c r="C220" s="3" t="s">
        <v>63</v>
      </c>
      <c r="D220" s="3" t="str">
        <f>IFERROR(MID(VLOOKUP($B220,Seqs!$A:$B,2,0),E220,1),"")</f>
        <v>A</v>
      </c>
      <c r="E220" s="3">
        <v>34</v>
      </c>
      <c r="F220" s="3" t="str">
        <f>IFERROR(MID(VLOOKUP($B220,Seqs!$A:$B,2,0),G220,1),"")</f>
        <v>Q</v>
      </c>
      <c r="G220" s="3">
        <v>66</v>
      </c>
      <c r="H220" s="3" t="str">
        <f>IFERROR(MID(VLOOKUP($B220,Seqs!$A:$B,2,0),I220,1),"")</f>
        <v/>
      </c>
      <c r="I220" s="23" t="s">
        <v>23</v>
      </c>
      <c r="J220" s="3" t="str">
        <f>IFERROR(MID(VLOOKUP($B220,Seqs!$A:$B,2,0),K220,1),"")</f>
        <v/>
      </c>
      <c r="K220" s="23" t="s">
        <v>23</v>
      </c>
      <c r="L220" s="3" t="str">
        <f>IFERROR(MID(VLOOKUP($B220,Seqs!$A:$B,2,0),M220,1),"")</f>
        <v>S</v>
      </c>
      <c r="M220" s="3">
        <v>71</v>
      </c>
      <c r="N220" s="3" t="str">
        <f>IFERROR(MID(VLOOKUP($B220,Seqs!$A:$B,2,0),O220,1),"")</f>
        <v>A</v>
      </c>
      <c r="O220" s="3">
        <v>100</v>
      </c>
      <c r="P220" s="3" t="str">
        <f>IFERROR(MID(VLOOKUP($B220,Seqs!$A:$B,2,0),Q220,1),"")</f>
        <v>N</v>
      </c>
      <c r="Q220" s="3">
        <v>101</v>
      </c>
      <c r="R220" s="3" t="str">
        <f>IFERROR(MID(VLOOKUP($B220,Seqs!$A:$B,2,0),S220,1),"")</f>
        <v>F</v>
      </c>
      <c r="S220" s="3">
        <v>104</v>
      </c>
      <c r="T220" s="3" t="str">
        <f>IFERROR(MID(VLOOKUP($B220,Seqs!$A:$B,2,0),U220,1),"")</f>
        <v>G</v>
      </c>
      <c r="U220" s="3">
        <v>105</v>
      </c>
      <c r="V220" s="3" t="str">
        <f>IFERROR(MID(VLOOKUP($B220,Seqs!$A:$B,2,0),W220,1),"")</f>
        <v>H</v>
      </c>
      <c r="W220" s="3">
        <v>140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S</v>
      </c>
      <c r="AC220" s="3">
        <v>144</v>
      </c>
      <c r="AD220" s="3" t="str">
        <f>IFERROR(MID(VLOOKUP($B220,Seqs!$A:$B,2,0),AE220,1),"")</f>
        <v>A</v>
      </c>
      <c r="AE220" s="3">
        <v>175</v>
      </c>
      <c r="AF220" s="3" t="str">
        <f>IFERROR(MID(VLOOKUP($B220,Seqs!$A:$B,2,0),AG220,1),"")</f>
        <v>C</v>
      </c>
      <c r="AG220" s="3">
        <v>186</v>
      </c>
      <c r="AH220" s="3" t="str">
        <f>IFERROR(MID(VLOOKUP($B220,Seqs!$A:$B,2,0),AI220,1),"")</f>
        <v>R</v>
      </c>
      <c r="AI220" s="3">
        <v>188</v>
      </c>
      <c r="AJ220" s="3" t="str">
        <f>IFERROR(MID(VLOOKUP($B220,Seqs!$A:$B,2,0),AK220,1),"")</f>
        <v>D</v>
      </c>
      <c r="AK220" s="3">
        <v>193</v>
      </c>
      <c r="AL220" s="3" t="str">
        <f>IFERROR(MID(VLOOKUP($B220,Seqs!$A:$B,2,0),AM220,1),"")</f>
        <v>K</v>
      </c>
      <c r="AM220" s="3">
        <v>225</v>
      </c>
      <c r="AN220" s="3" t="str">
        <f>IFERROR(MID(VLOOKUP($B220,Seqs!$A:$B,2,0),AO220,1),"")</f>
        <v>G</v>
      </c>
      <c r="AO220" s="3">
        <v>231</v>
      </c>
      <c r="AP220" s="3" t="str">
        <f>IFERROR(MID(VLOOKUP($B220,Seqs!$A:$B,2,0),AQ220,1),"")</f>
        <v>E</v>
      </c>
      <c r="AQ220" s="3">
        <v>268</v>
      </c>
      <c r="AR220" s="3" t="str">
        <f>IFERROR(MID(VLOOKUP($B220,Seqs!$A:$B,2,0),AS220,1),"")</f>
        <v>G</v>
      </c>
      <c r="AS220" s="3">
        <v>273</v>
      </c>
      <c r="AT220" s="3" t="str">
        <f>IFERROR(MID(VLOOKUP($B220,Seqs!$A:$B,2,0),AU220,1),"")</f>
        <v>I</v>
      </c>
      <c r="AU220" s="3">
        <v>300</v>
      </c>
      <c r="AV220" s="3" t="str">
        <f>IFERROR(MID(VLOOKUP($B220,Seqs!$A:$B,2,0),AW220,1),"")</f>
        <v/>
      </c>
      <c r="AW220" s="3" t="s">
        <v>23</v>
      </c>
      <c r="AX220" s="3" t="str">
        <f>IFERROR(MID(VLOOKUP($B220,Seqs!$A:$B,2,0),AY220,1),"")</f>
        <v/>
      </c>
      <c r="AY220" s="3" t="s">
        <v>23</v>
      </c>
      <c r="AZ220" s="77" t="str">
        <f>VLOOKUP(B220,Classification!A:D,2,0)</f>
        <v>A</v>
      </c>
      <c r="BA220" s="94" t="str">
        <f>VLOOKUP(B220,Classification!A:D,4,0)</f>
        <v>Chemokine</v>
      </c>
      <c r="BB220" s="27" t="b">
        <f t="shared" si="1232"/>
        <v>1</v>
      </c>
      <c r="BC220" s="23">
        <f t="shared" si="1931"/>
        <v>240</v>
      </c>
      <c r="BD220" s="2" t="s">
        <v>1372</v>
      </c>
      <c r="BE220" s="3" t="s">
        <v>1370</v>
      </c>
      <c r="BF220" s="118">
        <v>2.5</v>
      </c>
      <c r="BG220" s="49" t="s">
        <v>1373</v>
      </c>
      <c r="BH220" s="49" t="s">
        <v>1373</v>
      </c>
      <c r="BI220" s="1"/>
      <c r="BJ220" s="70" t="s">
        <v>1283</v>
      </c>
      <c r="BK220" s="57" t="s">
        <v>1283</v>
      </c>
      <c r="BL220" s="57" t="s">
        <v>1283</v>
      </c>
      <c r="BM220" s="57" t="s">
        <v>1283</v>
      </c>
      <c r="BN220" s="57" t="s">
        <v>1283</v>
      </c>
      <c r="BO220" s="57" t="s">
        <v>1283</v>
      </c>
      <c r="BP220" s="57" t="s">
        <v>1283</v>
      </c>
      <c r="BQ220" s="57" t="s">
        <v>1283</v>
      </c>
      <c r="BR220" s="57" t="s">
        <v>1283</v>
      </c>
      <c r="BS220" s="57" t="s">
        <v>1283</v>
      </c>
      <c r="BT220" s="57" t="s">
        <v>1283</v>
      </c>
      <c r="BU220" s="57" t="s">
        <v>1283</v>
      </c>
      <c r="BV220" s="70">
        <f t="shared" si="1932"/>
        <v>34</v>
      </c>
      <c r="BW220" s="71" t="str">
        <f t="shared" si="1933"/>
        <v>-</v>
      </c>
      <c r="BX220" s="72">
        <f t="shared" si="1934"/>
        <v>71</v>
      </c>
      <c r="BY220" s="71">
        <f t="shared" si="1935"/>
        <v>101</v>
      </c>
      <c r="BZ220" s="72">
        <f t="shared" si="1936"/>
        <v>105</v>
      </c>
      <c r="CA220" s="71" t="str">
        <f t="shared" si="1937"/>
        <v>-</v>
      </c>
      <c r="CB220" s="72">
        <f t="shared" si="1938"/>
        <v>144</v>
      </c>
      <c r="CC220" s="71">
        <f t="shared" si="1939"/>
        <v>186</v>
      </c>
      <c r="CD220" s="72">
        <f t="shared" si="1940"/>
        <v>193</v>
      </c>
      <c r="CE220" s="71">
        <f t="shared" si="1941"/>
        <v>231</v>
      </c>
      <c r="CF220" s="72">
        <f t="shared" si="1942"/>
        <v>273</v>
      </c>
      <c r="CG220" s="71" t="str">
        <f t="shared" si="1943"/>
        <v>-</v>
      </c>
      <c r="CH220" s="70">
        <f t="shared" si="1944"/>
        <v>66</v>
      </c>
      <c r="CI220" s="71" t="str">
        <f t="shared" si="1945"/>
        <v>-</v>
      </c>
      <c r="CJ220" s="72">
        <f t="shared" si="1946"/>
        <v>100</v>
      </c>
      <c r="CK220" s="72">
        <f t="shared" si="1947"/>
        <v>104</v>
      </c>
      <c r="CL220" s="72">
        <f t="shared" si="1948"/>
        <v>140</v>
      </c>
      <c r="CM220" s="72" t="str">
        <f t="shared" si="1949"/>
        <v>-</v>
      </c>
      <c r="CN220" s="72">
        <f t="shared" si="1950"/>
        <v>175</v>
      </c>
      <c r="CO220" s="72">
        <f t="shared" si="1951"/>
        <v>188</v>
      </c>
      <c r="CP220" s="72">
        <f t="shared" si="1952"/>
        <v>225</v>
      </c>
      <c r="CQ220" s="72">
        <f t="shared" si="1953"/>
        <v>268</v>
      </c>
      <c r="CR220" s="72">
        <f t="shared" si="1954"/>
        <v>300</v>
      </c>
      <c r="CS220" s="72" t="str">
        <f t="shared" si="1955"/>
        <v>-</v>
      </c>
      <c r="CT220" s="23" t="e">
        <f t="shared" si="1956"/>
        <v>#VALUE!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si="1231"/>
        <v>cxcr4_human_3OE0</v>
      </c>
      <c r="B221" s="3" t="s">
        <v>1167</v>
      </c>
      <c r="C221" s="3" t="s">
        <v>1027</v>
      </c>
      <c r="D221" s="3" t="str">
        <f>IFERROR(MID(VLOOKUP($B221,Seqs!$A:$B,2,0),E221,1),"")</f>
        <v>A</v>
      </c>
      <c r="E221" s="3">
        <v>34</v>
      </c>
      <c r="F221" s="3" t="str">
        <f>IFERROR(MID(VLOOKUP($B221,Seqs!$A:$B,2,0),G221,1),"")</f>
        <v>Q</v>
      </c>
      <c r="G221" s="3">
        <v>66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S</v>
      </c>
      <c r="M221" s="3">
        <v>71</v>
      </c>
      <c r="N221" s="3" t="str">
        <f>IFERROR(MID(VLOOKUP($B221,Seqs!$A:$B,2,0),O221,1),"")</f>
        <v>A</v>
      </c>
      <c r="O221" s="3">
        <v>100</v>
      </c>
      <c r="P221" s="3" t="str">
        <f>IFERROR(MID(VLOOKUP($B221,Seqs!$A:$B,2,0),Q221,1),"")</f>
        <v>N</v>
      </c>
      <c r="Q221" s="3">
        <v>101</v>
      </c>
      <c r="R221" s="3" t="str">
        <f>IFERROR(MID(VLOOKUP($B221,Seqs!$A:$B,2,0),S221,1),"")</f>
        <v>F</v>
      </c>
      <c r="S221" s="3">
        <v>104</v>
      </c>
      <c r="T221" s="3" t="str">
        <f>IFERROR(MID(VLOOKUP($B221,Seqs!$A:$B,2,0),U221,1),"")</f>
        <v>G</v>
      </c>
      <c r="U221" s="3">
        <v>105</v>
      </c>
      <c r="V221" s="3" t="str">
        <f>IFERROR(MID(VLOOKUP($B221,Seqs!$A:$B,2,0),W221,1),"")</f>
        <v>H</v>
      </c>
      <c r="W221" s="3">
        <v>140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S</v>
      </c>
      <c r="AC221" s="3">
        <v>144</v>
      </c>
      <c r="AD221" s="3" t="str">
        <f>IFERROR(MID(VLOOKUP($B221,Seqs!$A:$B,2,0),AE221,1),"")</f>
        <v>A</v>
      </c>
      <c r="AE221" s="3">
        <v>175</v>
      </c>
      <c r="AF221" s="3" t="str">
        <f>IFERROR(MID(VLOOKUP($B221,Seqs!$A:$B,2,0),AG221,1),"")</f>
        <v>C</v>
      </c>
      <c r="AG221" s="3">
        <v>186</v>
      </c>
      <c r="AH221" s="3" t="str">
        <f>IFERROR(MID(VLOOKUP($B221,Seqs!$A:$B,2,0),AI221,1),"")</f>
        <v>R</v>
      </c>
      <c r="AI221" s="3">
        <v>188</v>
      </c>
      <c r="AJ221" s="3" t="str">
        <f>IFERROR(MID(VLOOKUP($B221,Seqs!$A:$B,2,0),AK221,1),"")</f>
        <v>D</v>
      </c>
      <c r="AK221" s="3">
        <v>193</v>
      </c>
      <c r="AL221" s="3" t="str">
        <f>IFERROR(MID(VLOOKUP($B221,Seqs!$A:$B,2,0),AM221,1),"")</f>
        <v>H</v>
      </c>
      <c r="AM221" s="3">
        <v>228</v>
      </c>
      <c r="AN221" s="3" t="str">
        <f>IFERROR(MID(VLOOKUP($B221,Seqs!$A:$B,2,0),AO221,1),"")</f>
        <v>K</v>
      </c>
      <c r="AO221" s="3">
        <v>239</v>
      </c>
      <c r="AP221" s="3" t="str">
        <f>IFERROR(MID(VLOOKUP($B221,Seqs!$A:$B,2,0),AQ221,1),"")</f>
        <v>E</v>
      </c>
      <c r="AQ221" s="3">
        <v>268</v>
      </c>
      <c r="AR221" s="3" t="str">
        <f>IFERROR(MID(VLOOKUP($B221,Seqs!$A:$B,2,0),AS221,1),"")</f>
        <v>G</v>
      </c>
      <c r="AS221" s="3">
        <v>273</v>
      </c>
      <c r="AT221" s="3" t="str">
        <f>IFERROR(MID(VLOOKUP($B221,Seqs!$A:$B,2,0),AU221,1),"")</f>
        <v>I</v>
      </c>
      <c r="AU221" s="3">
        <v>300</v>
      </c>
      <c r="AV221" s="3" t="str">
        <f>IFERROR(MID(VLOOKUP($B221,Seqs!$A:$B,2,0),AW221,1),"")</f>
        <v/>
      </c>
      <c r="AW221" s="3" t="s">
        <v>23</v>
      </c>
      <c r="AX221" s="3" t="str">
        <f>IFERROR(MID(VLOOKUP($B221,Seqs!$A:$B,2,0),AY221,1),"")</f>
        <v/>
      </c>
      <c r="AY221" s="3" t="s">
        <v>23</v>
      </c>
      <c r="AZ221" s="77" t="str">
        <f>VLOOKUP(B221,Classification!A:D,2,0)</f>
        <v>A</v>
      </c>
      <c r="BA221" s="94" t="str">
        <f>VLOOKUP(B221,Classification!A:D,4,0)</f>
        <v>Chemokine</v>
      </c>
      <c r="BB221" s="27" t="b">
        <f t="shared" si="1232"/>
        <v>1</v>
      </c>
      <c r="BC221" s="23">
        <f t="shared" si="1931"/>
        <v>235</v>
      </c>
      <c r="BD221" s="4" t="s">
        <v>23</v>
      </c>
      <c r="BE221" s="3" t="s">
        <v>1370</v>
      </c>
      <c r="BF221" s="118">
        <v>2.9</v>
      </c>
      <c r="BG221" s="49" t="s">
        <v>1373</v>
      </c>
      <c r="BH221" s="49" t="s">
        <v>1373</v>
      </c>
      <c r="BI221" s="1"/>
      <c r="BJ221" s="70" t="s">
        <v>1283</v>
      </c>
      <c r="BK221" s="57" t="s">
        <v>1283</v>
      </c>
      <c r="BL221" s="57" t="s">
        <v>1283</v>
      </c>
      <c r="BM221" s="57" t="s">
        <v>1283</v>
      </c>
      <c r="BN221" s="57" t="s">
        <v>1283</v>
      </c>
      <c r="BO221" s="57" t="s">
        <v>1283</v>
      </c>
      <c r="BP221" s="57" t="s">
        <v>1283</v>
      </c>
      <c r="BQ221" s="57" t="s">
        <v>1283</v>
      </c>
      <c r="BR221" s="57" t="s">
        <v>1283</v>
      </c>
      <c r="BS221" s="57" t="s">
        <v>1283</v>
      </c>
      <c r="BT221" s="57" t="s">
        <v>1283</v>
      </c>
      <c r="BU221" s="57" t="s">
        <v>1283</v>
      </c>
      <c r="BV221" s="70">
        <f t="shared" si="1932"/>
        <v>34</v>
      </c>
      <c r="BW221" s="71" t="str">
        <f t="shared" si="1933"/>
        <v>-</v>
      </c>
      <c r="BX221" s="72">
        <f t="shared" si="1934"/>
        <v>71</v>
      </c>
      <c r="BY221" s="71">
        <f t="shared" si="1935"/>
        <v>101</v>
      </c>
      <c r="BZ221" s="72">
        <f t="shared" si="1936"/>
        <v>105</v>
      </c>
      <c r="CA221" s="71" t="str">
        <f t="shared" si="1937"/>
        <v>-</v>
      </c>
      <c r="CB221" s="72">
        <f t="shared" si="1938"/>
        <v>144</v>
      </c>
      <c r="CC221" s="71">
        <f t="shared" si="1939"/>
        <v>186</v>
      </c>
      <c r="CD221" s="72">
        <f t="shared" si="1940"/>
        <v>193</v>
      </c>
      <c r="CE221" s="71">
        <f t="shared" si="1941"/>
        <v>239</v>
      </c>
      <c r="CF221" s="72">
        <f t="shared" si="1942"/>
        <v>273</v>
      </c>
      <c r="CG221" s="71" t="str">
        <f t="shared" si="1943"/>
        <v>-</v>
      </c>
      <c r="CH221" s="70">
        <f t="shared" si="1944"/>
        <v>66</v>
      </c>
      <c r="CI221" s="71" t="str">
        <f t="shared" si="1945"/>
        <v>-</v>
      </c>
      <c r="CJ221" s="72">
        <f t="shared" si="1946"/>
        <v>100</v>
      </c>
      <c r="CK221" s="72">
        <f t="shared" si="1947"/>
        <v>104</v>
      </c>
      <c r="CL221" s="72">
        <f t="shared" si="1948"/>
        <v>140</v>
      </c>
      <c r="CM221" s="72" t="str">
        <f t="shared" si="1949"/>
        <v>-</v>
      </c>
      <c r="CN221" s="72">
        <f t="shared" si="1950"/>
        <v>175</v>
      </c>
      <c r="CO221" s="72">
        <f t="shared" si="1951"/>
        <v>188</v>
      </c>
      <c r="CP221" s="72">
        <f t="shared" si="1952"/>
        <v>228</v>
      </c>
      <c r="CQ221" s="72">
        <f t="shared" si="1953"/>
        <v>268</v>
      </c>
      <c r="CR221" s="72">
        <f t="shared" si="1954"/>
        <v>300</v>
      </c>
      <c r="CS221" s="72" t="str">
        <f t="shared" si="1955"/>
        <v>-</v>
      </c>
      <c r="CT221" s="23" t="e">
        <f t="shared" si="1956"/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si="1231"/>
        <v>cxcr4_human_4RWS</v>
      </c>
      <c r="B222" s="3" t="s">
        <v>1167</v>
      </c>
      <c r="C222" s="3" t="s">
        <v>1048</v>
      </c>
      <c r="D222" s="3" t="str">
        <f>IFERROR(MID(VLOOKUP($B222,Seqs!$A:$B,2,0),E222,1),"")</f>
        <v>R</v>
      </c>
      <c r="E222" s="3">
        <v>30</v>
      </c>
      <c r="F222" s="3" t="str">
        <f>IFERROR(MID(VLOOKUP($B222,Seqs!$A:$B,2,0),G222,1),"")</f>
        <v>Q</v>
      </c>
      <c r="G222" s="3">
        <v>66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71</v>
      </c>
      <c r="N222" s="3" t="str">
        <f>IFERROR(MID(VLOOKUP($B222,Seqs!$A:$B,2,0),O222,1),"")</f>
        <v>A</v>
      </c>
      <c r="O222" s="3">
        <v>100</v>
      </c>
      <c r="P222" s="3" t="str">
        <f>IFERROR(MID(VLOOKUP($B222,Seqs!$A:$B,2,0),Q222,1),"")</f>
        <v>N</v>
      </c>
      <c r="Q222" s="3">
        <v>101</v>
      </c>
      <c r="R222" s="3" t="str">
        <f>IFERROR(MID(VLOOKUP($B222,Seqs!$A:$B,2,0),S222,1),"")</f>
        <v>F</v>
      </c>
      <c r="S222" s="3">
        <v>104</v>
      </c>
      <c r="T222" s="3" t="str">
        <f>IFERROR(MID(VLOOKUP($B222,Seqs!$A:$B,2,0),U222,1),"")</f>
        <v>G</v>
      </c>
      <c r="U222" s="3">
        <v>105</v>
      </c>
      <c r="V222" s="3" t="str">
        <f>IFERROR(MID(VLOOKUP($B222,Seqs!$A:$B,2,0),W222,1),"")</f>
        <v>H</v>
      </c>
      <c r="W222" s="3">
        <v>140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3">
        <v>144</v>
      </c>
      <c r="AD222" s="3" t="str">
        <f>IFERROR(MID(VLOOKUP($B222,Seqs!$A:$B,2,0),AE222,1),"")</f>
        <v>A</v>
      </c>
      <c r="AE222" s="3">
        <v>175</v>
      </c>
      <c r="AF222" s="3" t="str">
        <f>IFERROR(MID(VLOOKUP($B222,Seqs!$A:$B,2,0),AG222,1),"")</f>
        <v>C</v>
      </c>
      <c r="AG222" s="3">
        <v>186</v>
      </c>
      <c r="AH222" s="3" t="str">
        <f>IFERROR(MID(VLOOKUP($B222,Seqs!$A:$B,2,0),AI222,1),"")</f>
        <v>R</v>
      </c>
      <c r="AI222" s="3">
        <v>188</v>
      </c>
      <c r="AJ222" s="3" t="str">
        <f>IFERROR(MID(VLOOKUP($B222,Seqs!$A:$B,2,0),AK222,1),"")</f>
        <v>D</v>
      </c>
      <c r="AK222" s="3">
        <v>193</v>
      </c>
      <c r="AL222" s="3" t="str">
        <f>IFERROR(MID(VLOOKUP($B222,Seqs!$A:$B,2,0),AM222,1),"")</f>
        <v>S</v>
      </c>
      <c r="AM222" s="3">
        <v>227</v>
      </c>
      <c r="AN222" s="3" t="str">
        <f>IFERROR(MID(VLOOKUP($B222,Seqs!$A:$B,2,0),AO222,1),"")</f>
        <v>K</v>
      </c>
      <c r="AO222" s="3">
        <v>239</v>
      </c>
      <c r="AP222" s="3" t="str">
        <f>IFERROR(MID(VLOOKUP($B222,Seqs!$A:$B,2,0),AQ222,1),"")</f>
        <v>E</v>
      </c>
      <c r="AQ222" s="3">
        <v>268</v>
      </c>
      <c r="AR222" s="3" t="str">
        <f>IFERROR(MID(VLOOKUP($B222,Seqs!$A:$B,2,0),AS222,1),"")</f>
        <v>G</v>
      </c>
      <c r="AS222" s="3">
        <v>273</v>
      </c>
      <c r="AT222" s="3" t="str">
        <f>IFERROR(MID(VLOOKUP($B222,Seqs!$A:$B,2,0),AU222,1),"")</f>
        <v>I</v>
      </c>
      <c r="AU222" s="3">
        <v>300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7" t="str">
        <f>VLOOKUP(B222,Classification!A:D,2,0)</f>
        <v>A</v>
      </c>
      <c r="BA222" s="94" t="str">
        <f>VLOOKUP(B222,Classification!A:D,4,0)</f>
        <v>Chemokine</v>
      </c>
      <c r="BB222" s="27" t="b">
        <f t="shared" si="1232"/>
        <v>1</v>
      </c>
      <c r="BC222" s="23">
        <f t="shared" si="1931"/>
        <v>238</v>
      </c>
      <c r="BD222" s="5" t="s">
        <v>23</v>
      </c>
      <c r="BE222" s="3" t="s">
        <v>1370</v>
      </c>
      <c r="BF222" s="118">
        <v>3.1</v>
      </c>
      <c r="BG222" s="49" t="s">
        <v>1373</v>
      </c>
      <c r="BH222" s="49" t="s">
        <v>1373</v>
      </c>
      <c r="BI222" s="1"/>
      <c r="BJ222" s="70" t="s">
        <v>1283</v>
      </c>
      <c r="BK222" s="57" t="s">
        <v>1283</v>
      </c>
      <c r="BL222" s="57" t="s">
        <v>1283</v>
      </c>
      <c r="BM222" s="57" t="s">
        <v>1283</v>
      </c>
      <c r="BN222" s="57" t="s">
        <v>1283</v>
      </c>
      <c r="BO222" s="57" t="s">
        <v>1283</v>
      </c>
      <c r="BP222" s="57" t="s">
        <v>1283</v>
      </c>
      <c r="BQ222" s="57" t="s">
        <v>1283</v>
      </c>
      <c r="BR222" s="57" t="s">
        <v>1283</v>
      </c>
      <c r="BS222" s="57" t="s">
        <v>1283</v>
      </c>
      <c r="BT222" s="57" t="s">
        <v>1283</v>
      </c>
      <c r="BU222" s="57" t="s">
        <v>1283</v>
      </c>
      <c r="BV222" s="70">
        <f t="shared" si="1932"/>
        <v>30</v>
      </c>
      <c r="BW222" s="71" t="str">
        <f t="shared" si="1933"/>
        <v>-</v>
      </c>
      <c r="BX222" s="72">
        <f t="shared" si="1934"/>
        <v>71</v>
      </c>
      <c r="BY222" s="71">
        <f t="shared" si="1935"/>
        <v>101</v>
      </c>
      <c r="BZ222" s="72">
        <f t="shared" si="1936"/>
        <v>105</v>
      </c>
      <c r="CA222" s="71" t="str">
        <f t="shared" si="1937"/>
        <v>-</v>
      </c>
      <c r="CB222" s="72">
        <f t="shared" si="1938"/>
        <v>144</v>
      </c>
      <c r="CC222" s="71">
        <f t="shared" si="1939"/>
        <v>186</v>
      </c>
      <c r="CD222" s="72">
        <f t="shared" si="1940"/>
        <v>193</v>
      </c>
      <c r="CE222" s="71">
        <f t="shared" si="1941"/>
        <v>239</v>
      </c>
      <c r="CF222" s="72">
        <f t="shared" si="1942"/>
        <v>273</v>
      </c>
      <c r="CG222" s="71" t="str">
        <f t="shared" si="1943"/>
        <v>-</v>
      </c>
      <c r="CH222" s="70">
        <f t="shared" si="1944"/>
        <v>66</v>
      </c>
      <c r="CI222" s="71" t="str">
        <f t="shared" si="1945"/>
        <v>-</v>
      </c>
      <c r="CJ222" s="72">
        <f t="shared" si="1946"/>
        <v>100</v>
      </c>
      <c r="CK222" s="72">
        <f t="shared" si="1947"/>
        <v>104</v>
      </c>
      <c r="CL222" s="72">
        <f t="shared" si="1948"/>
        <v>140</v>
      </c>
      <c r="CM222" s="72" t="str">
        <f t="shared" si="1949"/>
        <v>-</v>
      </c>
      <c r="CN222" s="72">
        <f t="shared" si="1950"/>
        <v>175</v>
      </c>
      <c r="CO222" s="72">
        <f t="shared" si="1951"/>
        <v>188</v>
      </c>
      <c r="CP222" s="72">
        <f t="shared" si="1952"/>
        <v>227</v>
      </c>
      <c r="CQ222" s="72">
        <f t="shared" si="1953"/>
        <v>268</v>
      </c>
      <c r="CR222" s="72">
        <f t="shared" si="1954"/>
        <v>300</v>
      </c>
      <c r="CS222" s="72" t="str">
        <f t="shared" si="1955"/>
        <v>-</v>
      </c>
      <c r="CT222" s="23" t="e">
        <f t="shared" si="1956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>CONCATENATE(B223,"_",C223)</f>
        <v>drd2_human__wt</v>
      </c>
      <c r="B223" s="3" t="s">
        <v>191</v>
      </c>
      <c r="C223" s="3" t="s">
        <v>100</v>
      </c>
      <c r="D223" s="3" t="str">
        <f>IFERROR(MID(VLOOKUP($B223,Seqs!$A:$B,2,0),E223,1),"")</f>
        <v>R</v>
      </c>
      <c r="E223" s="3">
        <v>31</v>
      </c>
      <c r="F223" s="3" t="str">
        <f>IFERROR(MID(VLOOKUP($B223,Seqs!$A:$B,2,0),G223,1),"")</f>
        <v>E</v>
      </c>
      <c r="G223" s="3">
        <v>62</v>
      </c>
      <c r="H223" s="3" t="str">
        <f>IFERROR(MID(VLOOKUP($B223,Seqs!$A:$B,2,0),I223,1),"")</f>
        <v>K</v>
      </c>
      <c r="I223" s="23">
        <v>63</v>
      </c>
      <c r="J223" s="3" t="str">
        <f>IFERROR(MID(VLOOKUP($B223,Seqs!$A:$B,2,0),K223,1),"")</f>
        <v>Q</v>
      </c>
      <c r="K223" s="23">
        <v>66</v>
      </c>
      <c r="L223" s="3" t="str">
        <f>IFERROR(MID(VLOOKUP($B223,Seqs!$A:$B,2,0),M223,1),"")</f>
        <v>T</v>
      </c>
      <c r="M223" s="3">
        <v>67</v>
      </c>
      <c r="N223" s="3" t="str">
        <f>IFERROR(MID(VLOOKUP($B223,Seqs!$A:$B,2,0),O223,1),"")</f>
        <v>G</v>
      </c>
      <c r="O223" s="3">
        <v>98</v>
      </c>
      <c r="P223" s="3" t="str">
        <f>IFERROR(MID(VLOOKUP($B223,Seqs!$A:$B,2,0),Q223,1),"")</f>
        <v>E</v>
      </c>
      <c r="Q223" s="3">
        <v>99</v>
      </c>
      <c r="R223" s="3" t="str">
        <f>IFERROR(MID(VLOOKUP($B223,Seqs!$A:$B,2,0),S223,1),"")</f>
        <v>F</v>
      </c>
      <c r="S223" s="3">
        <v>102</v>
      </c>
      <c r="T223" s="3" t="str">
        <f>IFERROR(MID(VLOOKUP($B223,Seqs!$A:$B,2,0),U223,1),"")</f>
        <v>S</v>
      </c>
      <c r="U223" s="3">
        <v>103</v>
      </c>
      <c r="V223" s="3" t="str">
        <f>IFERROR(MID(VLOOKUP($B223,Seqs!$A:$B,2,0),W223,1),"")</f>
        <v>M</v>
      </c>
      <c r="W223" s="3">
        <v>138</v>
      </c>
      <c r="X223" s="3" t="str">
        <f>IFERROR(MID(VLOOKUP($B223,Seqs!$A:$B,2,0),Y223,1),"")</f>
        <v>P</v>
      </c>
      <c r="Y223" s="3">
        <v>139</v>
      </c>
      <c r="Z223" s="3" t="str">
        <f>IFERROR(MID(VLOOKUP($B223,Seqs!$A:$B,2,0),AA223,1),"")</f>
        <v>S</v>
      </c>
      <c r="AA223" s="3">
        <v>147</v>
      </c>
      <c r="AB223" s="3" t="str">
        <f>IFERROR(MID(VLOOKUP($B223,Seqs!$A:$B,2,0),AC223,1),"")</f>
        <v>S</v>
      </c>
      <c r="AC223" s="3">
        <v>148</v>
      </c>
      <c r="AD223" s="3" t="str">
        <f>IFERROR(MID(VLOOKUP($B223,Seqs!$A:$B,2,0),AE223,1),"")</f>
        <v>F</v>
      </c>
      <c r="AE223" s="3">
        <v>172</v>
      </c>
      <c r="AF223" s="3" t="str">
        <f>IFERROR(MID(VLOOKUP($B223,Seqs!$A:$B,2,0),AG223,1),"")</f>
        <v>C</v>
      </c>
      <c r="AG223" s="3">
        <v>182</v>
      </c>
      <c r="AH223" s="3" t="str">
        <f>IFERROR(MID(VLOOKUP($B223,Seqs!$A:$B,2,0),AI223,1),"")</f>
        <v>I</v>
      </c>
      <c r="AI223" s="3">
        <v>184</v>
      </c>
      <c r="AJ223" s="3" t="str">
        <f>IFERROR(MID(VLOOKUP($B223,Seqs!$A:$B,2,0),AK223,1),"")</f>
        <v>N</v>
      </c>
      <c r="AK223" s="3">
        <v>186</v>
      </c>
      <c r="AL223" s="3" t="str">
        <f>IFERROR(MID(VLOOKUP($B223,Seqs!$A:$B,2,0),AM223,1),"")</f>
        <v>K</v>
      </c>
      <c r="AM223" s="3">
        <v>226</v>
      </c>
      <c r="AN223" s="3" t="str">
        <f>IFERROR(MID(VLOOKUP($B223,Seqs!$A:$B,2,0),AO223,1),"")</f>
        <v>K</v>
      </c>
      <c r="AO223" s="3">
        <v>362</v>
      </c>
      <c r="AP223" s="3" t="str">
        <f>IFERROR(MID(VLOOKUP($B223,Seqs!$A:$B,2,0),AQ223,1),"")</f>
        <v>C</v>
      </c>
      <c r="AQ223" s="3">
        <v>399</v>
      </c>
      <c r="AR223" s="3" t="str">
        <f>IFERROR(MID(VLOOKUP($B223,Seqs!$A:$B,2,0),AS223,1),"")</f>
        <v>P</v>
      </c>
      <c r="AS223" s="3">
        <v>404</v>
      </c>
      <c r="AT223" s="3" t="str">
        <f>IFERROR(MID(VLOOKUP($B223,Seqs!$A:$B,2,0),AU223,1),"")</f>
        <v>F</v>
      </c>
      <c r="AU223" s="3">
        <v>429</v>
      </c>
      <c r="AV223" s="3" t="str">
        <f>IFERROR(MID(VLOOKUP($B223,Seqs!$A:$B,2,0),AW223,1),"")</f>
        <v>N</v>
      </c>
      <c r="AW223" s="3">
        <v>430</v>
      </c>
      <c r="AX223" s="3" t="str">
        <f>IFERROR(MID(VLOOKUP($B223,Seqs!$A:$B,2,0),AY223,1),"")</f>
        <v>H</v>
      </c>
      <c r="AY223" s="3">
        <v>442</v>
      </c>
      <c r="AZ223" s="77" t="str">
        <f>VLOOKUP(B223,Classification!A:D,2,0)</f>
        <v>A</v>
      </c>
      <c r="BA223" s="94" t="str">
        <f>VLOOKUP(B223,Classification!A:D,4,0)</f>
        <v>Dopamine</v>
      </c>
      <c r="BB223" s="27" t="b">
        <f>AND(E223&lt;G223,OR(G223&lt;I223,I223="-"),OR(I223&lt;K223,I223="-"),OR(K223&lt;M223,K223="-"),M223&lt;O223,OR(O223&lt;Q223,Q223="-"),OR(Q223&lt;S223,Q223="-"),OR(S223&lt;U223,S223="-"),U223&lt;W223,OR(W223&lt;Y223,Y223="-"),OR(Y223&lt;AA223,Y223="-"),OR(AA223&lt;AC223,AA223="-"),AC223&lt;AE223,OR(AE223&lt;AG223,AG223="-"),OR(AG223&lt;AI223,AG223="-"),OR(AI223&lt;AK223,AI223="-"),AK223&lt;AM223,AM223&lt;AO223,AO223&lt;AQ223,AQ223&lt;AS223,AS223&lt;AU223,OR(AU223&lt;AW223,AW223="-"),OR(AW223&lt;AY223,AW223="-"))</f>
        <v>1</v>
      </c>
      <c r="BC223" s="23">
        <f>_xlfn.AGGREGATE(9,6,CH223:CS223)-_xlfn.AGGREGATE(9,6,BV223:CG223)+12</f>
        <v>263</v>
      </c>
      <c r="BD223" s="56" t="s">
        <v>23</v>
      </c>
      <c r="BE223" s="3" t="s">
        <v>23</v>
      </c>
      <c r="BF223" s="118" t="s">
        <v>23</v>
      </c>
      <c r="BG223" s="49" t="s">
        <v>1368</v>
      </c>
      <c r="BH223" s="49" t="s">
        <v>1373</v>
      </c>
      <c r="BI223" s="1"/>
      <c r="BJ223" s="70" t="s">
        <v>1283</v>
      </c>
      <c r="BK223" s="57" t="s">
        <v>1283</v>
      </c>
      <c r="BL223" s="57" t="s">
        <v>1283</v>
      </c>
      <c r="BM223" s="57" t="s">
        <v>1283</v>
      </c>
      <c r="BN223" s="57" t="s">
        <v>1283</v>
      </c>
      <c r="BO223" s="57" t="s">
        <v>1283</v>
      </c>
      <c r="BP223" s="57" t="s">
        <v>1283</v>
      </c>
      <c r="BQ223" s="57" t="s">
        <v>1283</v>
      </c>
      <c r="BR223" s="57" t="s">
        <v>1283</v>
      </c>
      <c r="BS223" s="57" t="s">
        <v>1283</v>
      </c>
      <c r="BT223" s="57" t="s">
        <v>1283</v>
      </c>
      <c r="BU223" s="57" t="s">
        <v>1283</v>
      </c>
      <c r="BV223" s="70">
        <f>E223</f>
        <v>31</v>
      </c>
      <c r="BW223" s="71">
        <f>I223</f>
        <v>63</v>
      </c>
      <c r="BX223" s="72">
        <f>M223</f>
        <v>67</v>
      </c>
      <c r="BY223" s="71">
        <f>Q223</f>
        <v>99</v>
      </c>
      <c r="BZ223" s="72">
        <f>U223</f>
        <v>103</v>
      </c>
      <c r="CA223" s="71">
        <f>Y223</f>
        <v>139</v>
      </c>
      <c r="CB223" s="72">
        <f>AC223</f>
        <v>148</v>
      </c>
      <c r="CC223" s="71">
        <f>AG223</f>
        <v>182</v>
      </c>
      <c r="CD223" s="72">
        <f>AK223</f>
        <v>186</v>
      </c>
      <c r="CE223" s="71">
        <f>AO223</f>
        <v>362</v>
      </c>
      <c r="CF223" s="72">
        <f>AS223</f>
        <v>404</v>
      </c>
      <c r="CG223" s="71">
        <f>AW223</f>
        <v>430</v>
      </c>
      <c r="CH223" s="70">
        <f>G223</f>
        <v>62</v>
      </c>
      <c r="CI223" s="71">
        <f>K223</f>
        <v>66</v>
      </c>
      <c r="CJ223" s="72">
        <f>O223</f>
        <v>98</v>
      </c>
      <c r="CK223" s="72">
        <f>S223</f>
        <v>102</v>
      </c>
      <c r="CL223" s="72">
        <f>W223</f>
        <v>138</v>
      </c>
      <c r="CM223" s="72">
        <f>AA223</f>
        <v>147</v>
      </c>
      <c r="CN223" s="72">
        <f>AE223</f>
        <v>172</v>
      </c>
      <c r="CO223" s="72">
        <f>AI223</f>
        <v>184</v>
      </c>
      <c r="CP223" s="72">
        <f>AM223</f>
        <v>226</v>
      </c>
      <c r="CQ223" s="72">
        <f>AQ223</f>
        <v>399</v>
      </c>
      <c r="CR223" s="72">
        <f>AU223</f>
        <v>429</v>
      </c>
      <c r="CS223" s="72">
        <f>AY223</f>
        <v>442</v>
      </c>
      <c r="CT223" s="23">
        <f>M223-K223</f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>CONCATENATE(B224,"_",C224)</f>
        <v>drd2_human_6CM4</v>
      </c>
      <c r="B224" s="3" t="s">
        <v>191</v>
      </c>
      <c r="C224" s="3" t="s">
        <v>1472</v>
      </c>
      <c r="D224" s="3" t="str">
        <f>IFERROR(MID(VLOOKUP($B224,Seqs!$A:$B,2,0),E224,1),"")</f>
        <v>N</v>
      </c>
      <c r="E224" s="3">
        <v>35</v>
      </c>
      <c r="F224" s="3" t="str">
        <f>IFERROR(MID(VLOOKUP($B224,Seqs!$A:$B,2,0),G224,1),"")</f>
        <v>E</v>
      </c>
      <c r="G224" s="3">
        <v>62</v>
      </c>
      <c r="H224" s="3" t="str">
        <f>IFERROR(MID(VLOOKUP($B224,Seqs!$A:$B,2,0),I224,1),"")</f>
        <v>K</v>
      </c>
      <c r="I224" s="23">
        <v>63</v>
      </c>
      <c r="J224" s="3" t="str">
        <f>IFERROR(MID(VLOOKUP($B224,Seqs!$A:$B,2,0),K224,1),"")</f>
        <v>Q</v>
      </c>
      <c r="K224" s="23">
        <v>66</v>
      </c>
      <c r="L224" s="3" t="str">
        <f>IFERROR(MID(VLOOKUP($B224,Seqs!$A:$B,2,0),M224,1),"")</f>
        <v>T</v>
      </c>
      <c r="M224" s="3">
        <v>67</v>
      </c>
      <c r="N224" s="3" t="str">
        <f>IFERROR(MID(VLOOKUP($B224,Seqs!$A:$B,2,0),O224,1),"")</f>
        <v>G</v>
      </c>
      <c r="O224" s="3">
        <v>98</v>
      </c>
      <c r="P224" s="3" t="str">
        <f>IFERROR(MID(VLOOKUP($B224,Seqs!$A:$B,2,0),Q224,1),"")</f>
        <v>E</v>
      </c>
      <c r="Q224" s="3">
        <v>99</v>
      </c>
      <c r="R224" s="3" t="str">
        <f>IFERROR(MID(VLOOKUP($B224,Seqs!$A:$B,2,0),S224,1),"")</f>
        <v>F</v>
      </c>
      <c r="S224" s="3">
        <v>102</v>
      </c>
      <c r="T224" s="3" t="str">
        <f>IFERROR(MID(VLOOKUP($B224,Seqs!$A:$B,2,0),U224,1),"")</f>
        <v>S</v>
      </c>
      <c r="U224" s="3">
        <v>103</v>
      </c>
      <c r="V224" s="3" t="str">
        <f>IFERROR(MID(VLOOKUP($B224,Seqs!$A:$B,2,0),W224,1),"")</f>
        <v>M</v>
      </c>
      <c r="W224" s="3">
        <v>138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Y</v>
      </c>
      <c r="AC224" s="3">
        <v>146</v>
      </c>
      <c r="AD224" s="3" t="str">
        <f>IFERROR(MID(VLOOKUP($B224,Seqs!$A:$B,2,0),AE224,1),"")</f>
        <v>F</v>
      </c>
      <c r="AE224" s="3">
        <v>172</v>
      </c>
      <c r="AF224" s="3" t="str">
        <f>IFERROR(MID(VLOOKUP($B224,Seqs!$A:$B,2,0),AG224,1),"")</f>
        <v>C</v>
      </c>
      <c r="AG224" s="3">
        <v>182</v>
      </c>
      <c r="AH224" s="3" t="str">
        <f>IFERROR(MID(VLOOKUP($B224,Seqs!$A:$B,2,0),AI224,1),"")</f>
        <v>I</v>
      </c>
      <c r="AI224" s="3">
        <v>184</v>
      </c>
      <c r="AJ224" s="3" t="str">
        <f>IFERROR(MID(VLOOKUP($B224,Seqs!$A:$B,2,0),AK224,1),"")</f>
        <v>A</v>
      </c>
      <c r="AK224" s="3">
        <v>188</v>
      </c>
      <c r="AL224" s="3" t="str">
        <f>IFERROR(MID(VLOOKUP($B224,Seqs!$A:$B,2,0),AM224,1),"")</f>
        <v>R</v>
      </c>
      <c r="AM224" s="3">
        <v>222</v>
      </c>
      <c r="AN224" s="3" t="str">
        <f>IFERROR(MID(VLOOKUP($B224,Seqs!$A:$B,2,0),AO224,1),"")</f>
        <v>E</v>
      </c>
      <c r="AO224" s="3">
        <v>368</v>
      </c>
      <c r="AP224" s="3" t="str">
        <f>IFERROR(MID(VLOOKUP($B224,Seqs!$A:$B,2,0),AQ224,1),"")</f>
        <v>C</v>
      </c>
      <c r="AQ224" s="3">
        <v>399</v>
      </c>
      <c r="AR224" s="3" t="str">
        <f>IFERROR(MID(VLOOKUP($B224,Seqs!$A:$B,2,0),AS224,1),"")</f>
        <v>P</v>
      </c>
      <c r="AS224" s="3">
        <v>404</v>
      </c>
      <c r="AT224" s="3" t="str">
        <f>IFERROR(MID(VLOOKUP($B224,Seqs!$A:$B,2,0),AU224,1),"")</f>
        <v>F</v>
      </c>
      <c r="AU224" s="3">
        <v>429</v>
      </c>
      <c r="AV224" s="3" t="str">
        <f>IFERROR(MID(VLOOKUP($B224,Seqs!$A:$B,2,0),AW224,1),"")</f>
        <v>N</v>
      </c>
      <c r="AW224" s="3">
        <v>430</v>
      </c>
      <c r="AX224" s="3" t="str">
        <f>IFERROR(MID(VLOOKUP($B224,Seqs!$A:$B,2,0),AY224,1),"")</f>
        <v>H</v>
      </c>
      <c r="AY224" s="3">
        <v>442</v>
      </c>
      <c r="AZ224" s="77" t="str">
        <f>VLOOKUP(B224,Classification!A:D,2,0)</f>
        <v>A</v>
      </c>
      <c r="BA224" s="94" t="str">
        <f>VLOOKUP(B224,Classification!A:D,4,0)</f>
        <v>Dopamine</v>
      </c>
      <c r="BB224" s="27" t="b">
        <f>AND(E224&lt;G224,OR(G224&lt;I224,I224="-"),OR(I224&lt;K224,I224="-"),OR(K224&lt;M224,K224="-"),M224&lt;O224,OR(O224&lt;Q224,Q224="-"),OR(Q224&lt;S224,Q224="-"),OR(S224&lt;U224,S224="-"),U224&lt;W224,OR(W224&lt;Y224,Y224="-"),OR(Y224&lt;AA224,Y224="-"),OR(AA224&lt;AC224,AA224="-"),AC224&lt;AE224,OR(AE224&lt;AG224,AG224="-"),OR(AG224&lt;AI224,AG224="-"),OR(AI224&lt;AK224,AI224="-"),AK224&lt;AM224,AM224&lt;AO224,AO224&lt;AQ224,AQ224&lt;AS224,AS224&lt;AU224,OR(AU224&lt;AW224,AW224="-"),OR(AW224&lt;AY224,AW224="-"))</f>
        <v>1</v>
      </c>
      <c r="BC224" s="23">
        <f>_xlfn.AGGREGATE(9,6,CH224:CS224)-_xlfn.AGGREGATE(9,6,BV224:CG224)+12</f>
        <v>241</v>
      </c>
      <c r="BD224" s="56" t="s">
        <v>1372</v>
      </c>
      <c r="BE224" s="3" t="s">
        <v>1370</v>
      </c>
      <c r="BF224" s="118">
        <v>2.87</v>
      </c>
      <c r="BG224" s="49" t="s">
        <v>1</v>
      </c>
      <c r="BH224" s="49" t="s">
        <v>1</v>
      </c>
      <c r="BI224" s="1"/>
      <c r="BJ224" s="70" t="s">
        <v>1283</v>
      </c>
      <c r="BK224" s="57" t="s">
        <v>1283</v>
      </c>
      <c r="BL224" s="57" t="s">
        <v>1283</v>
      </c>
      <c r="BM224" s="57" t="s">
        <v>1283</v>
      </c>
      <c r="BN224" s="57" t="s">
        <v>1283</v>
      </c>
      <c r="BO224" s="57" t="s">
        <v>1283</v>
      </c>
      <c r="BP224" s="57" t="s">
        <v>1283</v>
      </c>
      <c r="BQ224" s="57" t="s">
        <v>1283</v>
      </c>
      <c r="BR224" s="57" t="s">
        <v>1283</v>
      </c>
      <c r="BS224" s="57" t="s">
        <v>1283</v>
      </c>
      <c r="BT224" s="57" t="s">
        <v>1283</v>
      </c>
      <c r="BU224" s="57" t="s">
        <v>1283</v>
      </c>
      <c r="BV224" s="70">
        <f>E224</f>
        <v>35</v>
      </c>
      <c r="BW224" s="71">
        <f>I224</f>
        <v>63</v>
      </c>
      <c r="BX224" s="72">
        <f>M224</f>
        <v>67</v>
      </c>
      <c r="BY224" s="71">
        <f>Q224</f>
        <v>99</v>
      </c>
      <c r="BZ224" s="72">
        <f>U224</f>
        <v>103</v>
      </c>
      <c r="CA224" s="71" t="str">
        <f>Y224</f>
        <v>-</v>
      </c>
      <c r="CB224" s="72">
        <f>AC224</f>
        <v>146</v>
      </c>
      <c r="CC224" s="71">
        <f>AG224</f>
        <v>182</v>
      </c>
      <c r="CD224" s="72">
        <f>AK224</f>
        <v>188</v>
      </c>
      <c r="CE224" s="71">
        <f>AO224</f>
        <v>368</v>
      </c>
      <c r="CF224" s="72">
        <f>AS224</f>
        <v>404</v>
      </c>
      <c r="CG224" s="71">
        <f>AW224</f>
        <v>430</v>
      </c>
      <c r="CH224" s="70">
        <f>G224</f>
        <v>62</v>
      </c>
      <c r="CI224" s="71">
        <f>K224</f>
        <v>66</v>
      </c>
      <c r="CJ224" s="72">
        <f>O224</f>
        <v>98</v>
      </c>
      <c r="CK224" s="72">
        <f>S224</f>
        <v>102</v>
      </c>
      <c r="CL224" s="72">
        <f>W224</f>
        <v>138</v>
      </c>
      <c r="CM224" s="72" t="str">
        <f>AA224</f>
        <v>-</v>
      </c>
      <c r="CN224" s="72">
        <f>AE224</f>
        <v>172</v>
      </c>
      <c r="CO224" s="72">
        <f>AI224</f>
        <v>184</v>
      </c>
      <c r="CP224" s="72">
        <f>AM224</f>
        <v>222</v>
      </c>
      <c r="CQ224" s="72">
        <f>AQ224</f>
        <v>399</v>
      </c>
      <c r="CR224" s="72">
        <f>AU224</f>
        <v>429</v>
      </c>
      <c r="CS224" s="72">
        <f>AY224</f>
        <v>442</v>
      </c>
      <c r="CT224" s="23">
        <f>M224-K224</f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>CONCATENATE(B225,"_",C225)</f>
        <v>drd2_human_6LUQ</v>
      </c>
      <c r="B225" s="3" t="s">
        <v>191</v>
      </c>
      <c r="C225" s="3" t="s">
        <v>1652</v>
      </c>
      <c r="D225" s="3" t="str">
        <f>IFERROR(MID(VLOOKUP($B225,Seqs!$A:$B,2,0),E225,1),"")</f>
        <v>Y</v>
      </c>
      <c r="E225" s="3">
        <v>36</v>
      </c>
      <c r="F225" s="3" t="str">
        <f>IFERROR(MID(VLOOKUP($B225,Seqs!$A:$B,2,0),G225,1),"")</f>
        <v>E</v>
      </c>
      <c r="G225" s="3">
        <v>62</v>
      </c>
      <c r="H225" s="3" t="str">
        <f>IFERROR(MID(VLOOKUP($B225,Seqs!$A:$B,2,0),I225,1),"")</f>
        <v>K</v>
      </c>
      <c r="I225" s="23">
        <v>63</v>
      </c>
      <c r="J225" s="3" t="str">
        <f>IFERROR(MID(VLOOKUP($B225,Seqs!$A:$B,2,0),K225,1),"")</f>
        <v>Q</v>
      </c>
      <c r="K225" s="23">
        <v>66</v>
      </c>
      <c r="L225" s="3" t="str">
        <f>IFERROR(MID(VLOOKUP($B225,Seqs!$A:$B,2,0),M225,1),"")</f>
        <v>T</v>
      </c>
      <c r="M225" s="3">
        <v>67</v>
      </c>
      <c r="N225" s="3" t="str">
        <f>IFERROR(MID(VLOOKUP($B225,Seqs!$A:$B,2,0),O225,1),"")</f>
        <v>G</v>
      </c>
      <c r="O225" s="3">
        <v>98</v>
      </c>
      <c r="P225" s="3" t="str">
        <f>IFERROR(MID(VLOOKUP($B225,Seqs!$A:$B,2,0),Q225,1),"")</f>
        <v>E</v>
      </c>
      <c r="Q225" s="3">
        <v>99</v>
      </c>
      <c r="R225" s="3" t="str">
        <f>IFERROR(MID(VLOOKUP($B225,Seqs!$A:$B,2,0),S225,1),"")</f>
        <v>F</v>
      </c>
      <c r="S225" s="3">
        <v>102</v>
      </c>
      <c r="T225" s="3" t="str">
        <f>IFERROR(MID(VLOOKUP($B225,Seqs!$A:$B,2,0),U225,1),"")</f>
        <v>S</v>
      </c>
      <c r="U225" s="3">
        <v>103</v>
      </c>
      <c r="V225" s="3" t="str">
        <f>IFERROR(MID(VLOOKUP($B225,Seqs!$A:$B,2,0),W225,1),"")</f>
        <v>M</v>
      </c>
      <c r="W225" s="3">
        <v>138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R</v>
      </c>
      <c r="AC225" s="3">
        <v>145</v>
      </c>
      <c r="AD225" s="3" t="str">
        <f>IFERROR(MID(VLOOKUP($B225,Seqs!$A:$B,2,0),AE225,1),"")</f>
        <v>G</v>
      </c>
      <c r="AE225" s="3">
        <v>173</v>
      </c>
      <c r="AF225" s="3" t="str">
        <f>IFERROR(MID(VLOOKUP($B225,Seqs!$A:$B,2,0),AG225,1),"")</f>
        <v>C</v>
      </c>
      <c r="AG225" s="3">
        <v>182</v>
      </c>
      <c r="AH225" s="3" t="str">
        <f>IFERROR(MID(VLOOKUP($B225,Seqs!$A:$B,2,0),AI225,1),"")</f>
        <v>I</v>
      </c>
      <c r="AI225" s="3">
        <v>184</v>
      </c>
      <c r="AJ225" s="3" t="str">
        <f>IFERROR(MID(VLOOKUP($B225,Seqs!$A:$B,2,0),AK225,1),"")</f>
        <v>A</v>
      </c>
      <c r="AK225" s="3">
        <v>188</v>
      </c>
      <c r="AL225" s="3" t="str">
        <f>IFERROR(MID(VLOOKUP($B225,Seqs!$A:$B,2,0),AM225,1),"")</f>
        <v>R</v>
      </c>
      <c r="AM225" s="3">
        <v>222</v>
      </c>
      <c r="AN225" s="3" t="str">
        <f>IFERROR(MID(VLOOKUP($B225,Seqs!$A:$B,2,0),AO225,1),"")</f>
        <v>L</v>
      </c>
      <c r="AO225" s="3">
        <v>387</v>
      </c>
      <c r="AP225" s="3" t="str">
        <f>IFERROR(MID(VLOOKUP($B225,Seqs!$A:$B,2,0),AQ225,1),"")</f>
        <v>A</v>
      </c>
      <c r="AQ225" s="3">
        <v>420</v>
      </c>
      <c r="AR225" s="3" t="str">
        <f>IFERROR(MID(VLOOKUP($B225,Seqs!$A:$B,2,0),AS225,1),"")</f>
        <v>I</v>
      </c>
      <c r="AS225" s="3">
        <v>425</v>
      </c>
      <c r="AT225" s="3" t="str">
        <f>IFERROR(MID(VLOOKUP($B225,Seqs!$A:$B,2,0),AU225,1),"")</f>
        <v/>
      </c>
      <c r="AU225" s="3">
        <v>450</v>
      </c>
      <c r="AV225" s="3" t="str">
        <f>IFERROR(MID(VLOOKUP($B225,Seqs!$A:$B,2,0),AW225,1),"")</f>
        <v/>
      </c>
      <c r="AW225" s="3">
        <v>451</v>
      </c>
      <c r="AX225" s="3" t="str">
        <f>IFERROR(MID(VLOOKUP($B225,Seqs!$A:$B,2,0),AY225,1),"")</f>
        <v/>
      </c>
      <c r="AY225" s="3">
        <v>463</v>
      </c>
      <c r="AZ225" s="77" t="str">
        <f>VLOOKUP(B225,Classification!A:D,2,0)</f>
        <v>A</v>
      </c>
      <c r="BA225" s="94" t="str">
        <f>VLOOKUP(B225,Classification!A:D,4,0)</f>
        <v>Dopamine</v>
      </c>
      <c r="BB225" s="27" t="b">
        <f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>_xlfn.AGGREGATE(9,6,CH225:CS225)-_xlfn.AGGREGATE(9,6,BV225:CG225)+12</f>
        <v>244</v>
      </c>
      <c r="BD225" s="56" t="s">
        <v>23</v>
      </c>
      <c r="BE225" s="3" t="s">
        <v>1370</v>
      </c>
      <c r="BF225" s="118">
        <v>3.1</v>
      </c>
      <c r="BG225" s="49" t="s">
        <v>1</v>
      </c>
      <c r="BH225" s="49" t="s">
        <v>1</v>
      </c>
      <c r="BI225" s="1"/>
      <c r="BJ225" s="70" t="s">
        <v>1283</v>
      </c>
      <c r="BK225" s="57" t="s">
        <v>1283</v>
      </c>
      <c r="BL225" s="57" t="s">
        <v>1283</v>
      </c>
      <c r="BM225" s="57" t="s">
        <v>1283</v>
      </c>
      <c r="BN225" s="57" t="s">
        <v>1283</v>
      </c>
      <c r="BO225" s="57" t="s">
        <v>1283</v>
      </c>
      <c r="BP225" s="57" t="s">
        <v>1283</v>
      </c>
      <c r="BQ225" s="57" t="s">
        <v>1283</v>
      </c>
      <c r="BR225" s="57" t="s">
        <v>1283</v>
      </c>
      <c r="BS225" s="57" t="s">
        <v>1283</v>
      </c>
      <c r="BT225" s="57" t="s">
        <v>1283</v>
      </c>
      <c r="BU225" s="57" t="s">
        <v>1283</v>
      </c>
      <c r="BV225" s="70">
        <f>E225</f>
        <v>36</v>
      </c>
      <c r="BW225" s="71">
        <f>I225</f>
        <v>63</v>
      </c>
      <c r="BX225" s="72">
        <f>M225</f>
        <v>67</v>
      </c>
      <c r="BY225" s="71">
        <f>Q225</f>
        <v>99</v>
      </c>
      <c r="BZ225" s="72">
        <f>U225</f>
        <v>103</v>
      </c>
      <c r="CA225" s="71" t="str">
        <f>Y225</f>
        <v>-</v>
      </c>
      <c r="CB225" s="72">
        <f>AC225</f>
        <v>145</v>
      </c>
      <c r="CC225" s="71">
        <f>AG225</f>
        <v>182</v>
      </c>
      <c r="CD225" s="72">
        <f>AK225</f>
        <v>188</v>
      </c>
      <c r="CE225" s="71">
        <f>AO225</f>
        <v>387</v>
      </c>
      <c r="CF225" s="72">
        <f>AS225</f>
        <v>425</v>
      </c>
      <c r="CG225" s="71">
        <f>AW225</f>
        <v>451</v>
      </c>
      <c r="CH225" s="70">
        <f>G225</f>
        <v>62</v>
      </c>
      <c r="CI225" s="71">
        <f>K225</f>
        <v>66</v>
      </c>
      <c r="CJ225" s="72">
        <f>O225</f>
        <v>98</v>
      </c>
      <c r="CK225" s="72">
        <f>S225</f>
        <v>102</v>
      </c>
      <c r="CL225" s="72">
        <f>W225</f>
        <v>138</v>
      </c>
      <c r="CM225" s="72" t="str">
        <f>AA225</f>
        <v>-</v>
      </c>
      <c r="CN225" s="72">
        <f>AE225</f>
        <v>173</v>
      </c>
      <c r="CO225" s="72">
        <f>AI225</f>
        <v>184</v>
      </c>
      <c r="CP225" s="72">
        <f>AM225</f>
        <v>222</v>
      </c>
      <c r="CQ225" s="72">
        <f>AQ225</f>
        <v>420</v>
      </c>
      <c r="CR225" s="72">
        <f>AU225</f>
        <v>450</v>
      </c>
      <c r="CS225" s="72">
        <f>AY225</f>
        <v>463</v>
      </c>
      <c r="CT225" s="23">
        <f>M225-K225</f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s="12" customFormat="1" x14ac:dyDescent="0.2">
      <c r="A226" s="9" t="str">
        <f>CONCATENATE(B226,"_",C226)</f>
        <v>drd2_human_6VMS</v>
      </c>
      <c r="B226" s="9" t="s">
        <v>191</v>
      </c>
      <c r="C226" s="9" t="s">
        <v>1681</v>
      </c>
      <c r="D226" s="9" t="str">
        <f>IFERROR(MID(VLOOKUP($B226,Seqs!$A:$B,2,0),E226,1),"")</f>
        <v>L</v>
      </c>
      <c r="E226" s="9">
        <v>41</v>
      </c>
      <c r="F226" s="9" t="str">
        <f>IFERROR(MID(VLOOKUP($B226,Seqs!$A:$B,2,0),G226,1),"")</f>
        <v>E</v>
      </c>
      <c r="G226" s="9">
        <v>62</v>
      </c>
      <c r="H226" s="9" t="str">
        <f>IFERROR(MID(VLOOKUP($B226,Seqs!$A:$B,2,0),I226,1),"")</f>
        <v/>
      </c>
      <c r="I226" s="109" t="s">
        <v>23</v>
      </c>
      <c r="J226" s="9" t="str">
        <f>IFERROR(MID(VLOOKUP($B226,Seqs!$A:$B,2,0),K226,1),"")</f>
        <v/>
      </c>
      <c r="K226" s="109" t="s">
        <v>23</v>
      </c>
      <c r="L226" s="9" t="str">
        <f>IFERROR(MID(VLOOKUP($B226,Seqs!$A:$B,2,0),M226,1),"")</f>
        <v>T</v>
      </c>
      <c r="M226" s="9">
        <v>67</v>
      </c>
      <c r="N226" s="9" t="str">
        <f>IFERROR(MID(VLOOKUP($B226,Seqs!$A:$B,2,0),O226,1),"")</f>
        <v>V</v>
      </c>
      <c r="O226" s="9">
        <v>97</v>
      </c>
      <c r="P226" s="9" t="str">
        <f>IFERROR(MID(VLOOKUP($B226,Seqs!$A:$B,2,0),Q226,1),"")</f>
        <v>E</v>
      </c>
      <c r="Q226" s="9">
        <v>99</v>
      </c>
      <c r="R226" s="9" t="str">
        <f>IFERROR(MID(VLOOKUP($B226,Seqs!$A:$B,2,0),S226,1),"")</f>
        <v>F</v>
      </c>
      <c r="S226" s="9">
        <v>102</v>
      </c>
      <c r="T226" s="9" t="str">
        <f>IFERROR(MID(VLOOKUP($B226,Seqs!$A:$B,2,0),U226,1),"")</f>
        <v>I</v>
      </c>
      <c r="U226" s="9">
        <v>105</v>
      </c>
      <c r="V226" s="9" t="str">
        <f>IFERROR(MID(VLOOKUP($B226,Seqs!$A:$B,2,0),W226,1),"")</f>
        <v>M</v>
      </c>
      <c r="W226" s="9">
        <v>138</v>
      </c>
      <c r="X226" s="9" t="str">
        <f>IFERROR(MID(VLOOKUP($B226,Seqs!$A:$B,2,0),Y226,1),"")</f>
        <v/>
      </c>
      <c r="Y226" s="9" t="s">
        <v>23</v>
      </c>
      <c r="Z226" s="9" t="str">
        <f>IFERROR(MID(VLOOKUP($B226,Seqs!$A:$B,2,0),AA226,1),"")</f>
        <v/>
      </c>
      <c r="AA226" s="9" t="s">
        <v>23</v>
      </c>
      <c r="AB226" s="9" t="str">
        <f>IFERROR(MID(VLOOKUP($B226,Seqs!$A:$B,2,0),AC226,1),"")</f>
        <v>T</v>
      </c>
      <c r="AC226" s="9">
        <v>144</v>
      </c>
      <c r="AD226" s="9" t="str">
        <f>IFERROR(MID(VLOOKUP($B226,Seqs!$A:$B,2,0),AE226,1),"")</f>
        <v>L</v>
      </c>
      <c r="AE226" s="9">
        <v>171</v>
      </c>
      <c r="AF226" s="9" t="str">
        <f>IFERROR(MID(VLOOKUP($B226,Seqs!$A:$B,2,0),AG226,1),"")</f>
        <v>C</v>
      </c>
      <c r="AG226" s="9">
        <v>182</v>
      </c>
      <c r="AH226" s="9" t="str">
        <f>IFERROR(MID(VLOOKUP($B226,Seqs!$A:$B,2,0),AI226,1),"")</f>
        <v>I</v>
      </c>
      <c r="AI226" s="9">
        <v>184</v>
      </c>
      <c r="AJ226" s="9" t="str">
        <f>IFERROR(MID(VLOOKUP($B226,Seqs!$A:$B,2,0),AK226,1),"")</f>
        <v>N</v>
      </c>
      <c r="AK226" s="9">
        <v>186</v>
      </c>
      <c r="AL226" s="9" t="str">
        <f>IFERROR(MID(VLOOKUP($B226,Seqs!$A:$B,2,0),AM226,1),"")</f>
        <v>V</v>
      </c>
      <c r="AM226" s="9">
        <v>223</v>
      </c>
      <c r="AN226" s="9" t="str">
        <f>IFERROR(MID(VLOOKUP($B226,Seqs!$A:$B,2,0),AO226,1),"")</f>
        <v>R</v>
      </c>
      <c r="AO226" s="9">
        <v>361</v>
      </c>
      <c r="AP226" s="9" t="str">
        <f>IFERROR(MID(VLOOKUP($B226,Seqs!$A:$B,2,0),AQ226,1),"")</f>
        <v>C</v>
      </c>
      <c r="AQ226" s="9">
        <v>399</v>
      </c>
      <c r="AR226" s="9" t="str">
        <f>IFERROR(MID(VLOOKUP($B226,Seqs!$A:$B,2,0),AS226,1),"")</f>
        <v>P</v>
      </c>
      <c r="AS226" s="9">
        <v>404</v>
      </c>
      <c r="AT226" s="9" t="str">
        <f>IFERROR(MID(VLOOKUP($B226,Seqs!$A:$B,2,0),AU226,1),"")</f>
        <v>F</v>
      </c>
      <c r="AU226" s="9">
        <v>429</v>
      </c>
      <c r="AV226" s="9" t="str">
        <f>IFERROR(MID(VLOOKUP($B226,Seqs!$A:$B,2,0),AW226,1),"")</f>
        <v>N</v>
      </c>
      <c r="AW226" s="9">
        <v>430</v>
      </c>
      <c r="AX226" s="9" t="str">
        <f>IFERROR(MID(VLOOKUP($B226,Seqs!$A:$B,2,0),AY226,1),"")</f>
        <v>H</v>
      </c>
      <c r="AY226" s="9">
        <v>442</v>
      </c>
      <c r="AZ226" s="110" t="str">
        <f>VLOOKUP(B226,Classification!A:D,2,0)</f>
        <v>A</v>
      </c>
      <c r="BA226" s="98" t="str">
        <f>VLOOKUP(B226,Classification!A:D,4,0)</f>
        <v>Dopamine</v>
      </c>
      <c r="BB226" s="36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109">
        <f>_xlfn.AGGREGATE(9,6,CH226:CS226)-_xlfn.AGGREGATE(9,6,BV226:CG226)+12</f>
        <v>240</v>
      </c>
      <c r="BD226" s="127" t="s">
        <v>1371</v>
      </c>
      <c r="BE226" s="9" t="s">
        <v>1287</v>
      </c>
      <c r="BF226" s="119">
        <v>3.8</v>
      </c>
      <c r="BG226" s="51" t="s">
        <v>1418</v>
      </c>
      <c r="BH226" s="51" t="s">
        <v>1418</v>
      </c>
      <c r="BJ226" s="111" t="s">
        <v>1283</v>
      </c>
      <c r="BK226" s="112" t="s">
        <v>1283</v>
      </c>
      <c r="BL226" s="112" t="s">
        <v>1283</v>
      </c>
      <c r="BM226" s="112" t="s">
        <v>1283</v>
      </c>
      <c r="BN226" s="112" t="s">
        <v>1283</v>
      </c>
      <c r="BO226" s="112" t="s">
        <v>1283</v>
      </c>
      <c r="BP226" s="112" t="s">
        <v>1283</v>
      </c>
      <c r="BQ226" s="112" t="s">
        <v>1283</v>
      </c>
      <c r="BR226" s="112" t="s">
        <v>1283</v>
      </c>
      <c r="BS226" s="112" t="s">
        <v>1283</v>
      </c>
      <c r="BT226" s="112" t="s">
        <v>1283</v>
      </c>
      <c r="BU226" s="112" t="s">
        <v>1283</v>
      </c>
      <c r="BV226" s="111">
        <f>E226</f>
        <v>41</v>
      </c>
      <c r="BW226" s="113" t="str">
        <f>I226</f>
        <v>-</v>
      </c>
      <c r="BX226" s="114">
        <f>M226</f>
        <v>67</v>
      </c>
      <c r="BY226" s="113">
        <f>Q226</f>
        <v>99</v>
      </c>
      <c r="BZ226" s="114">
        <f>U226</f>
        <v>105</v>
      </c>
      <c r="CA226" s="113" t="str">
        <f>Y226</f>
        <v>-</v>
      </c>
      <c r="CB226" s="114">
        <f>AC226</f>
        <v>144</v>
      </c>
      <c r="CC226" s="113">
        <f>AG226</f>
        <v>182</v>
      </c>
      <c r="CD226" s="114">
        <f>AK226</f>
        <v>186</v>
      </c>
      <c r="CE226" s="113">
        <f>AO226</f>
        <v>361</v>
      </c>
      <c r="CF226" s="114">
        <f>AS226</f>
        <v>404</v>
      </c>
      <c r="CG226" s="113">
        <f>AW226</f>
        <v>430</v>
      </c>
      <c r="CH226" s="111">
        <f>G226</f>
        <v>62</v>
      </c>
      <c r="CI226" s="113" t="str">
        <f>K226</f>
        <v>-</v>
      </c>
      <c r="CJ226" s="114">
        <f>O226</f>
        <v>97</v>
      </c>
      <c r="CK226" s="114">
        <f>S226</f>
        <v>102</v>
      </c>
      <c r="CL226" s="114">
        <f>W226</f>
        <v>138</v>
      </c>
      <c r="CM226" s="114" t="str">
        <f>AA226</f>
        <v>-</v>
      </c>
      <c r="CN226" s="114">
        <f>AE226</f>
        <v>171</v>
      </c>
      <c r="CO226" s="114">
        <f>AI226</f>
        <v>184</v>
      </c>
      <c r="CP226" s="114">
        <f>AM226</f>
        <v>223</v>
      </c>
      <c r="CQ226" s="114">
        <f>AQ226</f>
        <v>399</v>
      </c>
      <c r="CR226" s="114">
        <f>AU226</f>
        <v>429</v>
      </c>
      <c r="CS226" s="114">
        <f>AY226</f>
        <v>442</v>
      </c>
      <c r="CT226" s="109" t="e">
        <f>M226-K226</f>
        <v>#VALUE!</v>
      </c>
    </row>
    <row r="227" spans="1:1029" x14ac:dyDescent="0.2">
      <c r="A227" s="3" t="str">
        <f t="shared" si="1231"/>
        <v>drd3_human__wt</v>
      </c>
      <c r="B227" s="3" t="s">
        <v>192</v>
      </c>
      <c r="C227" s="3" t="s">
        <v>100</v>
      </c>
      <c r="D227" s="3" t="str">
        <f>IFERROR(MID(VLOOKUP($B227,Seqs!$A:$B,2,0),E227,1),"")</f>
        <v>A</v>
      </c>
      <c r="E227" s="3">
        <v>26</v>
      </c>
      <c r="F227" s="3" t="str">
        <f>IFERROR(MID(VLOOKUP($B227,Seqs!$A:$B,2,0),G227,1),"")</f>
        <v>E</v>
      </c>
      <c r="G227" s="3">
        <v>57</v>
      </c>
      <c r="H227" s="3" t="str">
        <f>IFERROR(MID(VLOOKUP($B227,Seqs!$A:$B,2,0),I227,1),"")</f>
        <v>R</v>
      </c>
      <c r="I227" s="23">
        <v>58</v>
      </c>
      <c r="J227" s="3" t="str">
        <f>IFERROR(MID(VLOOKUP($B227,Seqs!$A:$B,2,0),K227,1),"")</f>
        <v>Q</v>
      </c>
      <c r="K227" s="23">
        <v>61</v>
      </c>
      <c r="L227" s="3" t="str">
        <f>IFERROR(MID(VLOOKUP($B227,Seqs!$A:$B,2,0),M227,1),"")</f>
        <v>T</v>
      </c>
      <c r="M227" s="3">
        <v>62</v>
      </c>
      <c r="N227" s="3" t="str">
        <f>IFERROR(MID(VLOOKUP($B227,Seqs!$A:$B,2,0),O227,1),"")</f>
        <v>T</v>
      </c>
      <c r="O227" s="3">
        <v>92</v>
      </c>
      <c r="P227" s="3" t="str">
        <f>IFERROR(MID(VLOOKUP($B227,Seqs!$A:$B,2,0),Q227,1),"")</f>
        <v>V</v>
      </c>
      <c r="Q227" s="3">
        <v>95</v>
      </c>
      <c r="R227" s="3" t="str">
        <f>IFERROR(MID(VLOOKUP($B227,Seqs!$A:$B,2,0),S227,1),"")</f>
        <v>F</v>
      </c>
      <c r="S227" s="3">
        <v>98</v>
      </c>
      <c r="T227" s="3" t="str">
        <f>IFERROR(MID(VLOOKUP($B227,Seqs!$A:$B,2,0),U227,1),"")</f>
        <v>S</v>
      </c>
      <c r="U227" s="3">
        <v>99</v>
      </c>
      <c r="V227" s="3" t="str">
        <f>IFERROR(MID(VLOOKUP($B227,Seqs!$A:$B,2,0),W227,1),"")</f>
        <v>M</v>
      </c>
      <c r="W227" s="3">
        <v>134</v>
      </c>
      <c r="X227" s="3" t="str">
        <f>IFERROR(MID(VLOOKUP($B227,Seqs!$A:$B,2,0),Y227,1),"")</f>
        <v>P</v>
      </c>
      <c r="Y227" s="3">
        <v>135</v>
      </c>
      <c r="Z227" s="3" t="str">
        <f>IFERROR(MID(VLOOKUP($B227,Seqs!$A:$B,2,0),AA227,1),"")</f>
        <v>G</v>
      </c>
      <c r="AA227" s="3">
        <v>143</v>
      </c>
      <c r="AB227" s="3" t="str">
        <f>IFERROR(MID(VLOOKUP($B227,Seqs!$A:$B,2,0),AC227,1),"")</f>
        <v>S</v>
      </c>
      <c r="AC227" s="3">
        <v>146</v>
      </c>
      <c r="AD227" s="3" t="str">
        <f>IFERROR(MID(VLOOKUP($B227,Seqs!$A:$B,2,0),AE227,1),"")</f>
        <v>G</v>
      </c>
      <c r="AE227" s="3">
        <v>171</v>
      </c>
      <c r="AF227" s="3" t="str">
        <f>IFERROR(MID(VLOOKUP($B227,Seqs!$A:$B,2,0),AG227,1),"")</f>
        <v>C</v>
      </c>
      <c r="AG227" s="3">
        <v>181</v>
      </c>
      <c r="AH227" s="3" t="str">
        <f>IFERROR(MID(VLOOKUP($B227,Seqs!$A:$B,2,0),AI227,1),"")</f>
        <v>I</v>
      </c>
      <c r="AI227" s="3">
        <v>183</v>
      </c>
      <c r="AJ227" s="3" t="str">
        <f>IFERROR(MID(VLOOKUP($B227,Seqs!$A:$B,2,0),AK227,1),"")</f>
        <v>N</v>
      </c>
      <c r="AK227" s="3">
        <v>185</v>
      </c>
      <c r="AL227" s="3" t="str">
        <f>IFERROR(MID(VLOOKUP($B227,Seqs!$A:$B,2,0),AM227,1),"")</f>
        <v>R</v>
      </c>
      <c r="AM227" s="3">
        <v>226</v>
      </c>
      <c r="AN227" s="3" t="str">
        <f>IFERROR(MID(VLOOKUP($B227,Seqs!$A:$B,2,0),AO227,1),"")</f>
        <v>R</v>
      </c>
      <c r="AO227" s="3">
        <v>318</v>
      </c>
      <c r="AP227" s="3" t="str">
        <f>IFERROR(MID(VLOOKUP($B227,Seqs!$A:$B,2,0),AQ227,1),"")</f>
        <v>H</v>
      </c>
      <c r="AQ227" s="3">
        <v>354</v>
      </c>
      <c r="AR227" s="3" t="str">
        <f>IFERROR(MID(VLOOKUP($B227,Seqs!$A:$B,2,0),AS227,1),"")</f>
        <v>S</v>
      </c>
      <c r="AS227" s="3">
        <v>361</v>
      </c>
      <c r="AT227" s="3" t="str">
        <f>IFERROR(MID(VLOOKUP($B227,Seqs!$A:$B,2,0),AU227,1),"")</f>
        <v>F</v>
      </c>
      <c r="AU227" s="3">
        <v>386</v>
      </c>
      <c r="AV227" s="3" t="str">
        <f>IFERROR(MID(VLOOKUP($B227,Seqs!$A:$B,2,0),AW227,1),"")</f>
        <v>N</v>
      </c>
      <c r="AW227" s="3">
        <v>387</v>
      </c>
      <c r="AX227" s="3" t="str">
        <f>IFERROR(MID(VLOOKUP($B227,Seqs!$A:$B,2,0),AY227,1),"")</f>
        <v>S</v>
      </c>
      <c r="AY227" s="3">
        <v>399</v>
      </c>
      <c r="AZ227" s="77" t="str">
        <f>VLOOKUP(B227,Classification!A:D,2,0)</f>
        <v>A</v>
      </c>
      <c r="BA227" s="94" t="str">
        <f>VLOOKUP(B227,Classification!A:D,4,0)</f>
        <v>Dopamine</v>
      </c>
      <c r="BB227" s="27" t="b">
        <f t="shared" si="1232"/>
        <v>1</v>
      </c>
      <c r="BC227" s="23">
        <f t="shared" si="1931"/>
        <v>263</v>
      </c>
      <c r="BD227" s="56" t="s">
        <v>23</v>
      </c>
      <c r="BE227" s="3" t="s">
        <v>23</v>
      </c>
      <c r="BF227" s="118" t="s">
        <v>23</v>
      </c>
      <c r="BG227" s="49" t="s">
        <v>1368</v>
      </c>
      <c r="BH227" s="49" t="s">
        <v>1373</v>
      </c>
      <c r="BI227" s="1"/>
      <c r="BJ227" s="70" t="s">
        <v>1283</v>
      </c>
      <c r="BK227" s="57" t="s">
        <v>1283</v>
      </c>
      <c r="BL227" s="57" t="s">
        <v>1283</v>
      </c>
      <c r="BM227" s="57" t="s">
        <v>1283</v>
      </c>
      <c r="BN227" s="57" t="s">
        <v>1283</v>
      </c>
      <c r="BO227" s="57" t="s">
        <v>1283</v>
      </c>
      <c r="BP227" s="57" t="s">
        <v>1283</v>
      </c>
      <c r="BQ227" s="57" t="s">
        <v>1283</v>
      </c>
      <c r="BR227" s="57" t="s">
        <v>1283</v>
      </c>
      <c r="BS227" s="57" t="s">
        <v>1283</v>
      </c>
      <c r="BT227" s="57" t="s">
        <v>1283</v>
      </c>
      <c r="BU227" s="57" t="s">
        <v>1283</v>
      </c>
      <c r="BV227" s="70">
        <f t="shared" si="1932"/>
        <v>26</v>
      </c>
      <c r="BW227" s="71">
        <f t="shared" si="1933"/>
        <v>58</v>
      </c>
      <c r="BX227" s="72">
        <f t="shared" si="1934"/>
        <v>62</v>
      </c>
      <c r="BY227" s="71">
        <f t="shared" si="1935"/>
        <v>95</v>
      </c>
      <c r="BZ227" s="72">
        <f t="shared" si="1936"/>
        <v>99</v>
      </c>
      <c r="CA227" s="71">
        <f t="shared" si="1937"/>
        <v>135</v>
      </c>
      <c r="CB227" s="72">
        <f t="shared" si="1938"/>
        <v>146</v>
      </c>
      <c r="CC227" s="71">
        <f t="shared" si="1939"/>
        <v>181</v>
      </c>
      <c r="CD227" s="72">
        <f t="shared" si="1940"/>
        <v>185</v>
      </c>
      <c r="CE227" s="71">
        <f t="shared" si="1941"/>
        <v>318</v>
      </c>
      <c r="CF227" s="72">
        <f t="shared" si="1942"/>
        <v>361</v>
      </c>
      <c r="CG227" s="71">
        <f t="shared" si="1943"/>
        <v>387</v>
      </c>
      <c r="CH227" s="70">
        <f t="shared" si="1944"/>
        <v>57</v>
      </c>
      <c r="CI227" s="71">
        <f t="shared" si="1945"/>
        <v>61</v>
      </c>
      <c r="CJ227" s="72">
        <f t="shared" si="1946"/>
        <v>92</v>
      </c>
      <c r="CK227" s="72">
        <f t="shared" si="1947"/>
        <v>98</v>
      </c>
      <c r="CL227" s="72">
        <f t="shared" si="1948"/>
        <v>134</v>
      </c>
      <c r="CM227" s="72">
        <f t="shared" si="1949"/>
        <v>143</v>
      </c>
      <c r="CN227" s="72">
        <f t="shared" si="1950"/>
        <v>171</v>
      </c>
      <c r="CO227" s="72">
        <f t="shared" si="1951"/>
        <v>183</v>
      </c>
      <c r="CP227" s="72">
        <f t="shared" si="1952"/>
        <v>226</v>
      </c>
      <c r="CQ227" s="72">
        <f t="shared" si="1953"/>
        <v>354</v>
      </c>
      <c r="CR227" s="72">
        <f t="shared" si="1954"/>
        <v>386</v>
      </c>
      <c r="CS227" s="72">
        <f t="shared" si="1955"/>
        <v>399</v>
      </c>
      <c r="CT227" s="23">
        <f t="shared" si="1956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1231"/>
        <v>drd3_human_3PBL</v>
      </c>
      <c r="B228" s="3" t="s">
        <v>192</v>
      </c>
      <c r="C228" s="3" t="s">
        <v>72</v>
      </c>
      <c r="D228" s="3" t="str">
        <f>IFERROR(MID(VLOOKUP($B228,Seqs!$A:$B,2,0),E228,1),"")</f>
        <v>Y</v>
      </c>
      <c r="E228" s="3">
        <v>32</v>
      </c>
      <c r="F228" s="3" t="str">
        <f>IFERROR(MID(VLOOKUP($B228,Seqs!$A:$B,2,0),G228,1),"")</f>
        <v>E</v>
      </c>
      <c r="G228" s="3">
        <v>57</v>
      </c>
      <c r="H228" s="3" t="str">
        <f>IFERROR(MID(VLOOKUP($B228,Seqs!$A:$B,2,0),I228,1),"")</f>
        <v>R</v>
      </c>
      <c r="I228" s="23">
        <v>58</v>
      </c>
      <c r="J228" s="3" t="str">
        <f>IFERROR(MID(VLOOKUP($B228,Seqs!$A:$B,2,0),K228,1),"")</f>
        <v>Q</v>
      </c>
      <c r="K228" s="23">
        <v>61</v>
      </c>
      <c r="L228" s="3" t="str">
        <f>IFERROR(MID(VLOOKUP($B228,Seqs!$A:$B,2,0),M228,1),"")</f>
        <v>T</v>
      </c>
      <c r="M228" s="3">
        <v>62</v>
      </c>
      <c r="N228" s="3" t="str">
        <f>IFERROR(MID(VLOOKUP($B228,Seqs!$A:$B,2,0),O228,1),"")</f>
        <v>T</v>
      </c>
      <c r="O228" s="3">
        <v>92</v>
      </c>
      <c r="P228" s="3" t="str">
        <f>IFERROR(MID(VLOOKUP($B228,Seqs!$A:$B,2,0),Q228,1),"")</f>
        <v>V</v>
      </c>
      <c r="Q228" s="3">
        <v>95</v>
      </c>
      <c r="R228" s="3" t="str">
        <f>IFERROR(MID(VLOOKUP($B228,Seqs!$A:$B,2,0),S228,1),"")</f>
        <v>F</v>
      </c>
      <c r="S228" s="3">
        <v>98</v>
      </c>
      <c r="T228" s="3" t="str">
        <f>IFERROR(MID(VLOOKUP($B228,Seqs!$A:$B,2,0),U228,1),"")</f>
        <v>S</v>
      </c>
      <c r="U228" s="3">
        <v>99</v>
      </c>
      <c r="V228" s="3" t="str">
        <f>IFERROR(MID(VLOOKUP($B228,Seqs!$A:$B,2,0),W228,1),"")</f>
        <v>M</v>
      </c>
      <c r="W228" s="3">
        <v>134</v>
      </c>
      <c r="X228" s="3" t="str">
        <f>IFERROR(MID(VLOOKUP($B228,Seqs!$A:$B,2,0),Y228,1),"")</f>
        <v>P</v>
      </c>
      <c r="Y228" s="3">
        <v>135</v>
      </c>
      <c r="Z228" s="3" t="str">
        <f>IFERROR(MID(VLOOKUP($B228,Seqs!$A:$B,2,0),AA228,1),"")</f>
        <v>G</v>
      </c>
      <c r="AA228" s="3">
        <v>143</v>
      </c>
      <c r="AB228" s="3" t="str">
        <f>IFERROR(MID(VLOOKUP($B228,Seqs!$A:$B,2,0),AC228,1),"")</f>
        <v>S</v>
      </c>
      <c r="AC228" s="3">
        <v>146</v>
      </c>
      <c r="AD228" s="3" t="str">
        <f>IFERROR(MID(VLOOKUP($B228,Seqs!$A:$B,2,0),AE228,1),"")</f>
        <v>G</v>
      </c>
      <c r="AE228" s="3">
        <v>171</v>
      </c>
      <c r="AF228" s="3" t="str">
        <f>IFERROR(MID(VLOOKUP($B228,Seqs!$A:$B,2,0),AG228,1),"")</f>
        <v>C</v>
      </c>
      <c r="AG228" s="3">
        <v>181</v>
      </c>
      <c r="AH228" s="3" t="str">
        <f>IFERROR(MID(VLOOKUP($B228,Seqs!$A:$B,2,0),AI228,1),"")</f>
        <v>I</v>
      </c>
      <c r="AI228" s="3">
        <v>183</v>
      </c>
      <c r="AJ228" s="3" t="str">
        <f>IFERROR(MID(VLOOKUP($B228,Seqs!$A:$B,2,0),AK228,1),"")</f>
        <v>N</v>
      </c>
      <c r="AK228" s="3">
        <v>185</v>
      </c>
      <c r="AL228" s="3" t="str">
        <f>IFERROR(MID(VLOOKUP($B228,Seqs!$A:$B,2,0),AM228,1),"")</f>
        <v>K</v>
      </c>
      <c r="AM228" s="3">
        <v>216</v>
      </c>
      <c r="AN228" s="3" t="str">
        <f>IFERROR(MID(VLOOKUP($B228,Seqs!$A:$B,2,0),AO228,1),"")</f>
        <v>R</v>
      </c>
      <c r="AO228" s="3">
        <v>323</v>
      </c>
      <c r="AP228" s="3" t="str">
        <f>IFERROR(MID(VLOOKUP($B228,Seqs!$A:$B,2,0),AQ228,1),"")</f>
        <v>H</v>
      </c>
      <c r="AQ228" s="3">
        <v>354</v>
      </c>
      <c r="AR228" s="3" t="str">
        <f>IFERROR(MID(VLOOKUP($B228,Seqs!$A:$B,2,0),AS228,1),"")</f>
        <v>S</v>
      </c>
      <c r="AS228" s="3">
        <v>361</v>
      </c>
      <c r="AT228" s="3" t="str">
        <f>IFERROR(MID(VLOOKUP($B228,Seqs!$A:$B,2,0),AU228,1),"")</f>
        <v>F</v>
      </c>
      <c r="AU228" s="3">
        <v>386</v>
      </c>
      <c r="AV228" s="3" t="str">
        <f>IFERROR(MID(VLOOKUP($B228,Seqs!$A:$B,2,0),AW228,1),"")</f>
        <v>N</v>
      </c>
      <c r="AW228" s="3">
        <v>387</v>
      </c>
      <c r="AX228" s="3" t="str">
        <f>IFERROR(MID(VLOOKUP($B228,Seqs!$A:$B,2,0),AY228,1),"")</f>
        <v>S</v>
      </c>
      <c r="AY228" s="3">
        <v>399</v>
      </c>
      <c r="AZ228" s="77" t="str">
        <f>VLOOKUP(B228,Classification!A:D,2,0)</f>
        <v>A</v>
      </c>
      <c r="BA228" s="94" t="str">
        <f>VLOOKUP(B228,Classification!A:D,4,0)</f>
        <v>Dopamine</v>
      </c>
      <c r="BB228" s="27" t="b">
        <f t="shared" si="1232"/>
        <v>1</v>
      </c>
      <c r="BC228" s="23">
        <f t="shared" si="1931"/>
        <v>242</v>
      </c>
      <c r="BD228" s="2" t="s">
        <v>1372</v>
      </c>
      <c r="BE228" s="3" t="s">
        <v>1370</v>
      </c>
      <c r="BF228" s="118">
        <v>2.89</v>
      </c>
      <c r="BG228" s="49" t="s">
        <v>1373</v>
      </c>
      <c r="BH228" s="49" t="s">
        <v>1373</v>
      </c>
      <c r="BI228" s="1"/>
      <c r="BJ228" s="70" t="s">
        <v>1283</v>
      </c>
      <c r="BK228" s="57" t="s">
        <v>1283</v>
      </c>
      <c r="BL228" s="57" t="s">
        <v>1283</v>
      </c>
      <c r="BM228" s="57" t="s">
        <v>1283</v>
      </c>
      <c r="BN228" s="57" t="s">
        <v>1283</v>
      </c>
      <c r="BO228" s="57" t="s">
        <v>1283</v>
      </c>
      <c r="BP228" s="57" t="s">
        <v>1283</v>
      </c>
      <c r="BQ228" s="57" t="s">
        <v>1283</v>
      </c>
      <c r="BR228" s="57" t="s">
        <v>1283</v>
      </c>
      <c r="BS228" s="57" t="s">
        <v>1283</v>
      </c>
      <c r="BT228" s="57" t="s">
        <v>1283</v>
      </c>
      <c r="BU228" s="57" t="s">
        <v>1283</v>
      </c>
      <c r="BV228" s="70">
        <f t="shared" si="1932"/>
        <v>32</v>
      </c>
      <c r="BW228" s="71">
        <f t="shared" si="1933"/>
        <v>58</v>
      </c>
      <c r="BX228" s="72">
        <f t="shared" si="1934"/>
        <v>62</v>
      </c>
      <c r="BY228" s="71">
        <f t="shared" si="1935"/>
        <v>95</v>
      </c>
      <c r="BZ228" s="72">
        <f t="shared" si="1936"/>
        <v>99</v>
      </c>
      <c r="CA228" s="71">
        <f t="shared" si="1937"/>
        <v>135</v>
      </c>
      <c r="CB228" s="72">
        <f t="shared" si="1938"/>
        <v>146</v>
      </c>
      <c r="CC228" s="71">
        <f t="shared" si="1939"/>
        <v>181</v>
      </c>
      <c r="CD228" s="72">
        <f t="shared" si="1940"/>
        <v>185</v>
      </c>
      <c r="CE228" s="71">
        <f t="shared" si="1941"/>
        <v>323</v>
      </c>
      <c r="CF228" s="72">
        <f t="shared" si="1942"/>
        <v>361</v>
      </c>
      <c r="CG228" s="71">
        <f t="shared" si="1943"/>
        <v>387</v>
      </c>
      <c r="CH228" s="70">
        <f t="shared" si="1944"/>
        <v>57</v>
      </c>
      <c r="CI228" s="71">
        <f t="shared" si="1945"/>
        <v>61</v>
      </c>
      <c r="CJ228" s="72">
        <f t="shared" si="1946"/>
        <v>92</v>
      </c>
      <c r="CK228" s="72">
        <f t="shared" si="1947"/>
        <v>98</v>
      </c>
      <c r="CL228" s="72">
        <f t="shared" si="1948"/>
        <v>134</v>
      </c>
      <c r="CM228" s="72">
        <f t="shared" si="1949"/>
        <v>143</v>
      </c>
      <c r="CN228" s="72">
        <f t="shared" si="1950"/>
        <v>171</v>
      </c>
      <c r="CO228" s="72">
        <f t="shared" si="1951"/>
        <v>183</v>
      </c>
      <c r="CP228" s="72">
        <f t="shared" si="1952"/>
        <v>216</v>
      </c>
      <c r="CQ228" s="72">
        <f t="shared" si="1953"/>
        <v>354</v>
      </c>
      <c r="CR228" s="72">
        <f t="shared" si="1954"/>
        <v>386</v>
      </c>
      <c r="CS228" s="72">
        <f t="shared" si="1955"/>
        <v>399</v>
      </c>
      <c r="CT228" s="23">
        <f t="shared" si="1956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>CONCATENATE(B229,"_",C229)</f>
        <v>drd4_human__wt</v>
      </c>
      <c r="B229" s="3" t="s">
        <v>193</v>
      </c>
      <c r="C229" s="3" t="s">
        <v>100</v>
      </c>
      <c r="D229" s="3" t="str">
        <f>IFERROR(MID(VLOOKUP($B229,Seqs!$A:$B,2,0),E229,1),"")</f>
        <v>A</v>
      </c>
      <c r="E229" s="3">
        <v>31</v>
      </c>
      <c r="F229" s="3" t="str">
        <f>IFERROR(MID(VLOOKUP($B229,Seqs!$A:$B,2,0),G229,1),"")</f>
        <v>E</v>
      </c>
      <c r="G229" s="3">
        <v>62</v>
      </c>
      <c r="H229" s="3" t="str">
        <f>IFERROR(MID(VLOOKUP($B229,Seqs!$A:$B,2,0),I229,1),"")</f>
        <v>R</v>
      </c>
      <c r="I229" s="23">
        <v>63</v>
      </c>
      <c r="J229" s="3" t="str">
        <f>IFERROR(MID(VLOOKUP($B229,Seqs!$A:$B,2,0),K229,1),"")</f>
        <v>Q</v>
      </c>
      <c r="K229" s="23">
        <v>66</v>
      </c>
      <c r="L229" s="3" t="str">
        <f>IFERROR(MID(VLOOKUP($B229,Seqs!$A:$B,2,0),M229,1),"")</f>
        <v>T</v>
      </c>
      <c r="M229" s="3">
        <v>67</v>
      </c>
      <c r="N229" s="3" t="str">
        <f>IFERROR(MID(VLOOKUP($B229,Seqs!$A:$B,2,0),O229,1),"")</f>
        <v>G</v>
      </c>
      <c r="O229" s="105">
        <v>98</v>
      </c>
      <c r="P229" s="3" t="str">
        <f>IFERROR(MID(VLOOKUP($B229,Seqs!$A:$B,2,0),Q229,1),"")</f>
        <v>A</v>
      </c>
      <c r="Q229" s="3">
        <v>100</v>
      </c>
      <c r="R229" s="3" t="str">
        <f>IFERROR(MID(VLOOKUP($B229,Seqs!$A:$B,2,0),S229,1),"")</f>
        <v>L</v>
      </c>
      <c r="S229" s="3">
        <v>103</v>
      </c>
      <c r="T229" s="3" t="str">
        <f>IFERROR(MID(VLOOKUP($B229,Seqs!$A:$B,2,0),U229,1),"")</f>
        <v>S</v>
      </c>
      <c r="U229" s="3">
        <v>104</v>
      </c>
      <c r="V229" s="3" t="str">
        <f>IFERROR(MID(VLOOKUP($B229,Seqs!$A:$B,2,0),W229,1),"")</f>
        <v>V</v>
      </c>
      <c r="W229" s="3">
        <v>139</v>
      </c>
      <c r="X229" s="3" t="str">
        <f>IFERROR(MID(VLOOKUP($B229,Seqs!$A:$B,2,0),Y229,1),"")</f>
        <v>P</v>
      </c>
      <c r="Y229" s="3">
        <v>140</v>
      </c>
      <c r="Z229" s="3" t="str">
        <f>IFERROR(MID(VLOOKUP($B229,Seqs!$A:$B,2,0),AA229,1),"")</f>
        <v>G</v>
      </c>
      <c r="AA229" s="3">
        <v>147</v>
      </c>
      <c r="AB229" s="3" t="str">
        <f>IFERROR(MID(VLOOKUP($B229,Seqs!$A:$B,2,0),AC229,1),"")</f>
        <v>G</v>
      </c>
      <c r="AC229" s="3">
        <v>148</v>
      </c>
      <c r="AD229" s="3" t="str">
        <f>IFERROR(MID(VLOOKUP($B229,Seqs!$A:$B,2,0),AE229,1),"")</f>
        <v>G</v>
      </c>
      <c r="AE229" s="3">
        <v>173</v>
      </c>
      <c r="AF229" s="3" t="str">
        <f>IFERROR(MID(VLOOKUP($B229,Seqs!$A:$B,2,0),AG229,1),"")</f>
        <v>C</v>
      </c>
      <c r="AG229" s="3">
        <v>185</v>
      </c>
      <c r="AH229" s="3" t="str">
        <f>IFERROR(MID(VLOOKUP($B229,Seqs!$A:$B,2,0),AI229,1),"")</f>
        <v>L</v>
      </c>
      <c r="AI229" s="3">
        <v>187</v>
      </c>
      <c r="AJ229" s="3" t="str">
        <f>IFERROR(MID(VLOOKUP($B229,Seqs!$A:$B,2,0),AK229,1),"")</f>
        <v>D</v>
      </c>
      <c r="AK229" s="3">
        <v>189</v>
      </c>
      <c r="AL229" s="3" t="str">
        <f>IFERROR(MID(VLOOKUP($B229,Seqs!$A:$B,2,0),AM229,1),"")</f>
        <v>K</v>
      </c>
      <c r="AM229" s="3">
        <v>229</v>
      </c>
      <c r="AN229" s="3" t="str">
        <f>IFERROR(MID(VLOOKUP($B229,Seqs!$A:$B,2,0),AO229,1),"")</f>
        <v>A</v>
      </c>
      <c r="AO229" s="3">
        <v>383</v>
      </c>
      <c r="AP229" s="3" t="str">
        <f>IFERROR(MID(VLOOKUP($B229,Seqs!$A:$B,2,0),AQ229,1),"")</f>
        <v>C</v>
      </c>
      <c r="AQ229" s="3">
        <v>420</v>
      </c>
      <c r="AR229" s="3" t="str">
        <f>IFERROR(MID(VLOOKUP($B229,Seqs!$A:$B,2,0),AS229,1),"")</f>
        <v>P</v>
      </c>
      <c r="AS229" s="3">
        <v>426</v>
      </c>
      <c r="AT229" s="3" t="str">
        <f>IFERROR(MID(VLOOKUP($B229,Seqs!$A:$B,2,0),AU229,1),"")</f>
        <v>F</v>
      </c>
      <c r="AU229" s="3">
        <v>451</v>
      </c>
      <c r="AV229" s="3" t="str">
        <f>IFERROR(MID(VLOOKUP($B229,Seqs!$A:$B,2,0),AW229,1),"")</f>
        <v>N</v>
      </c>
      <c r="AW229" s="3">
        <v>452</v>
      </c>
      <c r="AX229" s="3" t="str">
        <f>IFERROR(MID(VLOOKUP($B229,Seqs!$A:$B,2,0),AY229,1),"")</f>
        <v>R</v>
      </c>
      <c r="AY229" s="3">
        <v>464</v>
      </c>
      <c r="AZ229" s="77" t="str">
        <f>VLOOKUP(B229,Classification!A:D,2,0)</f>
        <v>A</v>
      </c>
      <c r="BA229" s="94" t="str">
        <f>VLOOKUP(B229,Classification!A:D,4,0)</f>
        <v>Dopamine</v>
      </c>
      <c r="BB229" s="27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>_xlfn.AGGREGATE(9,6,CH229:CS229)-_xlfn.AGGREGATE(9,6,BV229:CG229)+12</f>
        <v>263</v>
      </c>
      <c r="BD229" s="2" t="s">
        <v>23</v>
      </c>
      <c r="BE229" s="3" t="s">
        <v>1370</v>
      </c>
      <c r="BF229" s="118" t="s">
        <v>23</v>
      </c>
      <c r="BG229" s="49" t="s">
        <v>1373</v>
      </c>
      <c r="BH229" s="49" t="s">
        <v>1373</v>
      </c>
      <c r="BI229" s="1"/>
      <c r="BJ229" s="70" t="s">
        <v>1283</v>
      </c>
      <c r="BK229" s="57" t="s">
        <v>1283</v>
      </c>
      <c r="BL229" s="57" t="s">
        <v>1283</v>
      </c>
      <c r="BM229" s="57" t="s">
        <v>1283</v>
      </c>
      <c r="BN229" s="57" t="s">
        <v>1283</v>
      </c>
      <c r="BO229" s="57" t="s">
        <v>1283</v>
      </c>
      <c r="BP229" s="57" t="s">
        <v>1283</v>
      </c>
      <c r="BQ229" s="57" t="s">
        <v>1283</v>
      </c>
      <c r="BR229" s="57" t="s">
        <v>1283</v>
      </c>
      <c r="BS229" s="57" t="s">
        <v>1283</v>
      </c>
      <c r="BT229" s="57" t="s">
        <v>1283</v>
      </c>
      <c r="BU229" s="57" t="s">
        <v>1283</v>
      </c>
      <c r="BV229" s="70">
        <f>E229</f>
        <v>31</v>
      </c>
      <c r="BW229" s="71">
        <f>I229</f>
        <v>63</v>
      </c>
      <c r="BX229" s="72">
        <f>M229</f>
        <v>67</v>
      </c>
      <c r="BY229" s="71">
        <f>Q229</f>
        <v>100</v>
      </c>
      <c r="BZ229" s="72">
        <f>U229</f>
        <v>104</v>
      </c>
      <c r="CA229" s="71">
        <f>Y229</f>
        <v>140</v>
      </c>
      <c r="CB229" s="72">
        <f>AC229</f>
        <v>148</v>
      </c>
      <c r="CC229" s="71">
        <f>AG229</f>
        <v>185</v>
      </c>
      <c r="CD229" s="72">
        <f>AK229</f>
        <v>189</v>
      </c>
      <c r="CE229" s="71">
        <f>AO229</f>
        <v>383</v>
      </c>
      <c r="CF229" s="72">
        <f>AS229</f>
        <v>426</v>
      </c>
      <c r="CG229" s="71">
        <f>AW229</f>
        <v>452</v>
      </c>
      <c r="CH229" s="70">
        <f>G229</f>
        <v>62</v>
      </c>
      <c r="CI229" s="71">
        <f>K229</f>
        <v>66</v>
      </c>
      <c r="CJ229" s="72">
        <f>O229</f>
        <v>98</v>
      </c>
      <c r="CK229" s="72">
        <f>S229</f>
        <v>103</v>
      </c>
      <c r="CL229" s="72">
        <f>W229</f>
        <v>139</v>
      </c>
      <c r="CM229" s="72">
        <f>AA229</f>
        <v>147</v>
      </c>
      <c r="CN229" s="72">
        <f>AE229</f>
        <v>173</v>
      </c>
      <c r="CO229" s="72">
        <f>AI229</f>
        <v>187</v>
      </c>
      <c r="CP229" s="72">
        <f>AM229</f>
        <v>229</v>
      </c>
      <c r="CQ229" s="72">
        <f>AQ229</f>
        <v>420</v>
      </c>
      <c r="CR229" s="72">
        <f>AU229</f>
        <v>451</v>
      </c>
      <c r="CS229" s="72">
        <f>AY229</f>
        <v>464</v>
      </c>
      <c r="CT229" s="23">
        <f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>CONCATENATE(B230,"_",C230)</f>
        <v>drd4_human_5WIU</v>
      </c>
      <c r="B230" s="3" t="s">
        <v>193</v>
      </c>
      <c r="C230" s="3" t="s">
        <v>1440</v>
      </c>
      <c r="D230" s="3" t="str">
        <f>IFERROR(MID(VLOOKUP($B230,Seqs!$A:$B,2,0),E230,1),"")</f>
        <v>G</v>
      </c>
      <c r="E230" s="3">
        <v>34</v>
      </c>
      <c r="F230" s="3" t="str">
        <f>IFERROR(MID(VLOOKUP($B230,Seqs!$A:$B,2,0),G230,1),"")</f>
        <v>E</v>
      </c>
      <c r="G230" s="3">
        <v>62</v>
      </c>
      <c r="H230" s="3" t="str">
        <f>IFERROR(MID(VLOOKUP($B230,Seqs!$A:$B,2,0),I230,1),"")</f>
        <v>R</v>
      </c>
      <c r="I230" s="23">
        <v>63</v>
      </c>
      <c r="J230" s="3" t="str">
        <f>IFERROR(MID(VLOOKUP($B230,Seqs!$A:$B,2,0),K230,1),"")</f>
        <v>Q</v>
      </c>
      <c r="K230" s="23">
        <v>66</v>
      </c>
      <c r="L230" s="3" t="str">
        <f>IFERROR(MID(VLOOKUP($B230,Seqs!$A:$B,2,0),M230,1),"")</f>
        <v>T</v>
      </c>
      <c r="M230" s="3">
        <v>67</v>
      </c>
      <c r="N230" s="3" t="str">
        <f>IFERROR(MID(VLOOKUP($B230,Seqs!$A:$B,2,0),O230,1),"")</f>
        <v>G</v>
      </c>
      <c r="O230" s="3">
        <v>98</v>
      </c>
      <c r="P230" s="3" t="str">
        <f>IFERROR(MID(VLOOKUP($B230,Seqs!$A:$B,2,0),Q230,1),"")</f>
        <v>A</v>
      </c>
      <c r="Q230" s="3">
        <v>100</v>
      </c>
      <c r="R230" s="3" t="str">
        <f>IFERROR(MID(VLOOKUP($B230,Seqs!$A:$B,2,0),S230,1),"")</f>
        <v>L</v>
      </c>
      <c r="S230" s="3">
        <v>103</v>
      </c>
      <c r="T230" s="3" t="str">
        <f>IFERROR(MID(VLOOKUP($B230,Seqs!$A:$B,2,0),U230,1),"")</f>
        <v>S</v>
      </c>
      <c r="U230" s="3">
        <v>104</v>
      </c>
      <c r="V230" s="3" t="str">
        <f>IFERROR(MID(VLOOKUP($B230,Seqs!$A:$B,2,0),W230,1),"")</f>
        <v>V</v>
      </c>
      <c r="W230" s="3">
        <v>139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R</v>
      </c>
      <c r="AC230" s="3">
        <v>150</v>
      </c>
      <c r="AD230" s="3" t="str">
        <f>IFERROR(MID(VLOOKUP($B230,Seqs!$A:$B,2,0),AE230,1),"")</f>
        <v>G</v>
      </c>
      <c r="AE230" s="3">
        <v>173</v>
      </c>
      <c r="AF230" s="3" t="str">
        <f>IFERROR(MID(VLOOKUP($B230,Seqs!$A:$B,2,0),AG230,1),"")</f>
        <v>C</v>
      </c>
      <c r="AG230" s="3">
        <v>185</v>
      </c>
      <c r="AH230" s="3" t="str">
        <f>IFERROR(MID(VLOOKUP($B230,Seqs!$A:$B,2,0),AI230,1),"")</f>
        <v>L</v>
      </c>
      <c r="AI230" s="3">
        <v>187</v>
      </c>
      <c r="AJ230" s="3" t="str">
        <f>IFERROR(MID(VLOOKUP($B230,Seqs!$A:$B,2,0),AK230,1),"")</f>
        <v>D</v>
      </c>
      <c r="AK230" s="3">
        <v>189</v>
      </c>
      <c r="AL230" s="3" t="str">
        <f>IFERROR(MID(VLOOKUP($B230,Seqs!$A:$B,2,0),AM230,1),"")</f>
        <v>W</v>
      </c>
      <c r="AM230" s="3">
        <v>222</v>
      </c>
      <c r="AN230" s="3" t="str">
        <f>IFERROR(MID(VLOOKUP($B230,Seqs!$A:$B,2,0),AO230,1),"")</f>
        <v>V</v>
      </c>
      <c r="AO230" s="3">
        <v>395</v>
      </c>
      <c r="AP230" s="3" t="str">
        <f>IFERROR(MID(VLOOKUP($B230,Seqs!$A:$B,2,0),AQ230,1),"")</f>
        <v>C</v>
      </c>
      <c r="AQ230" s="3">
        <v>420</v>
      </c>
      <c r="AR230" s="3" t="str">
        <f>IFERROR(MID(VLOOKUP($B230,Seqs!$A:$B,2,0),AS230,1),"")</f>
        <v>P</v>
      </c>
      <c r="AS230" s="3">
        <v>426</v>
      </c>
      <c r="AT230" s="3" t="str">
        <f>IFERROR(MID(VLOOKUP($B230,Seqs!$A:$B,2,0),AU230,1),"")</f>
        <v>F</v>
      </c>
      <c r="AU230" s="3">
        <v>451</v>
      </c>
      <c r="AV230" s="3" t="str">
        <f>IFERROR(MID(VLOOKUP($B230,Seqs!$A:$B,2,0),AW230,1),"")</f>
        <v>N</v>
      </c>
      <c r="AW230" s="3">
        <v>452</v>
      </c>
      <c r="AX230" s="3" t="str">
        <f>IFERROR(MID(VLOOKUP($B230,Seqs!$A:$B,2,0),AY230,1),"")</f>
        <v>R</v>
      </c>
      <c r="AY230" s="3">
        <v>460</v>
      </c>
      <c r="AZ230" s="77" t="str">
        <f>VLOOKUP(B230,Classification!A:D,2,0)</f>
        <v>A</v>
      </c>
      <c r="BA230" s="94" t="str">
        <f>VLOOKUP(B230,Classification!A:D,4,0)</f>
        <v>Dopamine</v>
      </c>
      <c r="BB230" s="27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>_xlfn.AGGREGATE(9,6,CH230:CS230)-_xlfn.AGGREGATE(9,6,BV230:CG230)+12</f>
        <v>228</v>
      </c>
      <c r="BD230" s="2" t="s">
        <v>23</v>
      </c>
      <c r="BE230" s="3" t="s">
        <v>1370</v>
      </c>
      <c r="BF230" s="118">
        <v>1.96</v>
      </c>
      <c r="BG230" s="49" t="s">
        <v>1</v>
      </c>
      <c r="BH230" s="49" t="s">
        <v>1373</v>
      </c>
      <c r="BI230" s="1"/>
      <c r="BJ230" s="70" t="s">
        <v>1283</v>
      </c>
      <c r="BK230" s="57" t="s">
        <v>1283</v>
      </c>
      <c r="BL230" s="57" t="s">
        <v>1283</v>
      </c>
      <c r="BM230" s="57" t="s">
        <v>1283</v>
      </c>
      <c r="BN230" s="57" t="s">
        <v>1283</v>
      </c>
      <c r="BO230" s="57" t="s">
        <v>1283</v>
      </c>
      <c r="BP230" s="57" t="s">
        <v>1283</v>
      </c>
      <c r="BQ230" s="57" t="s">
        <v>1283</v>
      </c>
      <c r="BR230" s="57" t="s">
        <v>1283</v>
      </c>
      <c r="BS230" s="57" t="s">
        <v>1283</v>
      </c>
      <c r="BT230" s="57" t="s">
        <v>1283</v>
      </c>
      <c r="BU230" s="57" t="s">
        <v>1283</v>
      </c>
      <c r="BV230" s="70">
        <f>E230</f>
        <v>34</v>
      </c>
      <c r="BW230" s="71">
        <f>I230</f>
        <v>63</v>
      </c>
      <c r="BX230" s="72">
        <f>M230</f>
        <v>67</v>
      </c>
      <c r="BY230" s="71">
        <f>Q230</f>
        <v>100</v>
      </c>
      <c r="BZ230" s="72">
        <f>U230</f>
        <v>104</v>
      </c>
      <c r="CA230" s="71" t="str">
        <f>Y230</f>
        <v>-</v>
      </c>
      <c r="CB230" s="72">
        <f>AC230</f>
        <v>150</v>
      </c>
      <c r="CC230" s="71">
        <f>AG230</f>
        <v>185</v>
      </c>
      <c r="CD230" s="72">
        <f>AK230</f>
        <v>189</v>
      </c>
      <c r="CE230" s="71">
        <f>AO230</f>
        <v>395</v>
      </c>
      <c r="CF230" s="72">
        <f>AS230</f>
        <v>426</v>
      </c>
      <c r="CG230" s="71">
        <f>AW230</f>
        <v>452</v>
      </c>
      <c r="CH230" s="70">
        <f>G230</f>
        <v>62</v>
      </c>
      <c r="CI230" s="71">
        <f>K230</f>
        <v>66</v>
      </c>
      <c r="CJ230" s="72">
        <f>O230</f>
        <v>98</v>
      </c>
      <c r="CK230" s="72">
        <f>S230</f>
        <v>103</v>
      </c>
      <c r="CL230" s="72">
        <f>W230</f>
        <v>139</v>
      </c>
      <c r="CM230" s="72" t="str">
        <f>AA230</f>
        <v>-</v>
      </c>
      <c r="CN230" s="72">
        <f>AE230</f>
        <v>173</v>
      </c>
      <c r="CO230" s="72">
        <f>AI230</f>
        <v>187</v>
      </c>
      <c r="CP230" s="72">
        <f>AM230</f>
        <v>222</v>
      </c>
      <c r="CQ230" s="72">
        <f>AQ230</f>
        <v>420</v>
      </c>
      <c r="CR230" s="72">
        <f>AU230</f>
        <v>451</v>
      </c>
      <c r="CS230" s="72">
        <f>AY230</f>
        <v>460</v>
      </c>
      <c r="CT230" s="23">
        <f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>CONCATENATE(B231,"_",C231)</f>
        <v>drd4_human_5WIV</v>
      </c>
      <c r="B231" s="3" t="s">
        <v>193</v>
      </c>
      <c r="C231" s="3" t="s">
        <v>1442</v>
      </c>
      <c r="D231" s="3" t="str">
        <f>IFERROR(MID(VLOOKUP($B231,Seqs!$A:$B,2,0),E231,1),"")</f>
        <v>G</v>
      </c>
      <c r="E231" s="3">
        <v>32</v>
      </c>
      <c r="F231" s="3" t="str">
        <f>IFERROR(MID(VLOOKUP($B231,Seqs!$A:$B,2,0),G231,1),"")</f>
        <v>E</v>
      </c>
      <c r="G231" s="3">
        <v>62</v>
      </c>
      <c r="H231" s="3" t="str">
        <f>IFERROR(MID(VLOOKUP($B231,Seqs!$A:$B,2,0),I231,1),"")</f>
        <v>R</v>
      </c>
      <c r="I231" s="23">
        <v>63</v>
      </c>
      <c r="J231" s="3" t="str">
        <f>IFERROR(MID(VLOOKUP($B231,Seqs!$A:$B,2,0),K231,1),"")</f>
        <v>Q</v>
      </c>
      <c r="K231" s="23">
        <v>66</v>
      </c>
      <c r="L231" s="3" t="str">
        <f>IFERROR(MID(VLOOKUP($B231,Seqs!$A:$B,2,0),M231,1),"")</f>
        <v>T</v>
      </c>
      <c r="M231" s="3">
        <v>67</v>
      </c>
      <c r="N231" s="3" t="str">
        <f>IFERROR(MID(VLOOKUP($B231,Seqs!$A:$B,2,0),O231,1),"")</f>
        <v>G</v>
      </c>
      <c r="O231" s="3">
        <v>98</v>
      </c>
      <c r="P231" s="3" t="str">
        <f>IFERROR(MID(VLOOKUP($B231,Seqs!$A:$B,2,0),Q231,1),"")</f>
        <v>A</v>
      </c>
      <c r="Q231" s="3">
        <v>100</v>
      </c>
      <c r="R231" s="3" t="str">
        <f>IFERROR(MID(VLOOKUP($B231,Seqs!$A:$B,2,0),S231,1),"")</f>
        <v>L</v>
      </c>
      <c r="S231" s="3">
        <v>103</v>
      </c>
      <c r="T231" s="3" t="str">
        <f>IFERROR(MID(VLOOKUP($B231,Seqs!$A:$B,2,0),U231,1),"")</f>
        <v>S</v>
      </c>
      <c r="U231" s="3">
        <v>104</v>
      </c>
      <c r="V231" s="3" t="str">
        <f>IFERROR(MID(VLOOKUP($B231,Seqs!$A:$B,2,0),W231,1),"")</f>
        <v>V</v>
      </c>
      <c r="W231" s="3">
        <v>139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R</v>
      </c>
      <c r="AC231" s="3">
        <v>150</v>
      </c>
      <c r="AD231" s="3" t="str">
        <f>IFERROR(MID(VLOOKUP($B231,Seqs!$A:$B,2,0),AE231,1),"")</f>
        <v>G</v>
      </c>
      <c r="AE231" s="3">
        <v>173</v>
      </c>
      <c r="AF231" s="3" t="str">
        <f>IFERROR(MID(VLOOKUP($B231,Seqs!$A:$B,2,0),AG231,1),"")</f>
        <v>C</v>
      </c>
      <c r="AG231" s="3">
        <v>185</v>
      </c>
      <c r="AH231" s="3" t="str">
        <f>IFERROR(MID(VLOOKUP($B231,Seqs!$A:$B,2,0),AI231,1),"")</f>
        <v>L</v>
      </c>
      <c r="AI231" s="3">
        <v>187</v>
      </c>
      <c r="AJ231" s="3" t="str">
        <f>IFERROR(MID(VLOOKUP($B231,Seqs!$A:$B,2,0),AK231,1),"")</f>
        <v>D</v>
      </c>
      <c r="AK231" s="3">
        <v>189</v>
      </c>
      <c r="AL231" s="3" t="str">
        <f>IFERROR(MID(VLOOKUP($B231,Seqs!$A:$B,2,0),AM231,1),"")</f>
        <v>W</v>
      </c>
      <c r="AM231" s="3">
        <v>222</v>
      </c>
      <c r="AN231" s="3" t="str">
        <f>IFERROR(MID(VLOOKUP($B231,Seqs!$A:$B,2,0),AO231,1),"")</f>
        <v>V</v>
      </c>
      <c r="AO231" s="3">
        <v>395</v>
      </c>
      <c r="AP231" s="3" t="str">
        <f>IFERROR(MID(VLOOKUP($B231,Seqs!$A:$B,2,0),AQ231,1),"")</f>
        <v>C</v>
      </c>
      <c r="AQ231" s="3">
        <v>420</v>
      </c>
      <c r="AR231" s="3" t="str">
        <f>IFERROR(MID(VLOOKUP($B231,Seqs!$A:$B,2,0),AS231,1),"")</f>
        <v>P</v>
      </c>
      <c r="AS231" s="3">
        <v>426</v>
      </c>
      <c r="AT231" s="3" t="str">
        <f>IFERROR(MID(VLOOKUP($B231,Seqs!$A:$B,2,0),AU231,1),"")</f>
        <v>F</v>
      </c>
      <c r="AU231" s="3">
        <v>451</v>
      </c>
      <c r="AV231" s="3" t="str">
        <f>IFERROR(MID(VLOOKUP($B231,Seqs!$A:$B,2,0),AW231,1),"")</f>
        <v>N</v>
      </c>
      <c r="AW231" s="3">
        <v>452</v>
      </c>
      <c r="AX231" s="3" t="str">
        <f>IFERROR(MID(VLOOKUP($B231,Seqs!$A:$B,2,0),AY231,1),"")</f>
        <v>A</v>
      </c>
      <c r="AY231" s="3">
        <v>462</v>
      </c>
      <c r="AZ231" s="77" t="str">
        <f>VLOOKUP(B231,Classification!A:D,2,0)</f>
        <v>A</v>
      </c>
      <c r="BA231" s="94" t="str">
        <f>VLOOKUP(B231,Classification!A:D,4,0)</f>
        <v>Dopamine</v>
      </c>
      <c r="BB231" s="27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>_xlfn.AGGREGATE(9,6,CH231:CS231)-_xlfn.AGGREGATE(9,6,BV231:CG231)+12</f>
        <v>232</v>
      </c>
      <c r="BD231" s="2" t="s">
        <v>1372</v>
      </c>
      <c r="BE231" s="3" t="s">
        <v>1370</v>
      </c>
      <c r="BF231" s="118">
        <v>2.14</v>
      </c>
      <c r="BG231" s="49" t="s">
        <v>1</v>
      </c>
      <c r="BH231" s="49" t="s">
        <v>1373</v>
      </c>
      <c r="BI231" s="1"/>
      <c r="BJ231" s="70" t="s">
        <v>1283</v>
      </c>
      <c r="BK231" s="57" t="s">
        <v>1283</v>
      </c>
      <c r="BL231" s="57" t="s">
        <v>1283</v>
      </c>
      <c r="BM231" s="57" t="s">
        <v>1283</v>
      </c>
      <c r="BN231" s="57" t="s">
        <v>1283</v>
      </c>
      <c r="BO231" s="57" t="s">
        <v>1283</v>
      </c>
      <c r="BP231" s="57" t="s">
        <v>1283</v>
      </c>
      <c r="BQ231" s="57" t="s">
        <v>1283</v>
      </c>
      <c r="BR231" s="57" t="s">
        <v>1283</v>
      </c>
      <c r="BS231" s="57" t="s">
        <v>1283</v>
      </c>
      <c r="BT231" s="57" t="s">
        <v>1283</v>
      </c>
      <c r="BU231" s="57" t="s">
        <v>1283</v>
      </c>
      <c r="BV231" s="70">
        <f>E231</f>
        <v>32</v>
      </c>
      <c r="BW231" s="71">
        <f>I231</f>
        <v>63</v>
      </c>
      <c r="BX231" s="72">
        <f>M231</f>
        <v>67</v>
      </c>
      <c r="BY231" s="71">
        <f>Q231</f>
        <v>100</v>
      </c>
      <c r="BZ231" s="72">
        <f>U231</f>
        <v>104</v>
      </c>
      <c r="CA231" s="71" t="str">
        <f>Y231</f>
        <v>-</v>
      </c>
      <c r="CB231" s="72">
        <f>AC231</f>
        <v>150</v>
      </c>
      <c r="CC231" s="71">
        <f>AG231</f>
        <v>185</v>
      </c>
      <c r="CD231" s="72">
        <f>AK231</f>
        <v>189</v>
      </c>
      <c r="CE231" s="71">
        <f>AO231</f>
        <v>395</v>
      </c>
      <c r="CF231" s="72">
        <f>AS231</f>
        <v>426</v>
      </c>
      <c r="CG231" s="71">
        <f>AW231</f>
        <v>452</v>
      </c>
      <c r="CH231" s="70">
        <f>G231</f>
        <v>62</v>
      </c>
      <c r="CI231" s="71">
        <f>K231</f>
        <v>66</v>
      </c>
      <c r="CJ231" s="72">
        <f>O231</f>
        <v>98</v>
      </c>
      <c r="CK231" s="72">
        <f>S231</f>
        <v>103</v>
      </c>
      <c r="CL231" s="72">
        <f>W231</f>
        <v>139</v>
      </c>
      <c r="CM231" s="72" t="str">
        <f>AA231</f>
        <v>-</v>
      </c>
      <c r="CN231" s="72">
        <f>AE231</f>
        <v>173</v>
      </c>
      <c r="CO231" s="72">
        <f>AI231</f>
        <v>187</v>
      </c>
      <c r="CP231" s="72">
        <f>AM231</f>
        <v>222</v>
      </c>
      <c r="CQ231" s="72">
        <f>AQ231</f>
        <v>420</v>
      </c>
      <c r="CR231" s="72">
        <f>AU231</f>
        <v>451</v>
      </c>
      <c r="CS231" s="72">
        <f>AY231</f>
        <v>462</v>
      </c>
      <c r="CT231" s="23">
        <f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s="12" customFormat="1" x14ac:dyDescent="0.2">
      <c r="A232" s="9" t="str">
        <f>CONCATENATE(B232,"_",C232)</f>
        <v>drd4_mouse__wt</v>
      </c>
      <c r="B232" s="9" t="s">
        <v>1690</v>
      </c>
      <c r="C232" s="9" t="s">
        <v>100</v>
      </c>
      <c r="D232" s="9" t="str">
        <f>IFERROR(MID(VLOOKUP($B232,Seqs!$A:$B,2,0),E232,1),"")</f>
        <v>G</v>
      </c>
      <c r="E232" s="9">
        <v>28</v>
      </c>
      <c r="F232" s="9" t="str">
        <f>IFERROR(MID(VLOOKUP($B232,Seqs!$A:$B,2,0),G232,1),"")</f>
        <v>E</v>
      </c>
      <c r="G232" s="9">
        <v>59</v>
      </c>
      <c r="H232" s="9" t="str">
        <f>IFERROR(MID(VLOOKUP($B232,Seqs!$A:$B,2,0),I232,1),"")</f>
        <v>R</v>
      </c>
      <c r="I232" s="109">
        <v>60</v>
      </c>
      <c r="J232" s="9" t="str">
        <f>IFERROR(MID(VLOOKUP($B232,Seqs!$A:$B,2,0),K232,1),"")</f>
        <v>Q</v>
      </c>
      <c r="K232" s="109">
        <v>63</v>
      </c>
      <c r="L232" s="9" t="str">
        <f>IFERROR(MID(VLOOKUP($B232,Seqs!$A:$B,2,0),M232,1),"")</f>
        <v>T</v>
      </c>
      <c r="M232" s="9">
        <v>64</v>
      </c>
      <c r="N232" s="9" t="str">
        <f>IFERROR(MID(VLOOKUP($B232,Seqs!$A:$B,2,0),O232,1),"")</f>
        <v>G</v>
      </c>
      <c r="O232" s="9">
        <v>95</v>
      </c>
      <c r="P232" s="9" t="str">
        <f>IFERROR(MID(VLOOKUP($B232,Seqs!$A:$B,2,0),Q232,1),"")</f>
        <v>V</v>
      </c>
      <c r="Q232" s="9">
        <v>97</v>
      </c>
      <c r="R232" s="9" t="str">
        <f>IFERROR(MID(VLOOKUP($B232,Seqs!$A:$B,2,0),S232,1),"")</f>
        <v>L</v>
      </c>
      <c r="S232" s="9">
        <v>100</v>
      </c>
      <c r="T232" s="9" t="str">
        <f>IFERROR(MID(VLOOKUP($B232,Seqs!$A:$B,2,0),U232,1),"")</f>
        <v>S</v>
      </c>
      <c r="U232" s="9">
        <v>101</v>
      </c>
      <c r="V232" s="9" t="str">
        <f>IFERROR(MID(VLOOKUP($B232,Seqs!$A:$B,2,0),W232,1),"")</f>
        <v>V</v>
      </c>
      <c r="W232" s="9">
        <v>136</v>
      </c>
      <c r="X232" s="9" t="str">
        <f>IFERROR(MID(VLOOKUP($B232,Seqs!$A:$B,2,0),Y232,1),"")</f>
        <v>P</v>
      </c>
      <c r="Y232" s="9">
        <v>137</v>
      </c>
      <c r="Z232" s="9" t="str">
        <f>IFERROR(MID(VLOOKUP($B232,Seqs!$A:$B,2,0),AA232,1),"")</f>
        <v>Y</v>
      </c>
      <c r="AA232" s="9">
        <v>140</v>
      </c>
      <c r="AB232" s="9" t="str">
        <f>IFERROR(MID(VLOOKUP($B232,Seqs!$A:$B,2,0),AC232,1),"")</f>
        <v>N</v>
      </c>
      <c r="AC232" s="9">
        <v>141</v>
      </c>
      <c r="AD232" s="9" t="str">
        <f>IFERROR(MID(VLOOKUP($B232,Seqs!$A:$B,2,0),AE232,1),"")</f>
        <v>G</v>
      </c>
      <c r="AE232" s="9">
        <v>168</v>
      </c>
      <c r="AF232" s="9" t="str">
        <f>IFERROR(MID(VLOOKUP($B232,Seqs!$A:$B,2,0),AG232,1),"")</f>
        <v>C</v>
      </c>
      <c r="AG232" s="9">
        <v>180</v>
      </c>
      <c r="AH232" s="9" t="str">
        <f>IFERROR(MID(VLOOKUP($B232,Seqs!$A:$B,2,0),AI232,1),"")</f>
        <v>L</v>
      </c>
      <c r="AI232" s="9">
        <v>182</v>
      </c>
      <c r="AJ232" s="9" t="str">
        <f>IFERROR(MID(VLOOKUP($B232,Seqs!$A:$B,2,0),AK232,1),"")</f>
        <v>N</v>
      </c>
      <c r="AK232" s="9">
        <v>184</v>
      </c>
      <c r="AL232" s="9" t="str">
        <f>IFERROR(MID(VLOOKUP($B232,Seqs!$A:$B,2,0),AM232,1),"")</f>
        <v>L</v>
      </c>
      <c r="AM232" s="9">
        <v>225</v>
      </c>
      <c r="AN232" s="9" t="str">
        <f>IFERROR(MID(VLOOKUP($B232,Seqs!$A:$B,2,0),AO232,1),"")</f>
        <v>A</v>
      </c>
      <c r="AO232" s="9">
        <v>303</v>
      </c>
      <c r="AP232" s="9" t="str">
        <f>IFERROR(MID(VLOOKUP($B232,Seqs!$A:$B,2,0),AQ232,1),"")</f>
        <v>C</v>
      </c>
      <c r="AQ232" s="9">
        <v>340</v>
      </c>
      <c r="AR232" s="9" t="str">
        <f>IFERROR(MID(VLOOKUP($B232,Seqs!$A:$B,2,0),AS232,1),"")</f>
        <v>S</v>
      </c>
      <c r="AS232" s="9">
        <v>346</v>
      </c>
      <c r="AT232" s="9" t="str">
        <f>IFERROR(MID(VLOOKUP($B232,Seqs!$A:$B,2,0),AU232,1),"")</f>
        <v>F</v>
      </c>
      <c r="AU232" s="9">
        <v>371</v>
      </c>
      <c r="AV232" s="9" t="str">
        <f>IFERROR(MID(VLOOKUP($B232,Seqs!$A:$B,2,0),AW232,1),"")</f>
        <v>N</v>
      </c>
      <c r="AW232" s="9">
        <v>372</v>
      </c>
      <c r="AX232" s="9" t="str">
        <f>IFERROR(MID(VLOOKUP($B232,Seqs!$A:$B,2,0),AY232,1),"")</f>
        <v>R</v>
      </c>
      <c r="AY232" s="9">
        <v>384</v>
      </c>
      <c r="AZ232" s="110" t="str">
        <f>VLOOKUP(B232,Classification!A:D,2,0)</f>
        <v>A</v>
      </c>
      <c r="BA232" s="98" t="str">
        <f>VLOOKUP(B232,Classification!A:D,4,0)</f>
        <v>Dopamine</v>
      </c>
      <c r="BB232" s="36" t="b">
        <f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09">
        <f>_xlfn.AGGREGATE(9,6,CH232:CS232)-_xlfn.AGGREGATE(9,6,BV232:CG232)+12</f>
        <v>262</v>
      </c>
      <c r="BD232" s="40" t="s">
        <v>23</v>
      </c>
      <c r="BE232" s="9" t="s">
        <v>23</v>
      </c>
      <c r="BF232" s="119" t="s">
        <v>23</v>
      </c>
      <c r="BG232" s="51" t="s">
        <v>23</v>
      </c>
      <c r="BH232" s="51" t="s">
        <v>23</v>
      </c>
      <c r="BJ232" s="111" t="s">
        <v>1283</v>
      </c>
      <c r="BK232" s="112" t="s">
        <v>1283</v>
      </c>
      <c r="BL232" s="112" t="s">
        <v>1283</v>
      </c>
      <c r="BM232" s="112" t="s">
        <v>1283</v>
      </c>
      <c r="BN232" s="112" t="s">
        <v>1283</v>
      </c>
      <c r="BO232" s="112" t="s">
        <v>1283</v>
      </c>
      <c r="BP232" s="112" t="s">
        <v>1283</v>
      </c>
      <c r="BQ232" s="112" t="s">
        <v>1283</v>
      </c>
      <c r="BR232" s="112" t="s">
        <v>1283</v>
      </c>
      <c r="BS232" s="112" t="s">
        <v>1283</v>
      </c>
      <c r="BT232" s="112" t="s">
        <v>1283</v>
      </c>
      <c r="BU232" s="112" t="s">
        <v>1283</v>
      </c>
      <c r="BV232" s="111">
        <f>E232</f>
        <v>28</v>
      </c>
      <c r="BW232" s="113">
        <f>I232</f>
        <v>60</v>
      </c>
      <c r="BX232" s="114">
        <f>M232</f>
        <v>64</v>
      </c>
      <c r="BY232" s="113">
        <f>Q232</f>
        <v>97</v>
      </c>
      <c r="BZ232" s="114">
        <f>U232</f>
        <v>101</v>
      </c>
      <c r="CA232" s="113">
        <f>Y232</f>
        <v>137</v>
      </c>
      <c r="CB232" s="114">
        <f>AC232</f>
        <v>141</v>
      </c>
      <c r="CC232" s="113">
        <f>AG232</f>
        <v>180</v>
      </c>
      <c r="CD232" s="114">
        <f>AK232</f>
        <v>184</v>
      </c>
      <c r="CE232" s="113">
        <f>AO232</f>
        <v>303</v>
      </c>
      <c r="CF232" s="114">
        <f>AS232</f>
        <v>346</v>
      </c>
      <c r="CG232" s="113">
        <f>AW232</f>
        <v>372</v>
      </c>
      <c r="CH232" s="111">
        <f>G232</f>
        <v>59</v>
      </c>
      <c r="CI232" s="113">
        <f>K232</f>
        <v>63</v>
      </c>
      <c r="CJ232" s="114">
        <f>O232</f>
        <v>95</v>
      </c>
      <c r="CK232" s="114">
        <f>S232</f>
        <v>100</v>
      </c>
      <c r="CL232" s="114">
        <f>W232</f>
        <v>136</v>
      </c>
      <c r="CM232" s="114">
        <f>AA232</f>
        <v>140</v>
      </c>
      <c r="CN232" s="114">
        <f>AE232</f>
        <v>168</v>
      </c>
      <c r="CO232" s="114">
        <f>AI232</f>
        <v>182</v>
      </c>
      <c r="CP232" s="114">
        <f>AM232</f>
        <v>225</v>
      </c>
      <c r="CQ232" s="114">
        <f>AQ232</f>
        <v>340</v>
      </c>
      <c r="CR232" s="114">
        <f>AU232</f>
        <v>371</v>
      </c>
      <c r="CS232" s="114">
        <f>AY232</f>
        <v>384</v>
      </c>
      <c r="CT232" s="109">
        <f>M232-K232</f>
        <v>1</v>
      </c>
    </row>
    <row r="233" spans="1:1029" s="12" customFormat="1" x14ac:dyDescent="0.2">
      <c r="A233" s="9" t="str">
        <f>CONCATENATE(B233,"_",C233)</f>
        <v>drd4_mouse_6IQL</v>
      </c>
      <c r="B233" s="9" t="s">
        <v>1690</v>
      </c>
      <c r="C233" s="9" t="s">
        <v>1682</v>
      </c>
      <c r="D233" s="9" t="str">
        <f>IFERROR(MID(VLOOKUP($B233,Seqs!$A:$B,2,0),E233,1),"")</f>
        <v>A</v>
      </c>
      <c r="E233" s="9">
        <v>32</v>
      </c>
      <c r="F233" s="9" t="str">
        <f>IFERROR(MID(VLOOKUP($B233,Seqs!$A:$B,2,0),G233,1),"")</f>
        <v>E</v>
      </c>
      <c r="G233" s="9">
        <v>59</v>
      </c>
      <c r="H233" s="9" t="str">
        <f>IFERROR(MID(VLOOKUP($B233,Seqs!$A:$B,2,0),I233,1),"")</f>
        <v/>
      </c>
      <c r="I233" s="109" t="s">
        <v>23</v>
      </c>
      <c r="J233" s="9" t="str">
        <f>IFERROR(MID(VLOOKUP($B233,Seqs!$A:$B,2,0),K233,1),"")</f>
        <v/>
      </c>
      <c r="K233" s="109" t="s">
        <v>23</v>
      </c>
      <c r="L233" s="9" t="str">
        <f>IFERROR(MID(VLOOKUP($B233,Seqs!$A:$B,2,0),M233,1),"")</f>
        <v>T</v>
      </c>
      <c r="M233" s="9">
        <v>64</v>
      </c>
      <c r="N233" s="9" t="str">
        <f>IFERROR(MID(VLOOKUP($B233,Seqs!$A:$B,2,0),O233,1),"")</f>
        <v>Q</v>
      </c>
      <c r="O233" s="9">
        <v>94</v>
      </c>
      <c r="P233" s="9" t="str">
        <f>IFERROR(MID(VLOOKUP($B233,Seqs!$A:$B,2,0),Q233,1),"")</f>
        <v>V</v>
      </c>
      <c r="Q233" s="9">
        <v>97</v>
      </c>
      <c r="R233" s="9" t="str">
        <f>IFERROR(MID(VLOOKUP($B233,Seqs!$A:$B,2,0),S233,1),"")</f>
        <v>L</v>
      </c>
      <c r="S233" s="9">
        <v>100</v>
      </c>
      <c r="T233" s="9" t="str">
        <f>IFERROR(MID(VLOOKUP($B233,Seqs!$A:$B,2,0),U233,1),"")</f>
        <v>P</v>
      </c>
      <c r="U233" s="9">
        <v>102</v>
      </c>
      <c r="V233" s="9" t="str">
        <f>IFERROR(MID(VLOOKUP($B233,Seqs!$A:$B,2,0),W233,1),"")</f>
        <v>R</v>
      </c>
      <c r="W233" s="9">
        <v>130</v>
      </c>
      <c r="X233" s="9" t="str">
        <f>IFERROR(MID(VLOOKUP($B233,Seqs!$A:$B,2,0),Y233,1),"")</f>
        <v/>
      </c>
      <c r="Y233" s="9" t="s">
        <v>23</v>
      </c>
      <c r="Z233" s="9" t="str">
        <f>IFERROR(MID(VLOOKUP($B233,Seqs!$A:$B,2,0),AA233,1),"")</f>
        <v/>
      </c>
      <c r="AA233" s="9" t="s">
        <v>23</v>
      </c>
      <c r="AB233" s="9" t="str">
        <f>IFERROR(MID(VLOOKUP($B233,Seqs!$A:$B,2,0),AC233,1),"")</f>
        <v>Q</v>
      </c>
      <c r="AC233" s="9">
        <v>147</v>
      </c>
      <c r="AD233" s="9" t="str">
        <f>IFERROR(MID(VLOOKUP($B233,Seqs!$A:$B,2,0),AE233,1),"")</f>
        <v>S</v>
      </c>
      <c r="AE233" s="9">
        <v>163</v>
      </c>
      <c r="AF233" s="9" t="str">
        <f>IFERROR(MID(VLOOKUP($B233,Seqs!$A:$B,2,0),AG233,1),"")</f>
        <v/>
      </c>
      <c r="AG233" s="9" t="s">
        <v>23</v>
      </c>
      <c r="AH233" s="9" t="str">
        <f>IFERROR(MID(VLOOKUP($B233,Seqs!$A:$B,2,0),AI233,1),"")</f>
        <v/>
      </c>
      <c r="AI233" s="9" t="s">
        <v>23</v>
      </c>
      <c r="AJ233" s="9" t="str">
        <f>IFERROR(MID(VLOOKUP($B233,Seqs!$A:$B,2,0),AK233,1),"")</f>
        <v>Y</v>
      </c>
      <c r="AK233" s="9">
        <v>187</v>
      </c>
      <c r="AL233" s="9" t="str">
        <f>IFERROR(MID(VLOOKUP($B233,Seqs!$A:$B,2,0),AM233,1),"")</f>
        <v>E</v>
      </c>
      <c r="AM233" s="9">
        <v>218</v>
      </c>
      <c r="AN233" s="9" t="str">
        <f>IFERROR(MID(VLOOKUP($B233,Seqs!$A:$B,2,0),AO233,1),"")</f>
        <v>K</v>
      </c>
      <c r="AO233" s="9">
        <v>304</v>
      </c>
      <c r="AP233" s="9" t="str">
        <f>IFERROR(MID(VLOOKUP($B233,Seqs!$A:$B,2,0),AQ233,1),"")</f>
        <v>C</v>
      </c>
      <c r="AQ233" s="9">
        <v>340</v>
      </c>
      <c r="AR233" s="9" t="str">
        <f>IFERROR(MID(VLOOKUP($B233,Seqs!$A:$B,2,0),AS233,1),"")</f>
        <v>S</v>
      </c>
      <c r="AS233" s="9">
        <v>346</v>
      </c>
      <c r="AT233" s="9" t="str">
        <f>IFERROR(MID(VLOOKUP($B233,Seqs!$A:$B,2,0),AU233,1),"")</f>
        <v>T</v>
      </c>
      <c r="AU233" s="9">
        <v>369</v>
      </c>
      <c r="AV233" s="9" t="str">
        <f>IFERROR(MID(VLOOKUP($B233,Seqs!$A:$B,2,0),AW233,1),"")</f>
        <v/>
      </c>
      <c r="AW233" s="9" t="s">
        <v>23</v>
      </c>
      <c r="AX233" s="9" t="str">
        <f>IFERROR(MID(VLOOKUP($B233,Seqs!$A:$B,2,0),AY233,1),"")</f>
        <v/>
      </c>
      <c r="AY233" s="9" t="s">
        <v>23</v>
      </c>
      <c r="AZ233" s="110" t="str">
        <f>VLOOKUP(B233,Classification!A:D,2,0)</f>
        <v>A</v>
      </c>
      <c r="BA233" s="98" t="str">
        <f>VLOOKUP(B233,Classification!A:D,4,0)</f>
        <v>Dopamine</v>
      </c>
      <c r="BB233" s="36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109">
        <f>_xlfn.AGGREGATE(9,6,CH233:CS233)-_xlfn.AGGREGATE(9,6,BV233:CG233)+12</f>
        <v>206</v>
      </c>
      <c r="BD233" s="40" t="s">
        <v>23</v>
      </c>
      <c r="BE233" s="9" t="s">
        <v>1370</v>
      </c>
      <c r="BF233" s="119">
        <v>3.5</v>
      </c>
      <c r="BG233" s="51" t="s">
        <v>1</v>
      </c>
      <c r="BH233" s="51" t="s">
        <v>1</v>
      </c>
      <c r="BJ233" s="111" t="s">
        <v>1283</v>
      </c>
      <c r="BK233" s="112" t="s">
        <v>1283</v>
      </c>
      <c r="BL233" s="112" t="s">
        <v>1283</v>
      </c>
      <c r="BM233" s="112" t="s">
        <v>1283</v>
      </c>
      <c r="BN233" s="112" t="s">
        <v>1283</v>
      </c>
      <c r="BO233" s="112" t="s">
        <v>1283</v>
      </c>
      <c r="BP233" s="112" t="s">
        <v>1283</v>
      </c>
      <c r="BQ233" s="112" t="s">
        <v>1283</v>
      </c>
      <c r="BR233" s="112" t="s">
        <v>1283</v>
      </c>
      <c r="BS233" s="112" t="s">
        <v>1283</v>
      </c>
      <c r="BT233" s="112" t="s">
        <v>1283</v>
      </c>
      <c r="BU233" s="112" t="s">
        <v>1283</v>
      </c>
      <c r="BV233" s="111">
        <f>E233</f>
        <v>32</v>
      </c>
      <c r="BW233" s="113" t="str">
        <f>I233</f>
        <v>-</v>
      </c>
      <c r="BX233" s="114">
        <f>M233</f>
        <v>64</v>
      </c>
      <c r="BY233" s="113">
        <f>Q233</f>
        <v>97</v>
      </c>
      <c r="BZ233" s="114">
        <f>U233</f>
        <v>102</v>
      </c>
      <c r="CA233" s="113" t="str">
        <f>Y233</f>
        <v>-</v>
      </c>
      <c r="CB233" s="114">
        <f>AC233</f>
        <v>147</v>
      </c>
      <c r="CC233" s="113" t="str">
        <f>AG233</f>
        <v>-</v>
      </c>
      <c r="CD233" s="114">
        <f>AK233</f>
        <v>187</v>
      </c>
      <c r="CE233" s="113">
        <f>AO233</f>
        <v>304</v>
      </c>
      <c r="CF233" s="114">
        <f>AS233</f>
        <v>346</v>
      </c>
      <c r="CG233" s="113" t="str">
        <f>AW233</f>
        <v>-</v>
      </c>
      <c r="CH233" s="111">
        <f>G233</f>
        <v>59</v>
      </c>
      <c r="CI233" s="113" t="str">
        <f>K233</f>
        <v>-</v>
      </c>
      <c r="CJ233" s="114">
        <f>O233</f>
        <v>94</v>
      </c>
      <c r="CK233" s="114">
        <f>S233</f>
        <v>100</v>
      </c>
      <c r="CL233" s="114">
        <f>W233</f>
        <v>130</v>
      </c>
      <c r="CM233" s="114" t="str">
        <f>AA233</f>
        <v>-</v>
      </c>
      <c r="CN233" s="114">
        <f>AE233</f>
        <v>163</v>
      </c>
      <c r="CO233" s="114" t="str">
        <f>AI233</f>
        <v>-</v>
      </c>
      <c r="CP233" s="114">
        <f>AM233</f>
        <v>218</v>
      </c>
      <c r="CQ233" s="114">
        <f>AQ233</f>
        <v>340</v>
      </c>
      <c r="CR233" s="114">
        <f>AU233</f>
        <v>369</v>
      </c>
      <c r="CS233" s="114" t="str">
        <f>AY233</f>
        <v>-</v>
      </c>
      <c r="CT233" s="109" t="e">
        <f>M233-K233</f>
        <v>#VALUE!</v>
      </c>
    </row>
    <row r="234" spans="1:1029" x14ac:dyDescent="0.2">
      <c r="A234" s="3" t="str">
        <f t="shared" si="1231"/>
        <v>ednrb_human__wt</v>
      </c>
      <c r="B234" s="2" t="s">
        <v>196</v>
      </c>
      <c r="C234" s="2" t="s">
        <v>100</v>
      </c>
      <c r="D234" s="3" t="str">
        <f>IFERROR(MID(VLOOKUP($B234,Seqs!$A:$B,2,0),E234,1),"")</f>
        <v>Q</v>
      </c>
      <c r="E234" s="2">
        <v>91</v>
      </c>
      <c r="F234" s="3" t="str">
        <f>IFERROR(MID(VLOOKUP($B234,Seqs!$A:$B,2,0),G234,1),"")</f>
        <v>N</v>
      </c>
      <c r="G234" s="2">
        <v>129</v>
      </c>
      <c r="H234" s="3" t="str">
        <f>IFERROR(MID(VLOOKUP($B234,Seqs!$A:$B,2,0),I234,1),"")</f>
        <v>K</v>
      </c>
      <c r="I234" s="56">
        <v>130</v>
      </c>
      <c r="J234" s="3" t="str">
        <f>IFERROR(MID(VLOOKUP($B234,Seqs!$A:$B,2,0),K234,1),"")</f>
        <v>N</v>
      </c>
      <c r="K234" s="56">
        <v>134</v>
      </c>
      <c r="L234" s="3" t="str">
        <f>IFERROR(MID(VLOOKUP($B234,Seqs!$A:$B,2,0),M234,1),"")</f>
        <v>G</v>
      </c>
      <c r="M234" s="2">
        <v>135</v>
      </c>
      <c r="N234" s="3" t="str">
        <f>IFERROR(MID(VLOOKUP($B234,Seqs!$A:$B,2,0),O234,1),"")</f>
        <v>A</v>
      </c>
      <c r="O234" s="2">
        <v>164</v>
      </c>
      <c r="P234" s="3" t="str">
        <f>IFERROR(MID(VLOOKUP($B234,Seqs!$A:$B,2,0),Q234,1),"")</f>
        <v>D</v>
      </c>
      <c r="Q234" s="2">
        <v>166</v>
      </c>
      <c r="R234" s="3" t="str">
        <f>IFERROR(MID(VLOOKUP($B234,Seqs!$A:$B,2,0),S234,1),"")</f>
        <v>F</v>
      </c>
      <c r="S234" s="2">
        <v>169</v>
      </c>
      <c r="T234" s="3" t="str">
        <f>IFERROR(MID(VLOOKUP($B234,Seqs!$A:$B,2,0),U234,1),"")</f>
        <v>G</v>
      </c>
      <c r="U234" s="4">
        <v>170</v>
      </c>
      <c r="V234" s="3" t="str">
        <f>IFERROR(MID(VLOOKUP($B234,Seqs!$A:$B,2,0),W234,1),"")</f>
        <v>S</v>
      </c>
      <c r="W234" s="2">
        <v>205</v>
      </c>
      <c r="X234" s="3" t="str">
        <f>IFERROR(MID(VLOOKUP($B234,Seqs!$A:$B,2,0),Y234,1),"")</f>
        <v>W</v>
      </c>
      <c r="Y234" s="2">
        <v>206</v>
      </c>
      <c r="Z234" s="3" t="str">
        <f>IFERROR(MID(VLOOKUP($B234,Seqs!$A:$B,2,0),AA234,1),"")</f>
        <v>G</v>
      </c>
      <c r="AA234" s="2">
        <v>213</v>
      </c>
      <c r="AB234" s="3" t="str">
        <f>IFERROR(MID(VLOOKUP($B234,Seqs!$A:$B,2,0),AC234,1),"")</f>
        <v>V</v>
      </c>
      <c r="AC234" s="40">
        <v>214</v>
      </c>
      <c r="AD234" s="3" t="str">
        <f>IFERROR(MID(VLOOKUP($B234,Seqs!$A:$B,2,0),AE234,1),"")</f>
        <v>F</v>
      </c>
      <c r="AE234" s="2">
        <v>240</v>
      </c>
      <c r="AF234" s="3" t="str">
        <f>IFERROR(MID(VLOOKUP($B234,Seqs!$A:$B,2,0),AG234,1),"")</f>
        <v>C</v>
      </c>
      <c r="AG234" s="2">
        <v>255</v>
      </c>
      <c r="AH234" s="3" t="str">
        <f>IFERROR(MID(VLOOKUP($B234,Seqs!$A:$B,2,0),AI234,1),"")</f>
        <v>L</v>
      </c>
      <c r="AI234" s="2">
        <v>257</v>
      </c>
      <c r="AJ234" s="3" t="str">
        <f>IFERROR(MID(VLOOKUP($B234,Seqs!$A:$B,2,0),AK234,1),"")</f>
        <v>T</v>
      </c>
      <c r="AK234" s="2">
        <v>263</v>
      </c>
      <c r="AL234" s="3" t="str">
        <f>IFERROR(MID(VLOOKUP($B234,Seqs!$A:$B,2,0),AM234,1),"")</f>
        <v>M</v>
      </c>
      <c r="AM234" s="2">
        <v>307</v>
      </c>
      <c r="AN234" s="3" t="str">
        <f>IFERROR(MID(VLOOKUP($B234,Seqs!$A:$B,2,0),AO234,1),"")</f>
        <v>N</v>
      </c>
      <c r="AO234" s="2">
        <v>312</v>
      </c>
      <c r="AP234" s="3" t="str">
        <f>IFERROR(MID(VLOOKUP($B234,Seqs!$A:$B,2,0),AQ234,1),"")</f>
        <v>Y</v>
      </c>
      <c r="AQ234" s="2">
        <v>350</v>
      </c>
      <c r="AR234" s="3" t="str">
        <f>IFERROR(MID(VLOOKUP($B234,Seqs!$A:$B,2,0),AS234,1),"")</f>
        <v>R</v>
      </c>
      <c r="AS234" s="2">
        <v>357</v>
      </c>
      <c r="AT234" s="3" t="str">
        <f>IFERROR(MID(VLOOKUP($B234,Seqs!$A:$B,2,0),AU234,1),"")</f>
        <v>V</v>
      </c>
      <c r="AU234" s="2">
        <v>389</v>
      </c>
      <c r="AV234" s="3" t="str">
        <f>IFERROR(MID(VLOOKUP($B234,Seqs!$A:$B,2,0),AW234,1),"")</f>
        <v>S</v>
      </c>
      <c r="AW234" s="2">
        <v>390</v>
      </c>
      <c r="AX234" s="3" t="str">
        <f>IFERROR(MID(VLOOKUP($B234,Seqs!$A:$B,2,0),AY234,1),"")</f>
        <v>C</v>
      </c>
      <c r="AY234" s="2">
        <v>403</v>
      </c>
      <c r="AZ234" s="77" t="str">
        <f>VLOOKUP(B234,Classification!A:D,2,0)</f>
        <v>A</v>
      </c>
      <c r="BA234" s="94" t="str">
        <f>VLOOKUP(B234,Classification!A:D,4,0)</f>
        <v>Endothelin</v>
      </c>
      <c r="BB234" s="27" t="b">
        <f t="shared" si="1232"/>
        <v>1</v>
      </c>
      <c r="BC234" s="2"/>
      <c r="BD234" s="34" t="s">
        <v>23</v>
      </c>
      <c r="BE234" s="3" t="s">
        <v>23</v>
      </c>
      <c r="BF234" s="118" t="s">
        <v>23</v>
      </c>
      <c r="BG234" s="49" t="s">
        <v>1368</v>
      </c>
      <c r="BH234" s="49" t="s">
        <v>1373</v>
      </c>
      <c r="BI234" s="2"/>
      <c r="BJ234" s="70"/>
      <c r="BU234" s="57"/>
      <c r="BV234" s="70"/>
      <c r="BW234" s="57"/>
      <c r="BX234" s="57"/>
      <c r="BY234" s="57"/>
      <c r="BZ234" s="57"/>
      <c r="CA234" s="57"/>
      <c r="CB234" s="57"/>
      <c r="CC234" s="57"/>
      <c r="CD234" s="57"/>
      <c r="CE234" s="57"/>
      <c r="CF234" s="57"/>
      <c r="CG234" s="57"/>
      <c r="CH234" s="70"/>
      <c r="CI234" s="57"/>
      <c r="CJ234" s="57"/>
      <c r="CK234" s="57"/>
      <c r="CL234" s="57"/>
      <c r="CM234" s="57"/>
      <c r="CN234" s="57"/>
      <c r="CO234" s="57"/>
      <c r="CP234" s="57"/>
      <c r="CQ234" s="57"/>
      <c r="CR234" s="57"/>
      <c r="CS234" s="57"/>
      <c r="CT234" s="2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si="1231"/>
        <v>ednrb_human_5GLH</v>
      </c>
      <c r="B235" s="2" t="s">
        <v>196</v>
      </c>
      <c r="C235" s="2" t="s">
        <v>1324</v>
      </c>
      <c r="D235" s="3" t="str">
        <f>IFERROR(MID(VLOOKUP($B235,Seqs!$A:$B,2,0),E235,1),"")</f>
        <v>K</v>
      </c>
      <c r="E235" s="2">
        <v>97</v>
      </c>
      <c r="F235" s="3" t="str">
        <f>IFERROR(MID(VLOOKUP($B235,Seqs!$A:$B,2,0),G235,1),"")</f>
        <v>N</v>
      </c>
      <c r="G235" s="2">
        <v>129</v>
      </c>
      <c r="H235" s="3" t="str">
        <f>IFERROR(MID(VLOOKUP($B235,Seqs!$A:$B,2,0),I235,1),"")</f>
        <v/>
      </c>
      <c r="I235" s="56" t="s">
        <v>23</v>
      </c>
      <c r="J235" s="3" t="str">
        <f>IFERROR(MID(VLOOKUP($B235,Seqs!$A:$B,2,0),K235,1),"")</f>
        <v/>
      </c>
      <c r="K235" s="56" t="s">
        <v>23</v>
      </c>
      <c r="L235" s="3" t="str">
        <f>IFERROR(MID(VLOOKUP($B235,Seqs!$A:$B,2,0),M235,1),"")</f>
        <v>P</v>
      </c>
      <c r="M235" s="2">
        <v>136</v>
      </c>
      <c r="N235" s="3" t="str">
        <f>IFERROR(MID(VLOOKUP($B235,Seqs!$A:$B,2,0),O235,1),"")</f>
        <v>A</v>
      </c>
      <c r="O235" s="2">
        <v>164</v>
      </c>
      <c r="P235" s="3" t="str">
        <f>IFERROR(MID(VLOOKUP($B235,Seqs!$A:$B,2,0),Q235,1),"")</f>
        <v>D</v>
      </c>
      <c r="Q235" s="2">
        <v>166</v>
      </c>
      <c r="R235" s="3" t="str">
        <f>IFERROR(MID(VLOOKUP($B235,Seqs!$A:$B,2,0),S235,1),"")</f>
        <v>F</v>
      </c>
      <c r="S235" s="2">
        <v>169</v>
      </c>
      <c r="T235" s="3" t="str">
        <f>IFERROR(MID(VLOOKUP($B235,Seqs!$A:$B,2,0),U235,1),"")</f>
        <v>G</v>
      </c>
      <c r="U235" s="4">
        <v>170</v>
      </c>
      <c r="V235" s="3" t="str">
        <f>IFERROR(MID(VLOOKUP($B235,Seqs!$A:$B,2,0),W235,1),"")</f>
        <v>S</v>
      </c>
      <c r="W235" s="2">
        <v>205</v>
      </c>
      <c r="X235" s="3" t="str">
        <f>IFERROR(MID(VLOOKUP($B235,Seqs!$A:$B,2,0),Y235,1),"")</f>
        <v/>
      </c>
      <c r="Y235" s="2" t="s">
        <v>23</v>
      </c>
      <c r="Z235" s="3" t="str">
        <f>IFERROR(MID(VLOOKUP($B235,Seqs!$A:$B,2,0),AA235,1),"")</f>
        <v/>
      </c>
      <c r="AA235" s="2" t="s">
        <v>23</v>
      </c>
      <c r="AB235" s="3" t="str">
        <f>IFERROR(MID(VLOOKUP($B235,Seqs!$A:$B,2,0),AC235,1),"")</f>
        <v>T</v>
      </c>
      <c r="AC235" s="40">
        <v>218</v>
      </c>
      <c r="AD235" s="3" t="str">
        <f>IFERROR(MID(VLOOKUP($B235,Seqs!$A:$B,2,0),AE235,1),"")</f>
        <v>F</v>
      </c>
      <c r="AE235" s="2">
        <v>240</v>
      </c>
      <c r="AF235" s="3" t="str">
        <f>IFERROR(MID(VLOOKUP($B235,Seqs!$A:$B,2,0),AG235,1),"")</f>
        <v>C</v>
      </c>
      <c r="AG235" s="2">
        <v>255</v>
      </c>
      <c r="AH235" s="3" t="str">
        <f>IFERROR(MID(VLOOKUP($B235,Seqs!$A:$B,2,0),AI235,1),"")</f>
        <v>L</v>
      </c>
      <c r="AI235" s="2">
        <v>257</v>
      </c>
      <c r="AJ235" s="3" t="str">
        <f>IFERROR(MID(VLOOKUP($B235,Seqs!$A:$B,2,0),AK235,1),"")</f>
        <v>T</v>
      </c>
      <c r="AK235" s="2">
        <v>263</v>
      </c>
      <c r="AL235" s="3" t="str">
        <f>IFERROR(MID(VLOOKUP($B235,Seqs!$A:$B,2,0),AM235,1),"")</f>
        <v>K</v>
      </c>
      <c r="AM235" s="2">
        <v>303</v>
      </c>
      <c r="AN235" s="3" t="str">
        <f>IFERROR(MID(VLOOKUP($B235,Seqs!$A:$B,2,0),AO235,1),"")</f>
        <v>N</v>
      </c>
      <c r="AO235" s="2">
        <v>312</v>
      </c>
      <c r="AP235" s="3" t="str">
        <f>IFERROR(MID(VLOOKUP($B235,Seqs!$A:$B,2,0),AQ235,1),"")</f>
        <v>Y</v>
      </c>
      <c r="AQ235" s="2">
        <v>350</v>
      </c>
      <c r="AR235" s="3" t="str">
        <f>IFERROR(MID(VLOOKUP($B235,Seqs!$A:$B,2,0),AS235,1),"")</f>
        <v>R</v>
      </c>
      <c r="AS235" s="2">
        <v>357</v>
      </c>
      <c r="AT235" s="3" t="str">
        <f>IFERROR(MID(VLOOKUP($B235,Seqs!$A:$B,2,0),AU235,1),"")</f>
        <v>V</v>
      </c>
      <c r="AU235" s="2">
        <v>389</v>
      </c>
      <c r="AV235" s="3" t="str">
        <f>IFERROR(MID(VLOOKUP($B235,Seqs!$A:$B,2,0),AW235,1),"")</f>
        <v>S</v>
      </c>
      <c r="AW235" s="2">
        <v>390</v>
      </c>
      <c r="AX235" s="3" t="str">
        <f>IFERROR(MID(VLOOKUP($B235,Seqs!$A:$B,2,0),AY235,1),"")</f>
        <v>L</v>
      </c>
      <c r="AY235" s="2">
        <v>401</v>
      </c>
      <c r="AZ235" s="77" t="str">
        <f>VLOOKUP(B235,Classification!A:D,2,0)</f>
        <v>A</v>
      </c>
      <c r="BA235" s="94" t="str">
        <f>VLOOKUP(B235,Classification!A:D,4,0)</f>
        <v>Endothelin</v>
      </c>
      <c r="BB235" s="27" t="b">
        <f t="shared" si="1232"/>
        <v>1</v>
      </c>
      <c r="BC235" s="23">
        <f t="shared" ref="BC235:BC316" si="1957">_xlfn.AGGREGATE(9,6,CH235:CS235)-_xlfn.AGGREGATE(9,6,BV235:CG235)+12</f>
        <v>255</v>
      </c>
      <c r="BD235" s="2" t="s">
        <v>23</v>
      </c>
      <c r="BE235" s="3" t="s">
        <v>1370</v>
      </c>
      <c r="BF235" s="118">
        <v>2.8</v>
      </c>
      <c r="BG235" s="49" t="s">
        <v>1373</v>
      </c>
      <c r="BH235" s="49" t="s">
        <v>1373</v>
      </c>
      <c r="BI235" s="2"/>
      <c r="BJ235" s="70" t="s">
        <v>1283</v>
      </c>
      <c r="BK235" s="57" t="s">
        <v>1283</v>
      </c>
      <c r="BL235" s="57" t="s">
        <v>1283</v>
      </c>
      <c r="BM235" s="57" t="s">
        <v>1283</v>
      </c>
      <c r="BN235" s="57" t="s">
        <v>1283</v>
      </c>
      <c r="BO235" s="57" t="s">
        <v>1283</v>
      </c>
      <c r="BP235" s="57" t="s">
        <v>1283</v>
      </c>
      <c r="BQ235" s="57" t="s">
        <v>1283</v>
      </c>
      <c r="BR235" s="57" t="s">
        <v>1283</v>
      </c>
      <c r="BS235" s="57" t="s">
        <v>1283</v>
      </c>
      <c r="BT235" s="57" t="s">
        <v>1283</v>
      </c>
      <c r="BU235" s="57" t="s">
        <v>1283</v>
      </c>
      <c r="BV235" s="70">
        <f t="shared" ref="BV235:BV316" si="1958">E235</f>
        <v>97</v>
      </c>
      <c r="BW235" s="71" t="str">
        <f t="shared" ref="BW235:BW316" si="1959">I235</f>
        <v>-</v>
      </c>
      <c r="BX235" s="72">
        <f t="shared" ref="BX235:BX316" si="1960">M235</f>
        <v>136</v>
      </c>
      <c r="BY235" s="71">
        <f t="shared" ref="BY235:BY316" si="1961">Q235</f>
        <v>166</v>
      </c>
      <c r="BZ235" s="72">
        <f t="shared" ref="BZ235:BZ316" si="1962">U235</f>
        <v>170</v>
      </c>
      <c r="CA235" s="71" t="str">
        <f t="shared" ref="CA235:CA316" si="1963">Y235</f>
        <v>-</v>
      </c>
      <c r="CB235" s="72">
        <f t="shared" ref="CB235:CB316" si="1964">AC235</f>
        <v>218</v>
      </c>
      <c r="CC235" s="71">
        <f t="shared" ref="CC235:CC316" si="1965">AG235</f>
        <v>255</v>
      </c>
      <c r="CD235" s="72">
        <f t="shared" ref="CD235:CD316" si="1966">AK235</f>
        <v>263</v>
      </c>
      <c r="CE235" s="71">
        <f t="shared" ref="CE235:CE316" si="1967">AO235</f>
        <v>312</v>
      </c>
      <c r="CF235" s="72">
        <f t="shared" ref="CF235:CF316" si="1968">AS235</f>
        <v>357</v>
      </c>
      <c r="CG235" s="71">
        <f t="shared" ref="CG235:CG316" si="1969">AW235</f>
        <v>390</v>
      </c>
      <c r="CH235" s="70">
        <f t="shared" ref="CH235:CH316" si="1970">G235</f>
        <v>129</v>
      </c>
      <c r="CI235" s="71" t="str">
        <f t="shared" ref="CI235:CI316" si="1971">K235</f>
        <v>-</v>
      </c>
      <c r="CJ235" s="72">
        <f t="shared" ref="CJ235:CJ316" si="1972">O235</f>
        <v>164</v>
      </c>
      <c r="CK235" s="72">
        <f t="shared" ref="CK235:CK316" si="1973">S235</f>
        <v>169</v>
      </c>
      <c r="CL235" s="72">
        <f t="shared" ref="CL235:CL316" si="1974">W235</f>
        <v>205</v>
      </c>
      <c r="CM235" s="72" t="str">
        <f t="shared" ref="CM235:CM316" si="1975">AA235</f>
        <v>-</v>
      </c>
      <c r="CN235" s="72">
        <f t="shared" ref="CN235:CN316" si="1976">AE235</f>
        <v>240</v>
      </c>
      <c r="CO235" s="72">
        <f t="shared" ref="CO235:CO316" si="1977">AI235</f>
        <v>257</v>
      </c>
      <c r="CP235" s="72">
        <f t="shared" ref="CP235:CP316" si="1978">AM235</f>
        <v>303</v>
      </c>
      <c r="CQ235" s="72">
        <f t="shared" ref="CQ235:CQ316" si="1979">AQ235</f>
        <v>350</v>
      </c>
      <c r="CR235" s="72">
        <f t="shared" ref="CR235:CR316" si="1980">AU235</f>
        <v>389</v>
      </c>
      <c r="CS235" s="72">
        <f t="shared" ref="CS235:CS316" si="1981">AY235</f>
        <v>401</v>
      </c>
      <c r="CT235" s="23" t="e">
        <f t="shared" ref="CT235:CT316" si="1982">M235-K235</f>
        <v>#VALUE!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si="1231"/>
        <v>ednrb_human_5GLI</v>
      </c>
      <c r="B236" s="2" t="s">
        <v>196</v>
      </c>
      <c r="C236" s="2" t="s">
        <v>1323</v>
      </c>
      <c r="D236" s="3" t="str">
        <f>IFERROR(MID(VLOOKUP($B236,Seqs!$A:$B,2,0),E236,1),"")</f>
        <v>Q</v>
      </c>
      <c r="E236" s="2">
        <v>91</v>
      </c>
      <c r="F236" s="3" t="str">
        <f>IFERROR(MID(VLOOKUP($B236,Seqs!$A:$B,2,0),G236,1),"")</f>
        <v>N</v>
      </c>
      <c r="G236" s="2">
        <v>129</v>
      </c>
      <c r="H236" s="3" t="str">
        <f>IFERROR(MID(VLOOKUP($B236,Seqs!$A:$B,2,0),I236,1),"")</f>
        <v>K</v>
      </c>
      <c r="I236" s="56">
        <v>130</v>
      </c>
      <c r="J236" s="3" t="str">
        <f>IFERROR(MID(VLOOKUP($B236,Seqs!$A:$B,2,0),K236,1),"")</f>
        <v>N</v>
      </c>
      <c r="K236" s="56">
        <v>134</v>
      </c>
      <c r="L236" s="3" t="str">
        <f>IFERROR(MID(VLOOKUP($B236,Seqs!$A:$B,2,0),M236,1),"")</f>
        <v>G</v>
      </c>
      <c r="M236" s="2">
        <v>135</v>
      </c>
      <c r="N236" s="3" t="str">
        <f>IFERROR(MID(VLOOKUP($B236,Seqs!$A:$B,2,0),O236,1),"")</f>
        <v>A</v>
      </c>
      <c r="O236" s="2">
        <v>164</v>
      </c>
      <c r="P236" s="3" t="str">
        <f>IFERROR(MID(VLOOKUP($B236,Seqs!$A:$B,2,0),Q236,1),"")</f>
        <v>D</v>
      </c>
      <c r="Q236" s="2">
        <v>166</v>
      </c>
      <c r="R236" s="3" t="str">
        <f>IFERROR(MID(VLOOKUP($B236,Seqs!$A:$B,2,0),S236,1),"")</f>
        <v>F</v>
      </c>
      <c r="S236" s="2">
        <v>169</v>
      </c>
      <c r="T236" s="3" t="str">
        <f>IFERROR(MID(VLOOKUP($B236,Seqs!$A:$B,2,0),U236,1),"")</f>
        <v>G</v>
      </c>
      <c r="U236" s="4">
        <v>170</v>
      </c>
      <c r="V236" s="3" t="str">
        <f>IFERROR(MID(VLOOKUP($B236,Seqs!$A:$B,2,0),W236,1),"")</f>
        <v>S</v>
      </c>
      <c r="W236" s="2">
        <v>205</v>
      </c>
      <c r="X236" s="3" t="str">
        <f>IFERROR(MID(VLOOKUP($B236,Seqs!$A:$B,2,0),Y236,1),"")</f>
        <v/>
      </c>
      <c r="Y236" s="2" t="s">
        <v>23</v>
      </c>
      <c r="Z236" s="3" t="str">
        <f>IFERROR(MID(VLOOKUP($B236,Seqs!$A:$B,2,0),AA236,1),"")</f>
        <v/>
      </c>
      <c r="AA236" s="2" t="s">
        <v>23</v>
      </c>
      <c r="AB236" s="3" t="str">
        <f>IFERROR(MID(VLOOKUP($B236,Seqs!$A:$B,2,0),AC236,1),"")</f>
        <v>K</v>
      </c>
      <c r="AC236" s="40">
        <v>216</v>
      </c>
      <c r="AD236" s="3" t="str">
        <f>IFERROR(MID(VLOOKUP($B236,Seqs!$A:$B,2,0),AE236,1),"")</f>
        <v>F</v>
      </c>
      <c r="AE236" s="2">
        <v>240</v>
      </c>
      <c r="AF236" s="3" t="str">
        <f>IFERROR(MID(VLOOKUP($B236,Seqs!$A:$B,2,0),AG236,1),"")</f>
        <v>C</v>
      </c>
      <c r="AG236" s="2">
        <v>255</v>
      </c>
      <c r="AH236" s="3" t="str">
        <f>IFERROR(MID(VLOOKUP($B236,Seqs!$A:$B,2,0),AI236,1),"")</f>
        <v>L</v>
      </c>
      <c r="AI236" s="2">
        <v>257</v>
      </c>
      <c r="AJ236" s="3" t="str">
        <f>IFERROR(MID(VLOOKUP($B236,Seqs!$A:$B,2,0),AK236,1),"")</f>
        <v>T</v>
      </c>
      <c r="AK236" s="2">
        <v>263</v>
      </c>
      <c r="AL236" s="3" t="str">
        <f>IFERROR(MID(VLOOKUP($B236,Seqs!$A:$B,2,0),AM236,1),"")</f>
        <v>K</v>
      </c>
      <c r="AM236" s="2">
        <v>303</v>
      </c>
      <c r="AN236" s="3" t="str">
        <f>IFERROR(MID(VLOOKUP($B236,Seqs!$A:$B,2,0),AO236,1),"")</f>
        <v>N</v>
      </c>
      <c r="AO236" s="2">
        <v>312</v>
      </c>
      <c r="AP236" s="3" t="str">
        <f>IFERROR(MID(VLOOKUP($B236,Seqs!$A:$B,2,0),AQ236,1),"")</f>
        <v>Y</v>
      </c>
      <c r="AQ236" s="2">
        <v>350</v>
      </c>
      <c r="AR236" s="3" t="str">
        <f>IFERROR(MID(VLOOKUP($B236,Seqs!$A:$B,2,0),AS236,1),"")</f>
        <v>R</v>
      </c>
      <c r="AS236" s="2">
        <v>357</v>
      </c>
      <c r="AT236" s="3" t="str">
        <f>IFERROR(MID(VLOOKUP($B236,Seqs!$A:$B,2,0),AU236,1),"")</f>
        <v>V</v>
      </c>
      <c r="AU236" s="2">
        <v>389</v>
      </c>
      <c r="AV236" s="3" t="str">
        <f>IFERROR(MID(VLOOKUP($B236,Seqs!$A:$B,2,0),AW236,1),"")</f>
        <v>S</v>
      </c>
      <c r="AW236" s="2">
        <v>390</v>
      </c>
      <c r="AX236" s="3" t="str">
        <f>IFERROR(MID(VLOOKUP($B236,Seqs!$A:$B,2,0),AY236,1),"")</f>
        <v>C</v>
      </c>
      <c r="AY236" s="2">
        <v>403</v>
      </c>
      <c r="AZ236" s="77" t="str">
        <f>VLOOKUP(B236,Classification!A:D,2,0)</f>
        <v>A</v>
      </c>
      <c r="BA236" s="94" t="str">
        <f>VLOOKUP(B236,Classification!A:D,4,0)</f>
        <v>Endothelin</v>
      </c>
      <c r="BB236" s="27" t="b">
        <f t="shared" si="1232"/>
        <v>1</v>
      </c>
      <c r="BC236" s="23">
        <f t="shared" si="1957"/>
        <v>270</v>
      </c>
      <c r="BD236" s="2" t="s">
        <v>23</v>
      </c>
      <c r="BE236" s="3" t="s">
        <v>1370</v>
      </c>
      <c r="BF236" s="118">
        <v>2.5</v>
      </c>
      <c r="BG236" s="49" t="s">
        <v>1373</v>
      </c>
      <c r="BH236" s="49" t="s">
        <v>1373</v>
      </c>
      <c r="BI236" s="2"/>
      <c r="BJ236" s="70" t="s">
        <v>1283</v>
      </c>
      <c r="BK236" s="57" t="s">
        <v>1283</v>
      </c>
      <c r="BL236" s="57" t="s">
        <v>1283</v>
      </c>
      <c r="BM236" s="57" t="s">
        <v>1283</v>
      </c>
      <c r="BN236" s="57" t="s">
        <v>1283</v>
      </c>
      <c r="BO236" s="57" t="s">
        <v>1283</v>
      </c>
      <c r="BP236" s="57" t="s">
        <v>1283</v>
      </c>
      <c r="BQ236" s="57" t="s">
        <v>1283</v>
      </c>
      <c r="BR236" s="57" t="s">
        <v>1283</v>
      </c>
      <c r="BS236" s="57" t="s">
        <v>1283</v>
      </c>
      <c r="BT236" s="57" t="s">
        <v>1283</v>
      </c>
      <c r="BU236" s="57" t="s">
        <v>1283</v>
      </c>
      <c r="BV236" s="70">
        <f t="shared" si="1958"/>
        <v>91</v>
      </c>
      <c r="BW236" s="71">
        <f t="shared" si="1959"/>
        <v>130</v>
      </c>
      <c r="BX236" s="72">
        <f t="shared" si="1960"/>
        <v>135</v>
      </c>
      <c r="BY236" s="71">
        <f t="shared" si="1961"/>
        <v>166</v>
      </c>
      <c r="BZ236" s="72">
        <f t="shared" si="1962"/>
        <v>170</v>
      </c>
      <c r="CA236" s="71" t="str">
        <f t="shared" si="1963"/>
        <v>-</v>
      </c>
      <c r="CB236" s="72">
        <f t="shared" si="1964"/>
        <v>216</v>
      </c>
      <c r="CC236" s="71">
        <f t="shared" si="1965"/>
        <v>255</v>
      </c>
      <c r="CD236" s="72">
        <f t="shared" si="1966"/>
        <v>263</v>
      </c>
      <c r="CE236" s="71">
        <f t="shared" si="1967"/>
        <v>312</v>
      </c>
      <c r="CF236" s="72">
        <f t="shared" si="1968"/>
        <v>357</v>
      </c>
      <c r="CG236" s="71">
        <f t="shared" si="1969"/>
        <v>390</v>
      </c>
      <c r="CH236" s="70">
        <f t="shared" si="1970"/>
        <v>129</v>
      </c>
      <c r="CI236" s="71">
        <f t="shared" si="1971"/>
        <v>134</v>
      </c>
      <c r="CJ236" s="72">
        <f t="shared" si="1972"/>
        <v>164</v>
      </c>
      <c r="CK236" s="72">
        <f t="shared" si="1973"/>
        <v>169</v>
      </c>
      <c r="CL236" s="72">
        <f t="shared" si="1974"/>
        <v>205</v>
      </c>
      <c r="CM236" s="72" t="str">
        <f t="shared" si="1975"/>
        <v>-</v>
      </c>
      <c r="CN236" s="72">
        <f t="shared" si="1976"/>
        <v>240</v>
      </c>
      <c r="CO236" s="72">
        <f t="shared" si="1977"/>
        <v>257</v>
      </c>
      <c r="CP236" s="72">
        <f t="shared" si="1978"/>
        <v>303</v>
      </c>
      <c r="CQ236" s="72">
        <f t="shared" si="1979"/>
        <v>350</v>
      </c>
      <c r="CR236" s="72">
        <f t="shared" si="1980"/>
        <v>389</v>
      </c>
      <c r="CS236" s="72">
        <f t="shared" si="1981"/>
        <v>403</v>
      </c>
      <c r="CT236" s="23">
        <f t="shared" si="1982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ref="A237:A242" si="1983">CONCATENATE(B237,"_",C237)</f>
        <v>ednrb_human_5X93</v>
      </c>
      <c r="B237" s="2" t="s">
        <v>196</v>
      </c>
      <c r="C237" s="2" t="s">
        <v>1434</v>
      </c>
      <c r="D237" s="3" t="str">
        <f>IFERROR(MID(VLOOKUP($B237,Seqs!$A:$B,2,0),E237,1),"")</f>
        <v>Q</v>
      </c>
      <c r="E237" s="2">
        <v>91</v>
      </c>
      <c r="F237" s="3" t="str">
        <f>IFERROR(MID(VLOOKUP($B237,Seqs!$A:$B,2,0),G237,1),"")</f>
        <v>N</v>
      </c>
      <c r="G237" s="2">
        <v>129</v>
      </c>
      <c r="H237" s="3" t="str">
        <f>IFERROR(MID(VLOOKUP($B237,Seqs!$A:$B,2,0),I237,1),"")</f>
        <v>K</v>
      </c>
      <c r="I237" s="56">
        <v>130</v>
      </c>
      <c r="J237" s="3" t="str">
        <f>IFERROR(MID(VLOOKUP($B237,Seqs!$A:$B,2,0),K237,1),"")</f>
        <v>N</v>
      </c>
      <c r="K237" s="56">
        <v>134</v>
      </c>
      <c r="L237" s="3" t="str">
        <f>IFERROR(MID(VLOOKUP($B237,Seqs!$A:$B,2,0),M237,1),"")</f>
        <v>G</v>
      </c>
      <c r="M237" s="2">
        <v>135</v>
      </c>
      <c r="N237" s="3" t="str">
        <f>IFERROR(MID(VLOOKUP($B237,Seqs!$A:$B,2,0),O237,1),"")</f>
        <v>A</v>
      </c>
      <c r="O237" s="2">
        <v>164</v>
      </c>
      <c r="P237" s="3" t="str">
        <f>IFERROR(MID(VLOOKUP($B237,Seqs!$A:$B,2,0),Q237,1),"")</f>
        <v>D</v>
      </c>
      <c r="Q237" s="2">
        <v>166</v>
      </c>
      <c r="R237" s="3" t="str">
        <f>IFERROR(MID(VLOOKUP($B237,Seqs!$A:$B,2,0),S237,1),"")</f>
        <v>F</v>
      </c>
      <c r="S237" s="2">
        <v>169</v>
      </c>
      <c r="T237" s="3" t="str">
        <f>IFERROR(MID(VLOOKUP($B237,Seqs!$A:$B,2,0),U237,1),"")</f>
        <v>G</v>
      </c>
      <c r="U237" s="4">
        <v>170</v>
      </c>
      <c r="V237" s="3" t="str">
        <f>IFERROR(MID(VLOOKUP($B237,Seqs!$A:$B,2,0),W237,1),"")</f>
        <v>S</v>
      </c>
      <c r="W237" s="2">
        <v>205</v>
      </c>
      <c r="X237" s="3" t="str">
        <f>IFERROR(MID(VLOOKUP($B237,Seqs!$A:$B,2,0),Y237,1),"")</f>
        <v/>
      </c>
      <c r="Y237" s="2" t="s">
        <v>23</v>
      </c>
      <c r="Z237" s="3" t="str">
        <f>IFERROR(MID(VLOOKUP($B237,Seqs!$A:$B,2,0),AA237,1),"")</f>
        <v/>
      </c>
      <c r="AA237" s="2" t="s">
        <v>23</v>
      </c>
      <c r="AB237" s="3" t="str">
        <f>IFERROR(MID(VLOOKUP($B237,Seqs!$A:$B,2,0),AC237,1),"")</f>
        <v>K</v>
      </c>
      <c r="AC237" s="2">
        <v>216</v>
      </c>
      <c r="AD237" s="3" t="str">
        <f>IFERROR(MID(VLOOKUP($B237,Seqs!$A:$B,2,0),AE237,1),"")</f>
        <v>F</v>
      </c>
      <c r="AE237" s="2">
        <v>240</v>
      </c>
      <c r="AF237" s="3" t="str">
        <f>IFERROR(MID(VLOOKUP($B237,Seqs!$A:$B,2,0),AG237,1),"")</f>
        <v>C</v>
      </c>
      <c r="AG237" s="2">
        <v>255</v>
      </c>
      <c r="AH237" s="3" t="str">
        <f>IFERROR(MID(VLOOKUP($B237,Seqs!$A:$B,2,0),AI237,1),"")</f>
        <v>L</v>
      </c>
      <c r="AI237" s="2">
        <v>257</v>
      </c>
      <c r="AJ237" s="3" t="str">
        <f>IFERROR(MID(VLOOKUP($B237,Seqs!$A:$B,2,0),AK237,1),"")</f>
        <v>T</v>
      </c>
      <c r="AK237" s="2">
        <v>263</v>
      </c>
      <c r="AL237" s="3" t="str">
        <f>IFERROR(MID(VLOOKUP($B237,Seqs!$A:$B,2,0),AM237,1),"")</f>
        <v>K</v>
      </c>
      <c r="AM237" s="2">
        <v>303</v>
      </c>
      <c r="AN237" s="3" t="str">
        <f>IFERROR(MID(VLOOKUP($B237,Seqs!$A:$B,2,0),AO237,1),"")</f>
        <v>N</v>
      </c>
      <c r="AO237" s="2">
        <v>312</v>
      </c>
      <c r="AP237" s="3" t="str">
        <f>IFERROR(MID(VLOOKUP($B237,Seqs!$A:$B,2,0),AQ237,1),"")</f>
        <v>Y</v>
      </c>
      <c r="AQ237" s="2">
        <v>350</v>
      </c>
      <c r="AR237" s="3" t="str">
        <f>IFERROR(MID(VLOOKUP($B237,Seqs!$A:$B,2,0),AS237,1),"")</f>
        <v>R</v>
      </c>
      <c r="AS237" s="2">
        <v>357</v>
      </c>
      <c r="AT237" s="3" t="str">
        <f>IFERROR(MID(VLOOKUP($B237,Seqs!$A:$B,2,0),AU237,1),"")</f>
        <v>V</v>
      </c>
      <c r="AU237" s="2">
        <v>389</v>
      </c>
      <c r="AV237" s="3" t="str">
        <f>IFERROR(MID(VLOOKUP($B237,Seqs!$A:$B,2,0),AW237,1),"")</f>
        <v>S</v>
      </c>
      <c r="AW237" s="2">
        <v>390</v>
      </c>
      <c r="AX237" s="3" t="str">
        <f>IFERROR(MID(VLOOKUP($B237,Seqs!$A:$B,2,0),AY237,1),"")</f>
        <v>C</v>
      </c>
      <c r="AY237" s="2">
        <v>403</v>
      </c>
      <c r="AZ237" s="77" t="str">
        <f>VLOOKUP(B237,Classification!A:D,2,0)</f>
        <v>A</v>
      </c>
      <c r="BA237" s="94" t="str">
        <f>VLOOKUP(B237,Classification!A:D,4,0)</f>
        <v>Endothelin</v>
      </c>
      <c r="BB237" s="27" t="b">
        <f t="shared" ref="BB237:BB242" si="1984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 t="shared" ref="BC237:BC242" si="1985">_xlfn.AGGREGATE(9,6,CH237:CS237)-_xlfn.AGGREGATE(9,6,BV237:CG237)+12</f>
        <v>270</v>
      </c>
      <c r="BD237" s="2" t="s">
        <v>1372</v>
      </c>
      <c r="BE237" s="3" t="s">
        <v>1370</v>
      </c>
      <c r="BF237" s="118">
        <v>2.2000000000000002</v>
      </c>
      <c r="BG237" s="49" t="s">
        <v>1</v>
      </c>
      <c r="BH237" s="49" t="s">
        <v>1</v>
      </c>
      <c r="BI237" s="2"/>
      <c r="BJ237" s="70" t="s">
        <v>1283</v>
      </c>
      <c r="BK237" s="57" t="s">
        <v>1283</v>
      </c>
      <c r="BL237" s="57" t="s">
        <v>1283</v>
      </c>
      <c r="BM237" s="57" t="s">
        <v>1283</v>
      </c>
      <c r="BN237" s="57" t="s">
        <v>1283</v>
      </c>
      <c r="BO237" s="57" t="s">
        <v>1283</v>
      </c>
      <c r="BP237" s="57" t="s">
        <v>1283</v>
      </c>
      <c r="BQ237" s="57" t="s">
        <v>1283</v>
      </c>
      <c r="BR237" s="57" t="s">
        <v>1283</v>
      </c>
      <c r="BS237" s="57" t="s">
        <v>1283</v>
      </c>
      <c r="BT237" s="57" t="s">
        <v>1283</v>
      </c>
      <c r="BU237" s="57" t="s">
        <v>1283</v>
      </c>
      <c r="BV237" s="70">
        <f t="shared" ref="BV237:BV242" si="1986">E237</f>
        <v>91</v>
      </c>
      <c r="BW237" s="71">
        <f t="shared" ref="BW237:BW242" si="1987">I237</f>
        <v>130</v>
      </c>
      <c r="BX237" s="72">
        <f t="shared" ref="BX237:BX242" si="1988">M237</f>
        <v>135</v>
      </c>
      <c r="BY237" s="71">
        <f t="shared" ref="BY237:BY242" si="1989">Q237</f>
        <v>166</v>
      </c>
      <c r="BZ237" s="72">
        <f t="shared" ref="BZ237:BZ242" si="1990">U237</f>
        <v>170</v>
      </c>
      <c r="CA237" s="71" t="str">
        <f t="shared" ref="CA237:CA242" si="1991">Y237</f>
        <v>-</v>
      </c>
      <c r="CB237" s="72">
        <f t="shared" ref="CB237:CB242" si="1992">AC237</f>
        <v>216</v>
      </c>
      <c r="CC237" s="71">
        <f t="shared" ref="CC237:CC242" si="1993">AG237</f>
        <v>255</v>
      </c>
      <c r="CD237" s="72">
        <f t="shared" ref="CD237:CD242" si="1994">AK237</f>
        <v>263</v>
      </c>
      <c r="CE237" s="71">
        <f t="shared" ref="CE237:CE242" si="1995">AO237</f>
        <v>312</v>
      </c>
      <c r="CF237" s="72">
        <f t="shared" ref="CF237:CF242" si="1996">AS237</f>
        <v>357</v>
      </c>
      <c r="CG237" s="71">
        <f t="shared" ref="CG237:CG242" si="1997">AW237</f>
        <v>390</v>
      </c>
      <c r="CH237" s="70">
        <f t="shared" ref="CH237:CH242" si="1998">G237</f>
        <v>129</v>
      </c>
      <c r="CI237" s="71">
        <f t="shared" ref="CI237:CI242" si="1999">K237</f>
        <v>134</v>
      </c>
      <c r="CJ237" s="72">
        <f t="shared" ref="CJ237:CJ242" si="2000">O237</f>
        <v>164</v>
      </c>
      <c r="CK237" s="72">
        <f t="shared" ref="CK237:CK242" si="2001">S237</f>
        <v>169</v>
      </c>
      <c r="CL237" s="72">
        <f t="shared" ref="CL237:CL242" si="2002">W237</f>
        <v>205</v>
      </c>
      <c r="CM237" s="72" t="str">
        <f t="shared" ref="CM237:CM242" si="2003">AA237</f>
        <v>-</v>
      </c>
      <c r="CN237" s="72">
        <f t="shared" ref="CN237:CN242" si="2004">AE237</f>
        <v>240</v>
      </c>
      <c r="CO237" s="72">
        <f t="shared" ref="CO237:CO242" si="2005">AI237</f>
        <v>257</v>
      </c>
      <c r="CP237" s="72">
        <f t="shared" ref="CP237:CP242" si="2006">AM237</f>
        <v>303</v>
      </c>
      <c r="CQ237" s="72">
        <f t="shared" ref="CQ237:CQ242" si="2007">AQ237</f>
        <v>350</v>
      </c>
      <c r="CR237" s="72">
        <f t="shared" ref="CR237:CR242" si="2008">AU237</f>
        <v>389</v>
      </c>
      <c r="CS237" s="72">
        <f t="shared" ref="CS237:CS242" si="2009">AY237</f>
        <v>403</v>
      </c>
      <c r="CT237" s="23">
        <f t="shared" ref="CT237:CT242" si="2010">M237-K237</f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1983"/>
        <v>ednrb_human_5XPR</v>
      </c>
      <c r="B238" s="2" t="s">
        <v>196</v>
      </c>
      <c r="C238" s="2" t="s">
        <v>1435</v>
      </c>
      <c r="D238" s="3" t="str">
        <f>IFERROR(MID(VLOOKUP($B238,Seqs!$A:$B,2,0),E238,1),"")</f>
        <v>G</v>
      </c>
      <c r="E238" s="2">
        <v>92</v>
      </c>
      <c r="F238" s="3" t="str">
        <f>IFERROR(MID(VLOOKUP($B238,Seqs!$A:$B,2,0),G238,1),"")</f>
        <v>N</v>
      </c>
      <c r="G238" s="2">
        <v>129</v>
      </c>
      <c r="H238" s="3" t="str">
        <f>IFERROR(MID(VLOOKUP($B238,Seqs!$A:$B,2,0),I238,1),"")</f>
        <v>K</v>
      </c>
      <c r="I238" s="56">
        <v>130</v>
      </c>
      <c r="J238" s="3" t="str">
        <f>IFERROR(MID(VLOOKUP($B238,Seqs!$A:$B,2,0),K238,1),"")</f>
        <v>N</v>
      </c>
      <c r="K238" s="56">
        <v>134</v>
      </c>
      <c r="L238" s="3" t="str">
        <f>IFERROR(MID(VLOOKUP($B238,Seqs!$A:$B,2,0),M238,1),"")</f>
        <v>G</v>
      </c>
      <c r="M238" s="2">
        <v>135</v>
      </c>
      <c r="N238" s="3" t="str">
        <f>IFERROR(MID(VLOOKUP($B238,Seqs!$A:$B,2,0),O238,1),"")</f>
        <v>A</v>
      </c>
      <c r="O238" s="2">
        <v>164</v>
      </c>
      <c r="P238" s="3" t="str">
        <f>IFERROR(MID(VLOOKUP($B238,Seqs!$A:$B,2,0),Q238,1),"")</f>
        <v>D</v>
      </c>
      <c r="Q238" s="2">
        <v>166</v>
      </c>
      <c r="R238" s="3" t="str">
        <f>IFERROR(MID(VLOOKUP($B238,Seqs!$A:$B,2,0),S238,1),"")</f>
        <v>F</v>
      </c>
      <c r="S238" s="2">
        <v>169</v>
      </c>
      <c r="T238" s="3" t="str">
        <f>IFERROR(MID(VLOOKUP($B238,Seqs!$A:$B,2,0),U238,1),"")</f>
        <v>A</v>
      </c>
      <c r="U238" s="4">
        <v>171</v>
      </c>
      <c r="V238" s="3" t="str">
        <f>IFERROR(MID(VLOOKUP($B238,Seqs!$A:$B,2,0),W238,1),"")</f>
        <v>A</v>
      </c>
      <c r="W238" s="2">
        <v>202</v>
      </c>
      <c r="X238" s="3" t="str">
        <f>IFERROR(MID(VLOOKUP($B238,Seqs!$A:$B,2,0),Y238,1),"")</f>
        <v/>
      </c>
      <c r="Y238" s="2" t="s">
        <v>23</v>
      </c>
      <c r="Z238" s="3" t="str">
        <f>IFERROR(MID(VLOOKUP($B238,Seqs!$A:$B,2,0),AA238,1),"")</f>
        <v/>
      </c>
      <c r="AA238" s="2" t="s">
        <v>23</v>
      </c>
      <c r="AB238" s="3" t="str">
        <f>IFERROR(MID(VLOOKUP($B238,Seqs!$A:$B,2,0),AC238,1),"")</f>
        <v>K</v>
      </c>
      <c r="AC238" s="2">
        <v>216</v>
      </c>
      <c r="AD238" s="3" t="str">
        <f>IFERROR(MID(VLOOKUP($B238,Seqs!$A:$B,2,0),AE238,1),"")</f>
        <v>F</v>
      </c>
      <c r="AE238" s="2">
        <v>240</v>
      </c>
      <c r="AF238" s="3" t="str">
        <f>IFERROR(MID(VLOOKUP($B238,Seqs!$A:$B,2,0),AG238,1),"")</f>
        <v>C</v>
      </c>
      <c r="AG238" s="2">
        <v>255</v>
      </c>
      <c r="AH238" s="3" t="str">
        <f>IFERROR(MID(VLOOKUP($B238,Seqs!$A:$B,2,0),AI238,1),"")</f>
        <v>L</v>
      </c>
      <c r="AI238" s="2">
        <v>257</v>
      </c>
      <c r="AJ238" s="3" t="str">
        <f>IFERROR(MID(VLOOKUP($B238,Seqs!$A:$B,2,0),AK238,1),"")</f>
        <v>T</v>
      </c>
      <c r="AK238" s="2">
        <v>263</v>
      </c>
      <c r="AL238" s="3" t="str">
        <f>IFERROR(MID(VLOOKUP($B238,Seqs!$A:$B,2,0),AM238,1),"")</f>
        <v>K</v>
      </c>
      <c r="AM238" s="2">
        <v>303</v>
      </c>
      <c r="AN238" s="3" t="str">
        <f>IFERROR(MID(VLOOKUP($B238,Seqs!$A:$B,2,0),AO238,1),"")</f>
        <v>N</v>
      </c>
      <c r="AO238" s="2">
        <v>312</v>
      </c>
      <c r="AP238" s="3" t="str">
        <f>IFERROR(MID(VLOOKUP($B238,Seqs!$A:$B,2,0),AQ238,1),"")</f>
        <v>L</v>
      </c>
      <c r="AQ238" s="2">
        <v>349</v>
      </c>
      <c r="AR238" s="3" t="str">
        <f>IFERROR(MID(VLOOKUP($B238,Seqs!$A:$B,2,0),AS238,1),"")</f>
        <v>N</v>
      </c>
      <c r="AS238" s="2">
        <v>356</v>
      </c>
      <c r="AT238" s="3" t="str">
        <f>IFERROR(MID(VLOOKUP($B238,Seqs!$A:$B,2,0),AU238,1),"")</f>
        <v>V</v>
      </c>
      <c r="AU238" s="2">
        <v>389</v>
      </c>
      <c r="AV238" s="3" t="str">
        <f>IFERROR(MID(VLOOKUP($B238,Seqs!$A:$B,2,0),AW238,1),"")</f>
        <v>S</v>
      </c>
      <c r="AW238" s="2">
        <v>390</v>
      </c>
      <c r="AX238" s="3" t="str">
        <f>IFERROR(MID(VLOOKUP($B238,Seqs!$A:$B,2,0),AY238,1),"")</f>
        <v>C</v>
      </c>
      <c r="AY238" s="2">
        <v>402</v>
      </c>
      <c r="AZ238" s="77" t="str">
        <f>VLOOKUP(B238,Classification!A:D,2,0)</f>
        <v>A</v>
      </c>
      <c r="BA238" s="94" t="str">
        <f>VLOOKUP(B238,Classification!A:D,4,0)</f>
        <v>Endothelin</v>
      </c>
      <c r="BB238" s="27" t="b">
        <f t="shared" si="1984"/>
        <v>1</v>
      </c>
      <c r="BC238" s="23">
        <f t="shared" si="1985"/>
        <v>264</v>
      </c>
      <c r="BD238" s="2" t="s">
        <v>23</v>
      </c>
      <c r="BE238" s="3" t="s">
        <v>1370</v>
      </c>
      <c r="BF238" s="118">
        <v>3.6</v>
      </c>
      <c r="BG238" s="49" t="s">
        <v>1</v>
      </c>
      <c r="BH238" s="49" t="s">
        <v>1</v>
      </c>
      <c r="BI238" s="2"/>
      <c r="BJ238" s="70" t="s">
        <v>1283</v>
      </c>
      <c r="BK238" s="57" t="s">
        <v>1283</v>
      </c>
      <c r="BL238" s="57" t="s">
        <v>1283</v>
      </c>
      <c r="BM238" s="57" t="s">
        <v>1283</v>
      </c>
      <c r="BN238" s="57" t="s">
        <v>1283</v>
      </c>
      <c r="BO238" s="57" t="s">
        <v>1283</v>
      </c>
      <c r="BP238" s="57" t="s">
        <v>1283</v>
      </c>
      <c r="BQ238" s="57" t="s">
        <v>1283</v>
      </c>
      <c r="BR238" s="57" t="s">
        <v>1283</v>
      </c>
      <c r="BS238" s="57" t="s">
        <v>1283</v>
      </c>
      <c r="BT238" s="57" t="s">
        <v>1283</v>
      </c>
      <c r="BU238" s="57" t="s">
        <v>1283</v>
      </c>
      <c r="BV238" s="70">
        <f t="shared" si="1986"/>
        <v>92</v>
      </c>
      <c r="BW238" s="71">
        <f t="shared" si="1987"/>
        <v>130</v>
      </c>
      <c r="BX238" s="72">
        <f t="shared" si="1988"/>
        <v>135</v>
      </c>
      <c r="BY238" s="71">
        <f t="shared" si="1989"/>
        <v>166</v>
      </c>
      <c r="BZ238" s="72">
        <f t="shared" si="1990"/>
        <v>171</v>
      </c>
      <c r="CA238" s="71" t="str">
        <f t="shared" si="1991"/>
        <v>-</v>
      </c>
      <c r="CB238" s="72">
        <f t="shared" si="1992"/>
        <v>216</v>
      </c>
      <c r="CC238" s="71">
        <f t="shared" si="1993"/>
        <v>255</v>
      </c>
      <c r="CD238" s="72">
        <f t="shared" si="1994"/>
        <v>263</v>
      </c>
      <c r="CE238" s="71">
        <f t="shared" si="1995"/>
        <v>312</v>
      </c>
      <c r="CF238" s="72">
        <f t="shared" si="1996"/>
        <v>356</v>
      </c>
      <c r="CG238" s="71">
        <f t="shared" si="1997"/>
        <v>390</v>
      </c>
      <c r="CH238" s="70">
        <f t="shared" si="1998"/>
        <v>129</v>
      </c>
      <c r="CI238" s="71">
        <f t="shared" si="1999"/>
        <v>134</v>
      </c>
      <c r="CJ238" s="72">
        <f t="shared" si="2000"/>
        <v>164</v>
      </c>
      <c r="CK238" s="72">
        <f t="shared" si="2001"/>
        <v>169</v>
      </c>
      <c r="CL238" s="72">
        <f t="shared" si="2002"/>
        <v>202</v>
      </c>
      <c r="CM238" s="72" t="str">
        <f t="shared" si="2003"/>
        <v>-</v>
      </c>
      <c r="CN238" s="72">
        <f t="shared" si="2004"/>
        <v>240</v>
      </c>
      <c r="CO238" s="72">
        <f t="shared" si="2005"/>
        <v>257</v>
      </c>
      <c r="CP238" s="72">
        <f t="shared" si="2006"/>
        <v>303</v>
      </c>
      <c r="CQ238" s="72">
        <f t="shared" si="2007"/>
        <v>349</v>
      </c>
      <c r="CR238" s="72">
        <f t="shared" si="2008"/>
        <v>389</v>
      </c>
      <c r="CS238" s="72">
        <f t="shared" si="2009"/>
        <v>402</v>
      </c>
      <c r="CT238" s="23">
        <f t="shared" si="2010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1983"/>
        <v>ednrb_human_6IGL</v>
      </c>
      <c r="B239" s="2" t="s">
        <v>196</v>
      </c>
      <c r="C239" s="2" t="s">
        <v>1524</v>
      </c>
      <c r="D239" s="3" t="str">
        <f>IFERROR(MID(VLOOKUP($B239,Seqs!$A:$B,2,0),E239,1),"")</f>
        <v>K</v>
      </c>
      <c r="E239" s="2">
        <v>97</v>
      </c>
      <c r="F239" s="3" t="str">
        <f>IFERROR(MID(VLOOKUP($B239,Seqs!$A:$B,2,0),G239,1),"")</f>
        <v>N</v>
      </c>
      <c r="G239" s="2">
        <v>129</v>
      </c>
      <c r="H239" s="3" t="str">
        <f>IFERROR(MID(VLOOKUP($B239,Seqs!$A:$B,2,0),I239,1),"")</f>
        <v/>
      </c>
      <c r="I239" s="56" t="s">
        <v>23</v>
      </c>
      <c r="J239" s="3" t="str">
        <f>IFERROR(MID(VLOOKUP($B239,Seqs!$A:$B,2,0),K239,1),"")</f>
        <v/>
      </c>
      <c r="K239" s="56" t="s">
        <v>23</v>
      </c>
      <c r="L239" s="3" t="str">
        <f>IFERROR(MID(VLOOKUP($B239,Seqs!$A:$B,2,0),M239,1),"")</f>
        <v>N</v>
      </c>
      <c r="M239" s="2">
        <v>134</v>
      </c>
      <c r="N239" s="3" t="str">
        <f>IFERROR(MID(VLOOKUP($B239,Seqs!$A:$B,2,0),O239,1),"")</f>
        <v>E</v>
      </c>
      <c r="O239" s="2">
        <v>165</v>
      </c>
      <c r="P239" s="3" t="str">
        <f>IFERROR(MID(VLOOKUP($B239,Seqs!$A:$B,2,0),Q239,1),"")</f>
        <v>D</v>
      </c>
      <c r="Q239" s="2">
        <v>166</v>
      </c>
      <c r="R239" s="3" t="str">
        <f>IFERROR(MID(VLOOKUP($B239,Seqs!$A:$B,2,0),S239,1),"")</f>
        <v>F</v>
      </c>
      <c r="S239" s="2">
        <v>169</v>
      </c>
      <c r="T239" s="3" t="str">
        <f>IFERROR(MID(VLOOKUP($B239,Seqs!$A:$B,2,0),U239,1),"")</f>
        <v>G</v>
      </c>
      <c r="U239" s="4">
        <v>170</v>
      </c>
      <c r="V239" s="3" t="str">
        <f>IFERROR(MID(VLOOKUP($B239,Seqs!$A:$B,2,0),W239,1),"")</f>
        <v>V</v>
      </c>
      <c r="W239" s="2">
        <v>203</v>
      </c>
      <c r="X239" s="3" t="str">
        <f>IFERROR(MID(VLOOKUP($B239,Seqs!$A:$B,2,0),Y239,1),"")</f>
        <v/>
      </c>
      <c r="Y239" s="2" t="s">
        <v>23</v>
      </c>
      <c r="Z239" s="3" t="str">
        <f>IFERROR(MID(VLOOKUP($B239,Seqs!$A:$B,2,0),AA239,1),"")</f>
        <v/>
      </c>
      <c r="AA239" s="2" t="s">
        <v>23</v>
      </c>
      <c r="AB239" s="3" t="str">
        <f>IFERROR(MID(VLOOKUP($B239,Seqs!$A:$B,2,0),AC239,1),"")</f>
        <v>W</v>
      </c>
      <c r="AC239" s="2">
        <v>217</v>
      </c>
      <c r="AD239" s="3" t="str">
        <f>IFERROR(MID(VLOOKUP($B239,Seqs!$A:$B,2,0),AE239,1),"")</f>
        <v>F</v>
      </c>
      <c r="AE239" s="2">
        <v>240</v>
      </c>
      <c r="AF239" s="3" t="str">
        <f>IFERROR(MID(VLOOKUP($B239,Seqs!$A:$B,2,0),AG239,1),"")</f>
        <v>C</v>
      </c>
      <c r="AG239" s="2">
        <v>255</v>
      </c>
      <c r="AH239" s="3" t="str">
        <f>IFERROR(MID(VLOOKUP($B239,Seqs!$A:$B,2,0),AI239,1),"")</f>
        <v>L</v>
      </c>
      <c r="AI239" s="2">
        <v>257</v>
      </c>
      <c r="AJ239" s="3" t="str">
        <f>IFERROR(MID(VLOOKUP($B239,Seqs!$A:$B,2,0),AK239,1),"")</f>
        <v>T</v>
      </c>
      <c r="AK239" s="2">
        <v>263</v>
      </c>
      <c r="AL239" s="3" t="str">
        <f>IFERROR(MID(VLOOKUP($B239,Seqs!$A:$B,2,0),AM239,1),"")</f>
        <v>K</v>
      </c>
      <c r="AM239" s="2">
        <v>303</v>
      </c>
      <c r="AN239" s="3" t="str">
        <f>IFERROR(MID(VLOOKUP($B239,Seqs!$A:$B,2,0),AO239,1),"")</f>
        <v>N</v>
      </c>
      <c r="AO239" s="2">
        <v>312</v>
      </c>
      <c r="AP239" s="3" t="str">
        <f>IFERROR(MID(VLOOKUP($B239,Seqs!$A:$B,2,0),AQ239,1),"")</f>
        <v>Y</v>
      </c>
      <c r="AQ239" s="2">
        <v>350</v>
      </c>
      <c r="AR239" s="3" t="str">
        <f>IFERROR(MID(VLOOKUP($B239,Seqs!$A:$B,2,0),AS239,1),"")</f>
        <v>R</v>
      </c>
      <c r="AS239" s="2">
        <v>357</v>
      </c>
      <c r="AT239" s="3" t="str">
        <f>IFERROR(MID(VLOOKUP($B239,Seqs!$A:$B,2,0),AU239,1),"")</f>
        <v>V</v>
      </c>
      <c r="AU239" s="2">
        <v>389</v>
      </c>
      <c r="AV239" s="3" t="str">
        <f>IFERROR(MID(VLOOKUP($B239,Seqs!$A:$B,2,0),AW239,1),"")</f>
        <v>S</v>
      </c>
      <c r="AW239" s="2">
        <v>390</v>
      </c>
      <c r="AX239" s="3" t="str">
        <f>IFERROR(MID(VLOOKUP($B239,Seqs!$A:$B,2,0),AY239,1),"")</f>
        <v>L</v>
      </c>
      <c r="AY239" s="2">
        <v>401</v>
      </c>
      <c r="AZ239" s="77" t="str">
        <f>VLOOKUP(B239,Classification!A:D,2,0)</f>
        <v>A</v>
      </c>
      <c r="BA239" s="94" t="str">
        <f>VLOOKUP(B239,Classification!A:D,4,0)</f>
        <v>Endothelin</v>
      </c>
      <c r="BB239" s="27" t="b">
        <f t="shared" si="1984"/>
        <v>1</v>
      </c>
      <c r="BC239" s="23">
        <f t="shared" si="1985"/>
        <v>257</v>
      </c>
      <c r="BD239" s="2" t="s">
        <v>23</v>
      </c>
      <c r="BE239" s="3" t="s">
        <v>1370</v>
      </c>
      <c r="BF239" s="118">
        <v>2.7</v>
      </c>
      <c r="BG239" s="49" t="s">
        <v>1</v>
      </c>
      <c r="BH239" s="49" t="s">
        <v>1</v>
      </c>
      <c r="BI239" s="2"/>
      <c r="BJ239" s="70" t="s">
        <v>1283</v>
      </c>
      <c r="BK239" s="57" t="s">
        <v>1283</v>
      </c>
      <c r="BL239" s="57" t="s">
        <v>1283</v>
      </c>
      <c r="BM239" s="57" t="s">
        <v>1283</v>
      </c>
      <c r="BN239" s="57" t="s">
        <v>1283</v>
      </c>
      <c r="BO239" s="57" t="s">
        <v>1283</v>
      </c>
      <c r="BP239" s="57" t="s">
        <v>1283</v>
      </c>
      <c r="BQ239" s="57" t="s">
        <v>1283</v>
      </c>
      <c r="BR239" s="57" t="s">
        <v>1283</v>
      </c>
      <c r="BS239" s="57" t="s">
        <v>1283</v>
      </c>
      <c r="BT239" s="57" t="s">
        <v>1283</v>
      </c>
      <c r="BU239" s="57" t="s">
        <v>1283</v>
      </c>
      <c r="BV239" s="70">
        <f t="shared" si="1986"/>
        <v>97</v>
      </c>
      <c r="BW239" s="71" t="str">
        <f t="shared" si="1987"/>
        <v>-</v>
      </c>
      <c r="BX239" s="72">
        <f t="shared" si="1988"/>
        <v>134</v>
      </c>
      <c r="BY239" s="71">
        <f t="shared" si="1989"/>
        <v>166</v>
      </c>
      <c r="BZ239" s="72">
        <f t="shared" si="1990"/>
        <v>170</v>
      </c>
      <c r="CA239" s="71" t="str">
        <f t="shared" si="1991"/>
        <v>-</v>
      </c>
      <c r="CB239" s="72">
        <f t="shared" si="1992"/>
        <v>217</v>
      </c>
      <c r="CC239" s="71">
        <f t="shared" si="1993"/>
        <v>255</v>
      </c>
      <c r="CD239" s="72">
        <f t="shared" si="1994"/>
        <v>263</v>
      </c>
      <c r="CE239" s="71">
        <f t="shared" si="1995"/>
        <v>312</v>
      </c>
      <c r="CF239" s="72">
        <f t="shared" si="1996"/>
        <v>357</v>
      </c>
      <c r="CG239" s="71">
        <f t="shared" si="1997"/>
        <v>390</v>
      </c>
      <c r="CH239" s="70">
        <f t="shared" si="1998"/>
        <v>129</v>
      </c>
      <c r="CI239" s="71" t="str">
        <f t="shared" si="1999"/>
        <v>-</v>
      </c>
      <c r="CJ239" s="72">
        <f t="shared" si="2000"/>
        <v>165</v>
      </c>
      <c r="CK239" s="72">
        <f t="shared" si="2001"/>
        <v>169</v>
      </c>
      <c r="CL239" s="72">
        <f t="shared" si="2002"/>
        <v>203</v>
      </c>
      <c r="CM239" s="72" t="str">
        <f t="shared" si="2003"/>
        <v>-</v>
      </c>
      <c r="CN239" s="72">
        <f t="shared" si="2004"/>
        <v>240</v>
      </c>
      <c r="CO239" s="72">
        <f t="shared" si="2005"/>
        <v>257</v>
      </c>
      <c r="CP239" s="72">
        <f t="shared" si="2006"/>
        <v>303</v>
      </c>
      <c r="CQ239" s="72">
        <f t="shared" si="2007"/>
        <v>350</v>
      </c>
      <c r="CR239" s="72">
        <f t="shared" si="2008"/>
        <v>389</v>
      </c>
      <c r="CS239" s="72">
        <f t="shared" si="2009"/>
        <v>401</v>
      </c>
      <c r="CT239" s="23" t="e">
        <f t="shared" si="2010"/>
        <v>#VALUE!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1983"/>
        <v>ednrb_human_6IGK</v>
      </c>
      <c r="B240" s="2" t="s">
        <v>196</v>
      </c>
      <c r="C240" s="2" t="s">
        <v>1525</v>
      </c>
      <c r="D240" s="3" t="str">
        <f>IFERROR(MID(VLOOKUP($B240,Seqs!$A:$B,2,0),E240,1),"")</f>
        <v>K</v>
      </c>
      <c r="E240" s="2">
        <v>97</v>
      </c>
      <c r="F240" s="3" t="str">
        <f>IFERROR(MID(VLOOKUP($B240,Seqs!$A:$B,2,0),G240,1),"")</f>
        <v>N</v>
      </c>
      <c r="G240" s="2">
        <v>129</v>
      </c>
      <c r="H240" s="3" t="str">
        <f>IFERROR(MID(VLOOKUP($B240,Seqs!$A:$B,2,0),I240,1),"")</f>
        <v/>
      </c>
      <c r="I240" s="56" t="s">
        <v>23</v>
      </c>
      <c r="J240" s="3" t="str">
        <f>IFERROR(MID(VLOOKUP($B240,Seqs!$A:$B,2,0),K240,1),"")</f>
        <v/>
      </c>
      <c r="K240" s="56" t="s">
        <v>23</v>
      </c>
      <c r="L240" s="3" t="str">
        <f>IFERROR(MID(VLOOKUP($B240,Seqs!$A:$B,2,0),M240,1),"")</f>
        <v>N</v>
      </c>
      <c r="M240" s="2">
        <v>134</v>
      </c>
      <c r="N240" s="3" t="str">
        <f>IFERROR(MID(VLOOKUP($B240,Seqs!$A:$B,2,0),O240,1),"")</f>
        <v>E</v>
      </c>
      <c r="O240" s="2">
        <v>165</v>
      </c>
      <c r="P240" s="3" t="str">
        <f>IFERROR(MID(VLOOKUP($B240,Seqs!$A:$B,2,0),Q240,1),"")</f>
        <v>D</v>
      </c>
      <c r="Q240" s="2">
        <v>166</v>
      </c>
      <c r="R240" s="3" t="str">
        <f>IFERROR(MID(VLOOKUP($B240,Seqs!$A:$B,2,0),S240,1),"")</f>
        <v>F</v>
      </c>
      <c r="S240" s="2">
        <v>169</v>
      </c>
      <c r="T240" s="3" t="str">
        <f>IFERROR(MID(VLOOKUP($B240,Seqs!$A:$B,2,0),U240,1),"")</f>
        <v>G</v>
      </c>
      <c r="U240" s="4">
        <v>170</v>
      </c>
      <c r="V240" s="3" t="str">
        <f>IFERROR(MID(VLOOKUP($B240,Seqs!$A:$B,2,0),W240,1),"")</f>
        <v>S</v>
      </c>
      <c r="W240" s="2">
        <v>205</v>
      </c>
      <c r="X240" s="3" t="str">
        <f>IFERROR(MID(VLOOKUP($B240,Seqs!$A:$B,2,0),Y240,1),"")</f>
        <v/>
      </c>
      <c r="Y240" s="2" t="s">
        <v>23</v>
      </c>
      <c r="Z240" s="3" t="str">
        <f>IFERROR(MID(VLOOKUP($B240,Seqs!$A:$B,2,0),AA240,1),"")</f>
        <v/>
      </c>
      <c r="AA240" s="2" t="s">
        <v>23</v>
      </c>
      <c r="AB240" s="3" t="str">
        <f>IFERROR(MID(VLOOKUP($B240,Seqs!$A:$B,2,0),AC240,1),"")</f>
        <v>P</v>
      </c>
      <c r="AC240" s="2">
        <v>215</v>
      </c>
      <c r="AD240" s="3" t="str">
        <f>IFERROR(MID(VLOOKUP($B240,Seqs!$A:$B,2,0),AE240,1),"")</f>
        <v>F</v>
      </c>
      <c r="AE240" s="2">
        <v>240</v>
      </c>
      <c r="AF240" s="3" t="str">
        <f>IFERROR(MID(VLOOKUP($B240,Seqs!$A:$B,2,0),AG240,1),"")</f>
        <v>C</v>
      </c>
      <c r="AG240" s="2">
        <v>255</v>
      </c>
      <c r="AH240" s="3" t="str">
        <f>IFERROR(MID(VLOOKUP($B240,Seqs!$A:$B,2,0),AI240,1),"")</f>
        <v>L</v>
      </c>
      <c r="AI240" s="2">
        <v>257</v>
      </c>
      <c r="AJ240" s="3" t="str">
        <f>IFERROR(MID(VLOOKUP($B240,Seqs!$A:$B,2,0),AK240,1),"")</f>
        <v>T</v>
      </c>
      <c r="AK240" s="2">
        <v>263</v>
      </c>
      <c r="AL240" s="3" t="str">
        <f>IFERROR(MID(VLOOKUP($B240,Seqs!$A:$B,2,0),AM240,1),"")</f>
        <v>K</v>
      </c>
      <c r="AM240" s="2">
        <v>303</v>
      </c>
      <c r="AN240" s="3" t="str">
        <f>IFERROR(MID(VLOOKUP($B240,Seqs!$A:$B,2,0),AO240,1),"")</f>
        <v>N</v>
      </c>
      <c r="AO240" s="2">
        <v>312</v>
      </c>
      <c r="AP240" s="3" t="str">
        <f>IFERROR(MID(VLOOKUP($B240,Seqs!$A:$B,2,0),AQ240,1),"")</f>
        <v>Y</v>
      </c>
      <c r="AQ240" s="2">
        <v>350</v>
      </c>
      <c r="AR240" s="3" t="str">
        <f>IFERROR(MID(VLOOKUP($B240,Seqs!$A:$B,2,0),AS240,1),"")</f>
        <v>N</v>
      </c>
      <c r="AS240" s="2">
        <v>356</v>
      </c>
      <c r="AT240" s="3" t="str">
        <f>IFERROR(MID(VLOOKUP($B240,Seqs!$A:$B,2,0),AU240,1),"")</f>
        <v>V</v>
      </c>
      <c r="AU240" s="2">
        <v>389</v>
      </c>
      <c r="AV240" s="3" t="str">
        <f>IFERROR(MID(VLOOKUP($B240,Seqs!$A:$B,2,0),AW240,1),"")</f>
        <v>S</v>
      </c>
      <c r="AW240" s="2">
        <v>390</v>
      </c>
      <c r="AX240" s="3" t="str">
        <f>IFERROR(MID(VLOOKUP($B240,Seqs!$A:$B,2,0),AY240,1),"")</f>
        <v>C</v>
      </c>
      <c r="AY240" s="2">
        <v>402</v>
      </c>
      <c r="AZ240" s="77" t="str">
        <f>VLOOKUP(B240,Classification!A:D,2,0)</f>
        <v>A</v>
      </c>
      <c r="BA240" s="94" t="str">
        <f>VLOOKUP(B240,Classification!A:D,4,0)</f>
        <v>Endothelin</v>
      </c>
      <c r="BB240" s="27" t="b">
        <f t="shared" si="1984"/>
        <v>1</v>
      </c>
      <c r="BC240" s="23">
        <f t="shared" si="1985"/>
        <v>263</v>
      </c>
      <c r="BD240" s="2" t="s">
        <v>23</v>
      </c>
      <c r="BE240" s="3" t="s">
        <v>1370</v>
      </c>
      <c r="BF240" s="118">
        <v>2</v>
      </c>
      <c r="BG240" s="49" t="s">
        <v>1</v>
      </c>
      <c r="BH240" s="49" t="s">
        <v>1</v>
      </c>
      <c r="BI240" s="2"/>
      <c r="BJ240" s="70" t="s">
        <v>1283</v>
      </c>
      <c r="BK240" s="57" t="s">
        <v>1283</v>
      </c>
      <c r="BL240" s="57" t="s">
        <v>1283</v>
      </c>
      <c r="BM240" s="57" t="s">
        <v>1283</v>
      </c>
      <c r="BN240" s="57" t="s">
        <v>1283</v>
      </c>
      <c r="BO240" s="57" t="s">
        <v>1283</v>
      </c>
      <c r="BP240" s="57" t="s">
        <v>1283</v>
      </c>
      <c r="BQ240" s="57" t="s">
        <v>1283</v>
      </c>
      <c r="BR240" s="57" t="s">
        <v>1283</v>
      </c>
      <c r="BS240" s="57" t="s">
        <v>1283</v>
      </c>
      <c r="BT240" s="57" t="s">
        <v>1283</v>
      </c>
      <c r="BU240" s="57" t="s">
        <v>1283</v>
      </c>
      <c r="BV240" s="70">
        <f t="shared" si="1986"/>
        <v>97</v>
      </c>
      <c r="BW240" s="71" t="str">
        <f t="shared" si="1987"/>
        <v>-</v>
      </c>
      <c r="BX240" s="72">
        <f t="shared" si="1988"/>
        <v>134</v>
      </c>
      <c r="BY240" s="71">
        <f t="shared" si="1989"/>
        <v>166</v>
      </c>
      <c r="BZ240" s="72">
        <f t="shared" si="1990"/>
        <v>170</v>
      </c>
      <c r="CA240" s="71" t="str">
        <f t="shared" si="1991"/>
        <v>-</v>
      </c>
      <c r="CB240" s="72">
        <f t="shared" si="1992"/>
        <v>215</v>
      </c>
      <c r="CC240" s="71">
        <f t="shared" si="1993"/>
        <v>255</v>
      </c>
      <c r="CD240" s="72">
        <f t="shared" si="1994"/>
        <v>263</v>
      </c>
      <c r="CE240" s="71">
        <f t="shared" si="1995"/>
        <v>312</v>
      </c>
      <c r="CF240" s="72">
        <f t="shared" si="1996"/>
        <v>356</v>
      </c>
      <c r="CG240" s="71">
        <f t="shared" si="1997"/>
        <v>390</v>
      </c>
      <c r="CH240" s="70">
        <f t="shared" si="1998"/>
        <v>129</v>
      </c>
      <c r="CI240" s="71" t="str">
        <f t="shared" si="1999"/>
        <v>-</v>
      </c>
      <c r="CJ240" s="72">
        <f t="shared" si="2000"/>
        <v>165</v>
      </c>
      <c r="CK240" s="72">
        <f t="shared" si="2001"/>
        <v>169</v>
      </c>
      <c r="CL240" s="72">
        <f t="shared" si="2002"/>
        <v>205</v>
      </c>
      <c r="CM240" s="72" t="str">
        <f t="shared" si="2003"/>
        <v>-</v>
      </c>
      <c r="CN240" s="72">
        <f t="shared" si="2004"/>
        <v>240</v>
      </c>
      <c r="CO240" s="72">
        <f t="shared" si="2005"/>
        <v>257</v>
      </c>
      <c r="CP240" s="72">
        <f t="shared" si="2006"/>
        <v>303</v>
      </c>
      <c r="CQ240" s="72">
        <f t="shared" si="2007"/>
        <v>350</v>
      </c>
      <c r="CR240" s="72">
        <f t="shared" si="2008"/>
        <v>389</v>
      </c>
      <c r="CS240" s="72">
        <f t="shared" si="2009"/>
        <v>402</v>
      </c>
      <c r="CT240" s="23" t="e">
        <f t="shared" si="2010"/>
        <v>#VALUE!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1983"/>
        <v>ednrb_human_6K1Q</v>
      </c>
      <c r="B241" s="2" t="s">
        <v>196</v>
      </c>
      <c r="C241" s="2" t="s">
        <v>1582</v>
      </c>
      <c r="D241" s="3" t="str">
        <f>IFERROR(MID(VLOOKUP($B241,Seqs!$A:$B,2,0),E241,1),"")</f>
        <v>Q</v>
      </c>
      <c r="E241" s="2">
        <v>91</v>
      </c>
      <c r="F241" s="3" t="str">
        <f>IFERROR(MID(VLOOKUP($B241,Seqs!$A:$B,2,0),G241,1),"")</f>
        <v>N</v>
      </c>
      <c r="G241" s="2">
        <v>129</v>
      </c>
      <c r="H241" s="3" t="str">
        <f>IFERROR(MID(VLOOKUP($B241,Seqs!$A:$B,2,0),I241,1),"")</f>
        <v/>
      </c>
      <c r="I241" s="56" t="s">
        <v>23</v>
      </c>
      <c r="J241" s="3" t="str">
        <f>IFERROR(MID(VLOOKUP($B241,Seqs!$A:$B,2,0),K241,1),"")</f>
        <v/>
      </c>
      <c r="K241" s="56" t="s">
        <v>23</v>
      </c>
      <c r="L241" s="3" t="str">
        <f>IFERROR(MID(VLOOKUP($B241,Seqs!$A:$B,2,0),M241,1),"")</f>
        <v>N</v>
      </c>
      <c r="M241" s="2">
        <v>134</v>
      </c>
      <c r="N241" s="3" t="str">
        <f>IFERROR(MID(VLOOKUP($B241,Seqs!$A:$B,2,0),O241,1),"")</f>
        <v>A</v>
      </c>
      <c r="O241" s="2">
        <v>164</v>
      </c>
      <c r="P241" s="3" t="str">
        <f>IFERROR(MID(VLOOKUP($B241,Seqs!$A:$B,2,0),Q241,1),"")</f>
        <v>D</v>
      </c>
      <c r="Q241" s="2">
        <v>166</v>
      </c>
      <c r="R241" s="3" t="str">
        <f>IFERROR(MID(VLOOKUP($B241,Seqs!$A:$B,2,0),S241,1),"")</f>
        <v>F</v>
      </c>
      <c r="S241" s="2">
        <v>169</v>
      </c>
      <c r="T241" s="3" t="str">
        <f>IFERROR(MID(VLOOKUP($B241,Seqs!$A:$B,2,0),U241,1),"")</f>
        <v>G</v>
      </c>
      <c r="U241" s="4">
        <v>170</v>
      </c>
      <c r="V241" s="3" t="str">
        <f>IFERROR(MID(VLOOKUP($B241,Seqs!$A:$B,2,0),W241,1),"")</f>
        <v>V</v>
      </c>
      <c r="W241" s="2">
        <v>203</v>
      </c>
      <c r="X241" s="3" t="str">
        <f>IFERROR(MID(VLOOKUP($B241,Seqs!$A:$B,2,0),Y241,1),"")</f>
        <v/>
      </c>
      <c r="Y241" s="2" t="s">
        <v>23</v>
      </c>
      <c r="Z241" s="3" t="str">
        <f>IFERROR(MID(VLOOKUP($B241,Seqs!$A:$B,2,0),AA241,1),"")</f>
        <v/>
      </c>
      <c r="AA241" s="2" t="s">
        <v>23</v>
      </c>
      <c r="AB241" s="3" t="str">
        <f>IFERROR(MID(VLOOKUP($B241,Seqs!$A:$B,2,0),AC241,1),"")</f>
        <v>K</v>
      </c>
      <c r="AC241" s="2">
        <v>216</v>
      </c>
      <c r="AD241" s="3" t="str">
        <f>IFERROR(MID(VLOOKUP($B241,Seqs!$A:$B,2,0),AE241,1),"")</f>
        <v>F</v>
      </c>
      <c r="AE241" s="2">
        <v>240</v>
      </c>
      <c r="AF241" s="3" t="str">
        <f>IFERROR(MID(VLOOKUP($B241,Seqs!$A:$B,2,0),AG241,1),"")</f>
        <v>C</v>
      </c>
      <c r="AG241" s="2">
        <v>255</v>
      </c>
      <c r="AH241" s="3" t="str">
        <f>IFERROR(MID(VLOOKUP($B241,Seqs!$A:$B,2,0),AI241,1),"")</f>
        <v>L</v>
      </c>
      <c r="AI241" s="2">
        <v>257</v>
      </c>
      <c r="AJ241" s="3" t="str">
        <f>IFERROR(MID(VLOOKUP($B241,Seqs!$A:$B,2,0),AK241,1),"")</f>
        <v>T</v>
      </c>
      <c r="AK241" s="2">
        <v>263</v>
      </c>
      <c r="AL241" s="3" t="str">
        <f>IFERROR(MID(VLOOKUP($B241,Seqs!$A:$B,2,0),AM241,1),"")</f>
        <v>K</v>
      </c>
      <c r="AM241" s="2">
        <v>303</v>
      </c>
      <c r="AN241" s="3" t="str">
        <f>IFERROR(MID(VLOOKUP($B241,Seqs!$A:$B,2,0),AO241,1),"")</f>
        <v>N</v>
      </c>
      <c r="AO241" s="2">
        <v>312</v>
      </c>
      <c r="AP241" s="3" t="str">
        <f>IFERROR(MID(VLOOKUP($B241,Seqs!$A:$B,2,0),AQ241,1),"")</f>
        <v>L</v>
      </c>
      <c r="AQ241" s="2">
        <v>349</v>
      </c>
      <c r="AR241" s="3" t="str">
        <f>IFERROR(MID(VLOOKUP($B241,Seqs!$A:$B,2,0),AS241,1),"")</f>
        <v>N</v>
      </c>
      <c r="AS241" s="2">
        <v>356</v>
      </c>
      <c r="AT241" s="3" t="str">
        <f>IFERROR(MID(VLOOKUP($B241,Seqs!$A:$B,2,0),AU241,1),"")</f>
        <v>V</v>
      </c>
      <c r="AU241" s="2">
        <v>389</v>
      </c>
      <c r="AV241" s="3" t="str">
        <f>IFERROR(MID(VLOOKUP($B241,Seqs!$A:$B,2,0),AW241,1),"")</f>
        <v>S</v>
      </c>
      <c r="AW241" s="2">
        <v>390</v>
      </c>
      <c r="AX241" s="3" t="str">
        <f>IFERROR(MID(VLOOKUP($B241,Seqs!$A:$B,2,0),AY241,1),"")</f>
        <v>C</v>
      </c>
      <c r="AY241" s="2">
        <v>403</v>
      </c>
      <c r="AZ241" s="77" t="str">
        <f>VLOOKUP(B241,Classification!A:D,2,0)</f>
        <v>A</v>
      </c>
      <c r="BA241" s="94" t="str">
        <f>VLOOKUP(B241,Classification!A:D,4,0)</f>
        <v>Endothelin</v>
      </c>
      <c r="BB241" s="27" t="b">
        <f t="shared" si="1984"/>
        <v>1</v>
      </c>
      <c r="BC241" s="23">
        <f t="shared" si="1985"/>
        <v>265</v>
      </c>
      <c r="BD241" s="2" t="s">
        <v>23</v>
      </c>
      <c r="BE241" s="3" t="s">
        <v>1370</v>
      </c>
      <c r="BF241" s="118">
        <v>2.7</v>
      </c>
      <c r="BG241" s="49" t="s">
        <v>1</v>
      </c>
      <c r="BH241" s="49" t="s">
        <v>1</v>
      </c>
      <c r="BI241" s="2"/>
      <c r="BJ241" s="70" t="s">
        <v>1283</v>
      </c>
      <c r="BK241" s="57" t="s">
        <v>1283</v>
      </c>
      <c r="BL241" s="57" t="s">
        <v>1283</v>
      </c>
      <c r="BM241" s="57" t="s">
        <v>1283</v>
      </c>
      <c r="BN241" s="57" t="s">
        <v>1283</v>
      </c>
      <c r="BO241" s="57" t="s">
        <v>1283</v>
      </c>
      <c r="BP241" s="57" t="s">
        <v>1283</v>
      </c>
      <c r="BQ241" s="57" t="s">
        <v>1283</v>
      </c>
      <c r="BR241" s="57" t="s">
        <v>1283</v>
      </c>
      <c r="BS241" s="57" t="s">
        <v>1283</v>
      </c>
      <c r="BT241" s="57" t="s">
        <v>1283</v>
      </c>
      <c r="BU241" s="57" t="s">
        <v>1283</v>
      </c>
      <c r="BV241" s="70">
        <f t="shared" si="1986"/>
        <v>91</v>
      </c>
      <c r="BW241" s="71" t="str">
        <f t="shared" si="1987"/>
        <v>-</v>
      </c>
      <c r="BX241" s="72">
        <f t="shared" si="1988"/>
        <v>134</v>
      </c>
      <c r="BY241" s="71">
        <f t="shared" si="1989"/>
        <v>166</v>
      </c>
      <c r="BZ241" s="72">
        <f t="shared" si="1990"/>
        <v>170</v>
      </c>
      <c r="CA241" s="71" t="str">
        <f t="shared" si="1991"/>
        <v>-</v>
      </c>
      <c r="CB241" s="72">
        <f t="shared" si="1992"/>
        <v>216</v>
      </c>
      <c r="CC241" s="71">
        <f t="shared" si="1993"/>
        <v>255</v>
      </c>
      <c r="CD241" s="72">
        <f t="shared" si="1994"/>
        <v>263</v>
      </c>
      <c r="CE241" s="71">
        <f t="shared" si="1995"/>
        <v>312</v>
      </c>
      <c r="CF241" s="72">
        <f t="shared" si="1996"/>
        <v>356</v>
      </c>
      <c r="CG241" s="71">
        <f t="shared" si="1997"/>
        <v>390</v>
      </c>
      <c r="CH241" s="70">
        <f t="shared" si="1998"/>
        <v>129</v>
      </c>
      <c r="CI241" s="71" t="str">
        <f t="shared" si="1999"/>
        <v>-</v>
      </c>
      <c r="CJ241" s="72">
        <f t="shared" si="2000"/>
        <v>164</v>
      </c>
      <c r="CK241" s="72">
        <f t="shared" si="2001"/>
        <v>169</v>
      </c>
      <c r="CL241" s="72">
        <f t="shared" si="2002"/>
        <v>203</v>
      </c>
      <c r="CM241" s="72" t="str">
        <f t="shared" si="2003"/>
        <v>-</v>
      </c>
      <c r="CN241" s="72">
        <f t="shared" si="2004"/>
        <v>240</v>
      </c>
      <c r="CO241" s="72">
        <f t="shared" si="2005"/>
        <v>257</v>
      </c>
      <c r="CP241" s="72">
        <f t="shared" si="2006"/>
        <v>303</v>
      </c>
      <c r="CQ241" s="72">
        <f t="shared" si="2007"/>
        <v>349</v>
      </c>
      <c r="CR241" s="72">
        <f t="shared" si="2008"/>
        <v>389</v>
      </c>
      <c r="CS241" s="72">
        <f t="shared" si="2009"/>
        <v>403</v>
      </c>
      <c r="CT241" s="23" t="e">
        <f t="shared" si="2010"/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si="1983"/>
        <v>ednrb_human_6LRY</v>
      </c>
      <c r="B242" s="2" t="s">
        <v>196</v>
      </c>
      <c r="C242" s="2" t="s">
        <v>1644</v>
      </c>
      <c r="D242" s="3" t="str">
        <f>IFERROR(MID(VLOOKUP($B242,Seqs!$A:$B,2,0),E242,1),"")</f>
        <v>K</v>
      </c>
      <c r="E242" s="2">
        <v>97</v>
      </c>
      <c r="F242" s="3" t="str">
        <f>IFERROR(MID(VLOOKUP($B242,Seqs!$A:$B,2,0),G242,1),"")</f>
        <v>N</v>
      </c>
      <c r="G242" s="2">
        <v>129</v>
      </c>
      <c r="H242" s="3" t="str">
        <f>IFERROR(MID(VLOOKUP($B242,Seqs!$A:$B,2,0),I242,1),"")</f>
        <v/>
      </c>
      <c r="I242" s="56" t="s">
        <v>23</v>
      </c>
      <c r="J242" s="3" t="str">
        <f>IFERROR(MID(VLOOKUP($B242,Seqs!$A:$B,2,0),K242,1),"")</f>
        <v/>
      </c>
      <c r="K242" s="56" t="s">
        <v>23</v>
      </c>
      <c r="L242" s="3" t="str">
        <f>IFERROR(MID(VLOOKUP($B242,Seqs!$A:$B,2,0),M242,1),"")</f>
        <v>G</v>
      </c>
      <c r="M242" s="2">
        <v>135</v>
      </c>
      <c r="N242" s="3" t="str">
        <f>IFERROR(MID(VLOOKUP($B242,Seqs!$A:$B,2,0),O242,1),"")</f>
        <v>A</v>
      </c>
      <c r="O242" s="2">
        <v>164</v>
      </c>
      <c r="P242" s="3" t="str">
        <f>IFERROR(MID(VLOOKUP($B242,Seqs!$A:$B,2,0),Q242,1),"")</f>
        <v>D</v>
      </c>
      <c r="Q242" s="2">
        <v>166</v>
      </c>
      <c r="R242" s="3" t="str">
        <f>IFERROR(MID(VLOOKUP($B242,Seqs!$A:$B,2,0),S242,1),"")</f>
        <v>F</v>
      </c>
      <c r="S242" s="2">
        <v>169</v>
      </c>
      <c r="T242" s="3" t="str">
        <f>IFERROR(MID(VLOOKUP($B242,Seqs!$A:$B,2,0),U242,1),"")</f>
        <v>G</v>
      </c>
      <c r="U242" s="4">
        <v>170</v>
      </c>
      <c r="V242" s="3" t="str">
        <f>IFERROR(MID(VLOOKUP($B242,Seqs!$A:$B,2,0),W242,1),"")</f>
        <v>A</v>
      </c>
      <c r="W242" s="2">
        <v>204</v>
      </c>
      <c r="X242" s="3" t="str">
        <f>IFERROR(MID(VLOOKUP($B242,Seqs!$A:$B,2,0),Y242,1),"")</f>
        <v/>
      </c>
      <c r="Y242" s="2" t="s">
        <v>23</v>
      </c>
      <c r="Z242" s="3" t="str">
        <f>IFERROR(MID(VLOOKUP($B242,Seqs!$A:$B,2,0),AA242,1),"")</f>
        <v/>
      </c>
      <c r="AA242" s="2" t="s">
        <v>23</v>
      </c>
      <c r="AB242" s="3" t="str">
        <f>IFERROR(MID(VLOOKUP($B242,Seqs!$A:$B,2,0),AC242,1),"")</f>
        <v>K</v>
      </c>
      <c r="AC242" s="2">
        <v>216</v>
      </c>
      <c r="AD242" s="3" t="str">
        <f>IFERROR(MID(VLOOKUP($B242,Seqs!$A:$B,2,0),AE242,1),"")</f>
        <v>F</v>
      </c>
      <c r="AE242" s="2">
        <v>240</v>
      </c>
      <c r="AF242" s="3" t="str">
        <f>IFERROR(MID(VLOOKUP($B242,Seqs!$A:$B,2,0),AG242,1),"")</f>
        <v>C</v>
      </c>
      <c r="AG242" s="2">
        <v>255</v>
      </c>
      <c r="AH242" s="3" t="str">
        <f>IFERROR(MID(VLOOKUP($B242,Seqs!$A:$B,2,0),AI242,1),"")</f>
        <v>L</v>
      </c>
      <c r="AI242" s="2">
        <v>257</v>
      </c>
      <c r="AJ242" s="3" t="str">
        <f>IFERROR(MID(VLOOKUP($B242,Seqs!$A:$B,2,0),AK242,1),"")</f>
        <v>T</v>
      </c>
      <c r="AK242" s="2">
        <v>263</v>
      </c>
      <c r="AL242" s="3" t="str">
        <f>IFERROR(MID(VLOOKUP($B242,Seqs!$A:$B,2,0),AM242,1),"")</f>
        <v>K</v>
      </c>
      <c r="AM242" s="2">
        <v>303</v>
      </c>
      <c r="AN242" s="3" t="str">
        <f>IFERROR(MID(VLOOKUP($B242,Seqs!$A:$B,2,0),AO242,1),"")</f>
        <v>N</v>
      </c>
      <c r="AO242" s="2">
        <v>312</v>
      </c>
      <c r="AP242" s="3" t="str">
        <f>IFERROR(MID(VLOOKUP($B242,Seqs!$A:$B,2,0),AQ242,1),"")</f>
        <v>Y</v>
      </c>
      <c r="AQ242" s="2">
        <v>350</v>
      </c>
      <c r="AR242" s="3" t="str">
        <f>IFERROR(MID(VLOOKUP($B242,Seqs!$A:$B,2,0),AS242,1),"")</f>
        <v>R</v>
      </c>
      <c r="AS242" s="2">
        <v>357</v>
      </c>
      <c r="AT242" s="3" t="str">
        <f>IFERROR(MID(VLOOKUP($B242,Seqs!$A:$B,2,0),AU242,1),"")</f>
        <v>V</v>
      </c>
      <c r="AU242" s="2">
        <v>389</v>
      </c>
      <c r="AV242" s="3" t="str">
        <f>IFERROR(MID(VLOOKUP($B242,Seqs!$A:$B,2,0),AW242,1),"")</f>
        <v>S</v>
      </c>
      <c r="AW242" s="2">
        <v>390</v>
      </c>
      <c r="AX242" s="3" t="str">
        <f>IFERROR(MID(VLOOKUP($B242,Seqs!$A:$B,2,0),AY242,1),"")</f>
        <v>C</v>
      </c>
      <c r="AY242" s="2">
        <v>400</v>
      </c>
      <c r="AZ242" s="77" t="str">
        <f>VLOOKUP(B242,Classification!A:D,2,0)</f>
        <v>A</v>
      </c>
      <c r="BA242" s="94" t="str">
        <f>VLOOKUP(B242,Classification!A:D,4,0)</f>
        <v>Endothelin</v>
      </c>
      <c r="BB242" s="27" t="b">
        <f t="shared" si="1984"/>
        <v>1</v>
      </c>
      <c r="BC242" s="23">
        <f t="shared" si="1985"/>
        <v>256</v>
      </c>
      <c r="BD242" s="2" t="s">
        <v>1425</v>
      </c>
      <c r="BE242" s="3" t="s">
        <v>1467</v>
      </c>
      <c r="BF242" s="118">
        <v>3</v>
      </c>
      <c r="BG242" s="49" t="s">
        <v>1</v>
      </c>
      <c r="BH242" s="49" t="s">
        <v>1</v>
      </c>
      <c r="BI242" s="2"/>
      <c r="BJ242" s="70" t="s">
        <v>1283</v>
      </c>
      <c r="BK242" s="57" t="s">
        <v>1283</v>
      </c>
      <c r="BL242" s="57" t="s">
        <v>1283</v>
      </c>
      <c r="BM242" s="57" t="s">
        <v>1283</v>
      </c>
      <c r="BN242" s="57" t="s">
        <v>1283</v>
      </c>
      <c r="BO242" s="57" t="s">
        <v>1283</v>
      </c>
      <c r="BP242" s="57" t="s">
        <v>1283</v>
      </c>
      <c r="BQ242" s="57" t="s">
        <v>1283</v>
      </c>
      <c r="BR242" s="57" t="s">
        <v>1283</v>
      </c>
      <c r="BS242" s="57" t="s">
        <v>1283</v>
      </c>
      <c r="BT242" s="57" t="s">
        <v>1283</v>
      </c>
      <c r="BU242" s="57" t="s">
        <v>1283</v>
      </c>
      <c r="BV242" s="70">
        <f t="shared" si="1986"/>
        <v>97</v>
      </c>
      <c r="BW242" s="71" t="str">
        <f t="shared" si="1987"/>
        <v>-</v>
      </c>
      <c r="BX242" s="72">
        <f t="shared" si="1988"/>
        <v>135</v>
      </c>
      <c r="BY242" s="71">
        <f t="shared" si="1989"/>
        <v>166</v>
      </c>
      <c r="BZ242" s="72">
        <f t="shared" si="1990"/>
        <v>170</v>
      </c>
      <c r="CA242" s="71" t="str">
        <f t="shared" si="1991"/>
        <v>-</v>
      </c>
      <c r="CB242" s="72">
        <f t="shared" si="1992"/>
        <v>216</v>
      </c>
      <c r="CC242" s="71">
        <f t="shared" si="1993"/>
        <v>255</v>
      </c>
      <c r="CD242" s="72">
        <f t="shared" si="1994"/>
        <v>263</v>
      </c>
      <c r="CE242" s="71">
        <f t="shared" si="1995"/>
        <v>312</v>
      </c>
      <c r="CF242" s="72">
        <f t="shared" si="1996"/>
        <v>357</v>
      </c>
      <c r="CG242" s="71">
        <f t="shared" si="1997"/>
        <v>390</v>
      </c>
      <c r="CH242" s="70">
        <f t="shared" si="1998"/>
        <v>129</v>
      </c>
      <c r="CI242" s="71" t="str">
        <f t="shared" si="1999"/>
        <v>-</v>
      </c>
      <c r="CJ242" s="72">
        <f t="shared" si="2000"/>
        <v>164</v>
      </c>
      <c r="CK242" s="72">
        <f t="shared" si="2001"/>
        <v>169</v>
      </c>
      <c r="CL242" s="72">
        <f t="shared" si="2002"/>
        <v>204</v>
      </c>
      <c r="CM242" s="72" t="str">
        <f t="shared" si="2003"/>
        <v>-</v>
      </c>
      <c r="CN242" s="72">
        <f t="shared" si="2004"/>
        <v>240</v>
      </c>
      <c r="CO242" s="72">
        <f t="shared" si="2005"/>
        <v>257</v>
      </c>
      <c r="CP242" s="72">
        <f t="shared" si="2006"/>
        <v>303</v>
      </c>
      <c r="CQ242" s="72">
        <f t="shared" si="2007"/>
        <v>350</v>
      </c>
      <c r="CR242" s="72">
        <f t="shared" si="2008"/>
        <v>389</v>
      </c>
      <c r="CS242" s="72">
        <f t="shared" si="2009"/>
        <v>400</v>
      </c>
      <c r="CT242" s="23" t="e">
        <f t="shared" si="2010"/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1231"/>
        <v>ffar1_human__wt</v>
      </c>
      <c r="B243" s="3" t="s">
        <v>1168</v>
      </c>
      <c r="C243" s="3" t="s">
        <v>100</v>
      </c>
      <c r="D243" s="3" t="str">
        <f>IFERROR(MID(VLOOKUP($B243,Seqs!$A:$B,2,0),E243,1),"")</f>
        <v>P</v>
      </c>
      <c r="E243" s="3">
        <v>4</v>
      </c>
      <c r="F243" s="3" t="str">
        <f>IFERROR(MID(VLOOKUP($B243,Seqs!$A:$B,2,0),G243,1),"")</f>
        <v>R</v>
      </c>
      <c r="G243" s="3">
        <v>37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T</v>
      </c>
      <c r="M243" s="3">
        <v>39</v>
      </c>
      <c r="N243" s="3" t="str">
        <f>IFERROR(MID(VLOOKUP($B243,Seqs!$A:$B,2,0),O243,1),"")</f>
        <v>S</v>
      </c>
      <c r="O243" s="3">
        <v>69</v>
      </c>
      <c r="P243" s="3" t="str">
        <f>IFERROR(MID(VLOOKUP($B243,Seqs!$A:$B,2,0),Q243,1),"")</f>
        <v>A</v>
      </c>
      <c r="Q243" s="3">
        <v>71</v>
      </c>
      <c r="R243" s="3" t="str">
        <f>IFERROR(MID(VLOOKUP($B243,Seqs!$A:$B,2,0),S243,1),"")</f>
        <v>L</v>
      </c>
      <c r="S243" s="3">
        <v>74</v>
      </c>
      <c r="T243" s="3" t="str">
        <f>IFERROR(MID(VLOOKUP($B243,Seqs!$A:$B,2,0),U243,1),"")</f>
        <v>P</v>
      </c>
      <c r="U243" s="3">
        <v>75</v>
      </c>
      <c r="V243" s="3" t="str">
        <f>IFERROR(MID(VLOOKUP($B243,Seqs!$A:$B,2,0),W243,1),"")</f>
        <v>F</v>
      </c>
      <c r="W243" s="3">
        <v>110</v>
      </c>
      <c r="X243" s="3" t="str">
        <f>IFERROR(MID(VLOOKUP($B243,Seqs!$A:$B,2,0),Y243,1),"")</f>
        <v>P</v>
      </c>
      <c r="Y243" s="3">
        <v>111</v>
      </c>
      <c r="Z243" s="3" t="str">
        <f>IFERROR(MID(VLOOKUP($B243,Seqs!$A:$B,2,0),AA243,1),"")</f>
        <v>R</v>
      </c>
      <c r="AA243" s="3">
        <v>118</v>
      </c>
      <c r="AB243" s="3" t="str">
        <f>IFERROR(MID(VLOOKUP($B243,Seqs!$A:$B,2,0),AC243,1),"")</f>
        <v>R</v>
      </c>
      <c r="AC243" s="3">
        <v>119</v>
      </c>
      <c r="AD243" s="3" t="str">
        <f>IFERROR(MID(VLOOKUP($B243,Seqs!$A:$B,2,0),AE243,1),"")</f>
        <v>A</v>
      </c>
      <c r="AE243" s="3">
        <v>146</v>
      </c>
      <c r="AF243" s="3" t="str">
        <f>IFERROR(MID(VLOOKUP($B243,Seqs!$A:$B,2,0),AG243,1),"")</f>
        <v>C</v>
      </c>
      <c r="AG243" s="3">
        <v>170</v>
      </c>
      <c r="AH243" s="3" t="str">
        <f>IFERROR(MID(VLOOKUP($B243,Seqs!$A:$B,2,0),AI243,1),"")</f>
        <v>E</v>
      </c>
      <c r="AI243" s="3">
        <v>172</v>
      </c>
      <c r="AJ243" s="3" t="str">
        <f>IFERROR(MID(VLOOKUP($B243,Seqs!$A:$B,2,0),AK243,1),"")</f>
        <v>D</v>
      </c>
      <c r="AK243" s="3">
        <v>175</v>
      </c>
      <c r="AL243" s="3" t="str">
        <f>IFERROR(MID(VLOOKUP($B243,Seqs!$A:$B,2,0),AM243,1),"")</f>
        <v>R</v>
      </c>
      <c r="AM243" s="3">
        <v>211</v>
      </c>
      <c r="AN243" s="3" t="str">
        <f>IFERROR(MID(VLOOKUP($B243,Seqs!$A:$B,2,0),AO243,1),"")</f>
        <v>R</v>
      </c>
      <c r="AO243" s="3">
        <v>217</v>
      </c>
      <c r="AP243" s="3" t="str">
        <f>IFERROR(MID(VLOOKUP($B243,Seqs!$A:$B,2,0),AQ243,1),"")</f>
        <v>Y</v>
      </c>
      <c r="AQ243" s="3">
        <v>250</v>
      </c>
      <c r="AR243" s="3" t="str">
        <f>IFERROR(MID(VLOOKUP($B243,Seqs!$A:$B,2,0),AS243,1),"")</f>
        <v>G</v>
      </c>
      <c r="AS243" s="3">
        <v>255</v>
      </c>
      <c r="AT243" s="3" t="str">
        <f>IFERROR(MID(VLOOKUP($B243,Seqs!$A:$B,2,0),AU243,1),"")</f>
        <v>L</v>
      </c>
      <c r="AU243" s="3">
        <v>279</v>
      </c>
      <c r="AV243" s="3" t="str">
        <f>IFERROR(MID(VLOOKUP($B243,Seqs!$A:$B,2,0),AW243,1),"")</f>
        <v>G</v>
      </c>
      <c r="AW243" s="3">
        <v>280</v>
      </c>
      <c r="AX243" s="3" t="str">
        <f>IFERROR(MID(VLOOKUP($B243,Seqs!$A:$B,2,0),AY243,1),"")</f>
        <v>Q</v>
      </c>
      <c r="AY243" s="3">
        <v>294</v>
      </c>
      <c r="AZ243" s="77" t="str">
        <f>VLOOKUP(B243,Classification!A:D,2,0)</f>
        <v>A</v>
      </c>
      <c r="BA243" s="94" t="str">
        <f>VLOOKUP(B243,Classification!A:D,4,0)</f>
        <v>Freefattyacid</v>
      </c>
      <c r="BB243" s="27" t="b">
        <f t="shared" si="1232"/>
        <v>1</v>
      </c>
      <c r="BC243" s="23">
        <f t="shared" si="1957"/>
        <v>256</v>
      </c>
      <c r="BD243" s="34" t="s">
        <v>23</v>
      </c>
      <c r="BE243" s="3" t="s">
        <v>23</v>
      </c>
      <c r="BF243" s="118" t="s">
        <v>23</v>
      </c>
      <c r="BG243" s="49" t="s">
        <v>1368</v>
      </c>
      <c r="BH243" s="49" t="s">
        <v>1373</v>
      </c>
      <c r="BI243" s="1"/>
      <c r="BJ243" s="70" t="s">
        <v>1283</v>
      </c>
      <c r="BK243" s="57" t="s">
        <v>1283</v>
      </c>
      <c r="BL243" s="57" t="s">
        <v>1283</v>
      </c>
      <c r="BM243" s="57" t="s">
        <v>1283</v>
      </c>
      <c r="BN243" s="57" t="s">
        <v>1283</v>
      </c>
      <c r="BO243" s="57" t="s">
        <v>1283</v>
      </c>
      <c r="BP243" s="57" t="s">
        <v>1283</v>
      </c>
      <c r="BQ243" s="57" t="s">
        <v>1283</v>
      </c>
      <c r="BR243" s="57" t="s">
        <v>1283</v>
      </c>
      <c r="BS243" s="57" t="s">
        <v>1283</v>
      </c>
      <c r="BT243" s="57" t="s">
        <v>1283</v>
      </c>
      <c r="BU243" s="57" t="s">
        <v>1283</v>
      </c>
      <c r="BV243" s="70">
        <f t="shared" si="1958"/>
        <v>4</v>
      </c>
      <c r="BW243" s="71" t="str">
        <f t="shared" si="1959"/>
        <v>-</v>
      </c>
      <c r="BX243" s="72">
        <f t="shared" si="1960"/>
        <v>39</v>
      </c>
      <c r="BY243" s="71">
        <f t="shared" si="1961"/>
        <v>71</v>
      </c>
      <c r="BZ243" s="72">
        <f t="shared" si="1962"/>
        <v>75</v>
      </c>
      <c r="CA243" s="71">
        <f t="shared" si="1963"/>
        <v>111</v>
      </c>
      <c r="CB243" s="72">
        <f t="shared" si="1964"/>
        <v>119</v>
      </c>
      <c r="CC243" s="71">
        <f t="shared" si="1965"/>
        <v>170</v>
      </c>
      <c r="CD243" s="72">
        <f t="shared" si="1966"/>
        <v>175</v>
      </c>
      <c r="CE243" s="71">
        <f t="shared" si="1967"/>
        <v>217</v>
      </c>
      <c r="CF243" s="72">
        <f t="shared" si="1968"/>
        <v>255</v>
      </c>
      <c r="CG243" s="71">
        <f t="shared" si="1969"/>
        <v>280</v>
      </c>
      <c r="CH243" s="70">
        <f t="shared" si="1970"/>
        <v>37</v>
      </c>
      <c r="CI243" s="71" t="str">
        <f t="shared" si="1971"/>
        <v>-</v>
      </c>
      <c r="CJ243" s="72">
        <f t="shared" si="1972"/>
        <v>69</v>
      </c>
      <c r="CK243" s="72">
        <f t="shared" si="1973"/>
        <v>74</v>
      </c>
      <c r="CL243" s="72">
        <f t="shared" si="1974"/>
        <v>110</v>
      </c>
      <c r="CM243" s="72">
        <f t="shared" si="1975"/>
        <v>118</v>
      </c>
      <c r="CN243" s="72">
        <f t="shared" si="1976"/>
        <v>146</v>
      </c>
      <c r="CO243" s="72">
        <f t="shared" si="1977"/>
        <v>172</v>
      </c>
      <c r="CP243" s="72">
        <f t="shared" si="1978"/>
        <v>211</v>
      </c>
      <c r="CQ243" s="72">
        <f t="shared" si="1979"/>
        <v>250</v>
      </c>
      <c r="CR243" s="72">
        <f t="shared" si="1980"/>
        <v>279</v>
      </c>
      <c r="CS243" s="72">
        <f t="shared" si="1981"/>
        <v>294</v>
      </c>
      <c r="CT243" s="23" t="e">
        <f t="shared" si="1982"/>
        <v>#VALUE!</v>
      </c>
    </row>
    <row r="244" spans="1:1029" x14ac:dyDescent="0.2">
      <c r="A244" s="3" t="str">
        <f t="shared" si="1231"/>
        <v>ffar1_human_4PHU</v>
      </c>
      <c r="B244" s="3" t="s">
        <v>1168</v>
      </c>
      <c r="C244" s="3" t="s">
        <v>52</v>
      </c>
      <c r="D244" s="3" t="str">
        <f>IFERROR(MID(VLOOKUP($B244,Seqs!$A:$B,2,0),E244,1),"")</f>
        <v>P</v>
      </c>
      <c r="E244" s="3">
        <v>4</v>
      </c>
      <c r="F244" s="3" t="str">
        <f>IFERROR(MID(VLOOKUP($B244,Seqs!$A:$B,2,0),G244,1),"")</f>
        <v>R</v>
      </c>
      <c r="G244" s="3">
        <v>37</v>
      </c>
      <c r="H244" s="3" t="str">
        <f>IFERROR(MID(VLOOKUP($B244,Seqs!$A:$B,2,0),I244,1),"")</f>
        <v/>
      </c>
      <c r="I244" s="23" t="s">
        <v>23</v>
      </c>
      <c r="J244" s="3" t="str">
        <f>IFERROR(MID(VLOOKUP($B244,Seqs!$A:$B,2,0),K244,1),"")</f>
        <v/>
      </c>
      <c r="K244" s="23" t="s">
        <v>23</v>
      </c>
      <c r="L244" s="3" t="str">
        <f>IFERROR(MID(VLOOKUP($B244,Seqs!$A:$B,2,0),M244,1),"")</f>
        <v>T</v>
      </c>
      <c r="M244" s="3">
        <v>39</v>
      </c>
      <c r="N244" s="3" t="str">
        <f>IFERROR(MID(VLOOKUP($B244,Seqs!$A:$B,2,0),O244,1),"")</f>
        <v>S</v>
      </c>
      <c r="O244" s="3">
        <v>69</v>
      </c>
      <c r="P244" s="3" t="str">
        <f>IFERROR(MID(VLOOKUP($B244,Seqs!$A:$B,2,0),Q244,1),"")</f>
        <v>A</v>
      </c>
      <c r="Q244" s="3">
        <v>71</v>
      </c>
      <c r="R244" s="3" t="str">
        <f>IFERROR(MID(VLOOKUP($B244,Seqs!$A:$B,2,0),S244,1),"")</f>
        <v>L</v>
      </c>
      <c r="S244" s="3">
        <v>74</v>
      </c>
      <c r="T244" s="3" t="str">
        <f>IFERROR(MID(VLOOKUP($B244,Seqs!$A:$B,2,0),U244,1),"")</f>
        <v>P</v>
      </c>
      <c r="U244" s="3">
        <v>75</v>
      </c>
      <c r="V244" s="3" t="str">
        <f>IFERROR(MID(VLOOKUP($B244,Seqs!$A:$B,2,0),W244,1),"")</f>
        <v>F</v>
      </c>
      <c r="W244" s="3">
        <v>110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C</v>
      </c>
      <c r="AC244" s="3">
        <v>121</v>
      </c>
      <c r="AD244" s="3" t="str">
        <f>IFERROR(MID(VLOOKUP($B244,Seqs!$A:$B,2,0),AE244,1),"")</f>
        <v>A</v>
      </c>
      <c r="AE244" s="3">
        <v>146</v>
      </c>
      <c r="AF244" s="3" t="str">
        <f>IFERROR(MID(VLOOKUP($B244,Seqs!$A:$B,2,0),AG244,1),"")</f>
        <v>C</v>
      </c>
      <c r="AG244" s="3">
        <v>170</v>
      </c>
      <c r="AH244" s="3" t="str">
        <f>IFERROR(MID(VLOOKUP($B244,Seqs!$A:$B,2,0),AI244,1),"")</f>
        <v>E</v>
      </c>
      <c r="AI244" s="3">
        <v>172</v>
      </c>
      <c r="AJ244" s="3" t="str">
        <f>IFERROR(MID(VLOOKUP($B244,Seqs!$A:$B,2,0),AK244,1),"")</f>
        <v>D</v>
      </c>
      <c r="AK244" s="3">
        <v>175</v>
      </c>
      <c r="AL244" s="3" t="str">
        <f>IFERROR(MID(VLOOKUP($B244,Seqs!$A:$B,2,0),AM244,1),"")</f>
        <v>R</v>
      </c>
      <c r="AM244" s="3">
        <v>211</v>
      </c>
      <c r="AN244" s="3" t="str">
        <f>IFERROR(MID(VLOOKUP($B244,Seqs!$A:$B,2,0),AO244,1),"")</f>
        <v/>
      </c>
      <c r="AO244" s="3">
        <v>2214</v>
      </c>
      <c r="AP244" s="3" t="str">
        <f>IFERROR(MID(VLOOKUP($B244,Seqs!$A:$B,2,0),AQ244,1),"")</f>
        <v/>
      </c>
      <c r="AQ244" s="3">
        <v>2250</v>
      </c>
      <c r="AR244" s="3" t="str">
        <f>IFERROR(MID(VLOOKUP($B244,Seqs!$A:$B,2,0),AS244,1),"")</f>
        <v/>
      </c>
      <c r="AS244" s="3">
        <v>2255</v>
      </c>
      <c r="AT244" s="3" t="str">
        <f>IFERROR(MID(VLOOKUP($B244,Seqs!$A:$B,2,0),AU244,1),"")</f>
        <v/>
      </c>
      <c r="AU244" s="3">
        <v>2276</v>
      </c>
      <c r="AV244" s="3" t="str">
        <f>IFERROR(MID(VLOOKUP($B244,Seqs!$A:$B,2,0),AW244,1),"")</f>
        <v/>
      </c>
      <c r="AW244" s="3" t="s">
        <v>23</v>
      </c>
      <c r="AX244" s="3" t="str">
        <f>IFERROR(MID(VLOOKUP($B244,Seqs!$A:$B,2,0),AY244,1),"")</f>
        <v/>
      </c>
      <c r="AY244" s="3" t="s">
        <v>23</v>
      </c>
      <c r="AZ244" s="77" t="str">
        <f>VLOOKUP(B244,Classification!A:D,2,0)</f>
        <v>A</v>
      </c>
      <c r="BA244" s="94" t="str">
        <f>VLOOKUP(B244,Classification!A:D,4,0)</f>
        <v>Freefattyacid</v>
      </c>
      <c r="BB244" s="27" t="b">
        <f t="shared" si="1232"/>
        <v>1</v>
      </c>
      <c r="BC244" s="23">
        <f t="shared" si="1957"/>
        <v>233</v>
      </c>
      <c r="BD244" s="16" t="s">
        <v>23</v>
      </c>
      <c r="BE244" s="3" t="s">
        <v>1424</v>
      </c>
      <c r="BF244" s="118">
        <v>2.33</v>
      </c>
      <c r="BG244" s="49" t="s">
        <v>1373</v>
      </c>
      <c r="BH244" s="49" t="s">
        <v>1373</v>
      </c>
      <c r="BI244" s="1"/>
      <c r="BJ244" s="70" t="s">
        <v>1283</v>
      </c>
      <c r="BK244" s="57" t="s">
        <v>1283</v>
      </c>
      <c r="BL244" s="57" t="s">
        <v>1283</v>
      </c>
      <c r="BM244" s="57" t="s">
        <v>1283</v>
      </c>
      <c r="BN244" s="57" t="s">
        <v>1283</v>
      </c>
      <c r="BO244" s="57" t="s">
        <v>1283</v>
      </c>
      <c r="BP244" s="57" t="s">
        <v>1283</v>
      </c>
      <c r="BQ244" s="57" t="s">
        <v>1283</v>
      </c>
      <c r="BR244" s="57" t="s">
        <v>1283</v>
      </c>
      <c r="BS244" s="57" t="s">
        <v>1283</v>
      </c>
      <c r="BT244" s="57" t="s">
        <v>1283</v>
      </c>
      <c r="BU244" s="57" t="s">
        <v>1283</v>
      </c>
      <c r="BV244" s="70">
        <f t="shared" si="1958"/>
        <v>4</v>
      </c>
      <c r="BW244" s="71" t="str">
        <f t="shared" si="1959"/>
        <v>-</v>
      </c>
      <c r="BX244" s="72">
        <f t="shared" si="1960"/>
        <v>39</v>
      </c>
      <c r="BY244" s="71">
        <f t="shared" si="1961"/>
        <v>71</v>
      </c>
      <c r="BZ244" s="72">
        <f t="shared" si="1962"/>
        <v>75</v>
      </c>
      <c r="CA244" s="71" t="str">
        <f t="shared" si="1963"/>
        <v>-</v>
      </c>
      <c r="CB244" s="72">
        <f t="shared" si="1964"/>
        <v>121</v>
      </c>
      <c r="CC244" s="71">
        <f t="shared" si="1965"/>
        <v>170</v>
      </c>
      <c r="CD244" s="72">
        <f t="shared" si="1966"/>
        <v>175</v>
      </c>
      <c r="CE244" s="71">
        <f t="shared" si="1967"/>
        <v>2214</v>
      </c>
      <c r="CF244" s="72">
        <f t="shared" si="1968"/>
        <v>2255</v>
      </c>
      <c r="CG244" s="71" t="str">
        <f t="shared" si="1969"/>
        <v>-</v>
      </c>
      <c r="CH244" s="70">
        <f t="shared" si="1970"/>
        <v>37</v>
      </c>
      <c r="CI244" s="71" t="str">
        <f t="shared" si="1971"/>
        <v>-</v>
      </c>
      <c r="CJ244" s="72">
        <f t="shared" si="1972"/>
        <v>69</v>
      </c>
      <c r="CK244" s="72">
        <f t="shared" si="1973"/>
        <v>74</v>
      </c>
      <c r="CL244" s="72">
        <f t="shared" si="1974"/>
        <v>110</v>
      </c>
      <c r="CM244" s="72" t="str">
        <f t="shared" si="1975"/>
        <v>-</v>
      </c>
      <c r="CN244" s="72">
        <f t="shared" si="1976"/>
        <v>146</v>
      </c>
      <c r="CO244" s="72">
        <f t="shared" si="1977"/>
        <v>172</v>
      </c>
      <c r="CP244" s="72">
        <f t="shared" si="1978"/>
        <v>211</v>
      </c>
      <c r="CQ244" s="72">
        <f t="shared" si="1979"/>
        <v>2250</v>
      </c>
      <c r="CR244" s="72">
        <f t="shared" si="1980"/>
        <v>2276</v>
      </c>
      <c r="CS244" s="72" t="str">
        <f t="shared" si="1981"/>
        <v>-</v>
      </c>
      <c r="CT244" s="23" t="e">
        <f t="shared" si="1982"/>
        <v>#VALUE!</v>
      </c>
    </row>
    <row r="245" spans="1:1029" x14ac:dyDescent="0.2">
      <c r="A245" s="3" t="str">
        <f>CONCATENATE(B245,"_",C245)</f>
        <v>ffar1_human_5KW2</v>
      </c>
      <c r="B245" s="3" t="s">
        <v>1168</v>
      </c>
      <c r="C245" s="3" t="s">
        <v>1487</v>
      </c>
      <c r="D245" s="3" t="str">
        <f>IFERROR(MID(VLOOKUP($B245,Seqs!$A:$B,2,0),E245,1),"")</f>
        <v>P</v>
      </c>
      <c r="E245" s="3">
        <v>4</v>
      </c>
      <c r="F245" s="3" t="str">
        <f>IFERROR(MID(VLOOKUP($B245,Seqs!$A:$B,2,0),G245,1),"")</f>
        <v>A</v>
      </c>
      <c r="G245" s="3">
        <v>32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T</v>
      </c>
      <c r="M245" s="3">
        <v>39</v>
      </c>
      <c r="N245" s="3" t="str">
        <f>IFERROR(MID(VLOOKUP($B245,Seqs!$A:$B,2,0),O245,1),"")</f>
        <v>S</v>
      </c>
      <c r="O245" s="3">
        <v>69</v>
      </c>
      <c r="P245" s="3" t="str">
        <f>IFERROR(MID(VLOOKUP($B245,Seqs!$A:$B,2,0),Q245,1),"")</f>
        <v>A</v>
      </c>
      <c r="Q245" s="3">
        <v>71</v>
      </c>
      <c r="R245" s="3" t="str">
        <f>IFERROR(MID(VLOOKUP($B245,Seqs!$A:$B,2,0),S245,1),"")</f>
        <v>L</v>
      </c>
      <c r="S245" s="3">
        <v>74</v>
      </c>
      <c r="T245" s="3" t="str">
        <f>IFERROR(MID(VLOOKUP($B245,Seqs!$A:$B,2,0),U245,1),"")</f>
        <v>P</v>
      </c>
      <c r="U245" s="3">
        <v>75</v>
      </c>
      <c r="V245" s="3" t="str">
        <f>IFERROR(MID(VLOOKUP($B245,Seqs!$A:$B,2,0),W245,1),"")</f>
        <v>F</v>
      </c>
      <c r="W245" s="3">
        <v>110</v>
      </c>
      <c r="X245" s="3" t="str">
        <f>IFERROR(MID(VLOOKUP($B245,Seqs!$A:$B,2,0),Y245,1),"")</f>
        <v>P</v>
      </c>
      <c r="Y245" s="3">
        <v>111</v>
      </c>
      <c r="Z245" s="3" t="str">
        <f>IFERROR(MID(VLOOKUP($B245,Seqs!$A:$B,2,0),AA245,1),"")</f>
        <v>R</v>
      </c>
      <c r="AA245" s="3">
        <v>118</v>
      </c>
      <c r="AB245" s="3" t="str">
        <f>IFERROR(MID(VLOOKUP($B245,Seqs!$A:$B,2,0),AC245,1),"")</f>
        <v>R</v>
      </c>
      <c r="AC245" s="3">
        <v>119</v>
      </c>
      <c r="AD245" s="3" t="str">
        <f>IFERROR(MID(VLOOKUP($B245,Seqs!$A:$B,2,0),AE245,1),"")</f>
        <v>E</v>
      </c>
      <c r="AE245" s="3">
        <v>145</v>
      </c>
      <c r="AF245" s="3" t="str">
        <f>IFERROR(MID(VLOOKUP($B245,Seqs!$A:$B,2,0),AG245,1),"")</f>
        <v>C</v>
      </c>
      <c r="AG245" s="3">
        <v>170</v>
      </c>
      <c r="AH245" s="3" t="str">
        <f>IFERROR(MID(VLOOKUP($B245,Seqs!$A:$B,2,0),AI245,1),"")</f>
        <v>E</v>
      </c>
      <c r="AI245" s="3">
        <v>172</v>
      </c>
      <c r="AJ245" s="3" t="str">
        <f>IFERROR(MID(VLOOKUP($B245,Seqs!$A:$B,2,0),AK245,1),"")</f>
        <v>G</v>
      </c>
      <c r="AK245" s="3">
        <v>180</v>
      </c>
      <c r="AL245" s="3" t="str">
        <f>IFERROR(MID(VLOOKUP($B245,Seqs!$A:$B,2,0),AM245,1),"")</f>
        <v>R</v>
      </c>
      <c r="AM245" s="3">
        <v>211</v>
      </c>
      <c r="AN245" s="3" t="str">
        <f>IFERROR(MID(VLOOKUP($B245,Seqs!$A:$B,2,0),AO245,1),"")</f>
        <v/>
      </c>
      <c r="AO245" s="3">
        <v>2215</v>
      </c>
      <c r="AP245" s="3" t="str">
        <f>IFERROR(MID(VLOOKUP($B245,Seqs!$A:$B,2,0),AQ245,1),"")</f>
        <v/>
      </c>
      <c r="AQ245" s="3">
        <v>2249</v>
      </c>
      <c r="AR245" s="3" t="str">
        <f>IFERROR(MID(VLOOKUP($B245,Seqs!$A:$B,2,0),AS245,1),"")</f>
        <v/>
      </c>
      <c r="AS245" s="3">
        <v>2254</v>
      </c>
      <c r="AT245" s="3" t="str">
        <f>IFERROR(MID(VLOOKUP($B245,Seqs!$A:$B,2,0),AU245,1),"")</f>
        <v/>
      </c>
      <c r="AU245" s="3">
        <v>2275</v>
      </c>
      <c r="AV245" s="3" t="str">
        <f>IFERROR(MID(VLOOKUP($B245,Seqs!$A:$B,2,0),AW245,1),"")</f>
        <v/>
      </c>
      <c r="AW245" s="3" t="s">
        <v>23</v>
      </c>
      <c r="AX245" s="3" t="str">
        <f>IFERROR(MID(VLOOKUP($B245,Seqs!$A:$B,2,0),AY245,1),"")</f>
        <v/>
      </c>
      <c r="AY245" s="3" t="s">
        <v>23</v>
      </c>
      <c r="AZ245" s="77" t="str">
        <f>VLOOKUP(B245,Classification!A:D,2,0)</f>
        <v>A</v>
      </c>
      <c r="BA245" s="94" t="str">
        <f>VLOOKUP(B245,Classification!A:D,4,0)</f>
        <v>Freefattyacid</v>
      </c>
      <c r="BB245" s="27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>_xlfn.AGGREGATE(9,6,CH245:CS245)-_xlfn.AGGREGATE(9,6,BV245:CG245)+12</f>
        <v>229</v>
      </c>
      <c r="BD245" s="16" t="s">
        <v>23</v>
      </c>
      <c r="BE245" s="3" t="s">
        <v>1424</v>
      </c>
      <c r="BF245" s="118">
        <v>2.76</v>
      </c>
      <c r="BG245" s="49" t="s">
        <v>1</v>
      </c>
      <c r="BH245" s="49" t="s">
        <v>1</v>
      </c>
      <c r="BI245" s="1"/>
      <c r="BJ245" s="70" t="s">
        <v>1283</v>
      </c>
      <c r="BK245" s="57" t="s">
        <v>1283</v>
      </c>
      <c r="BL245" s="57" t="s">
        <v>1283</v>
      </c>
      <c r="BM245" s="57" t="s">
        <v>1283</v>
      </c>
      <c r="BN245" s="57" t="s">
        <v>1283</v>
      </c>
      <c r="BO245" s="57" t="s">
        <v>1283</v>
      </c>
      <c r="BP245" s="57" t="s">
        <v>1283</v>
      </c>
      <c r="BQ245" s="57" t="s">
        <v>1283</v>
      </c>
      <c r="BR245" s="57" t="s">
        <v>1283</v>
      </c>
      <c r="BS245" s="57" t="s">
        <v>1283</v>
      </c>
      <c r="BT245" s="57" t="s">
        <v>1283</v>
      </c>
      <c r="BU245" s="57" t="s">
        <v>1283</v>
      </c>
      <c r="BV245" s="70">
        <f>E245</f>
        <v>4</v>
      </c>
      <c r="BW245" s="71" t="str">
        <f>I245</f>
        <v>-</v>
      </c>
      <c r="BX245" s="72">
        <f>M245</f>
        <v>39</v>
      </c>
      <c r="BY245" s="71">
        <f>Q245</f>
        <v>71</v>
      </c>
      <c r="BZ245" s="72">
        <f>U245</f>
        <v>75</v>
      </c>
      <c r="CA245" s="71">
        <f>Y245</f>
        <v>111</v>
      </c>
      <c r="CB245" s="72">
        <f>AC245</f>
        <v>119</v>
      </c>
      <c r="CC245" s="71">
        <f>AG245</f>
        <v>170</v>
      </c>
      <c r="CD245" s="72">
        <f>AK245</f>
        <v>180</v>
      </c>
      <c r="CE245" s="71">
        <f>AO245</f>
        <v>2215</v>
      </c>
      <c r="CF245" s="72">
        <f>AS245</f>
        <v>2254</v>
      </c>
      <c r="CG245" s="71" t="str">
        <f>AW245</f>
        <v>-</v>
      </c>
      <c r="CH245" s="70">
        <f>G245</f>
        <v>32</v>
      </c>
      <c r="CI245" s="71" t="str">
        <f>K245</f>
        <v>-</v>
      </c>
      <c r="CJ245" s="72">
        <f>O245</f>
        <v>69</v>
      </c>
      <c r="CK245" s="72">
        <f>S245</f>
        <v>74</v>
      </c>
      <c r="CL245" s="72">
        <f>W245</f>
        <v>110</v>
      </c>
      <c r="CM245" s="72">
        <f>AA245</f>
        <v>118</v>
      </c>
      <c r="CN245" s="72">
        <f>AE245</f>
        <v>145</v>
      </c>
      <c r="CO245" s="72">
        <f>AI245</f>
        <v>172</v>
      </c>
      <c r="CP245" s="72">
        <f>AM245</f>
        <v>211</v>
      </c>
      <c r="CQ245" s="72">
        <f>AQ245</f>
        <v>2249</v>
      </c>
      <c r="CR245" s="72">
        <f>AU245</f>
        <v>2275</v>
      </c>
      <c r="CS245" s="72" t="str">
        <f>AY245</f>
        <v>-</v>
      </c>
      <c r="CT245" s="23" t="e">
        <f>M245-K245</f>
        <v>#VALUE!</v>
      </c>
    </row>
    <row r="246" spans="1:1029" x14ac:dyDescent="0.2">
      <c r="A246" s="3" t="str">
        <f>CONCATENATE(B246,"_",C246)</f>
        <v>ffar1_human_5TZR</v>
      </c>
      <c r="B246" s="3" t="s">
        <v>1168</v>
      </c>
      <c r="C246" s="3" t="s">
        <v>1412</v>
      </c>
      <c r="D246" s="3" t="str">
        <f>IFERROR(MID(VLOOKUP($B246,Seqs!$A:$B,2,0),E246,1),"")</f>
        <v>P</v>
      </c>
      <c r="E246" s="3">
        <v>4</v>
      </c>
      <c r="F246" s="3" t="str">
        <f>IFERROR(MID(VLOOKUP($B246,Seqs!$A:$B,2,0),G246,1),"")</f>
        <v>R</v>
      </c>
      <c r="G246" s="3">
        <v>37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T</v>
      </c>
      <c r="M246" s="3">
        <v>39</v>
      </c>
      <c r="N246" s="3" t="str">
        <f>IFERROR(MID(VLOOKUP($B246,Seqs!$A:$B,2,0),O246,1),"")</f>
        <v>S</v>
      </c>
      <c r="O246" s="3">
        <v>69</v>
      </c>
      <c r="P246" s="3" t="str">
        <f>IFERROR(MID(VLOOKUP($B246,Seqs!$A:$B,2,0),Q246,1),"")</f>
        <v>A</v>
      </c>
      <c r="Q246" s="3">
        <v>71</v>
      </c>
      <c r="R246" s="3" t="str">
        <f>IFERROR(MID(VLOOKUP($B246,Seqs!$A:$B,2,0),S246,1),"")</f>
        <v>L</v>
      </c>
      <c r="S246" s="3">
        <v>74</v>
      </c>
      <c r="T246" s="3" t="str">
        <f>IFERROR(MID(VLOOKUP($B246,Seqs!$A:$B,2,0),U246,1),"")</f>
        <v>P</v>
      </c>
      <c r="U246" s="3">
        <v>75</v>
      </c>
      <c r="V246" s="3" t="str">
        <f>IFERROR(MID(VLOOKUP($B246,Seqs!$A:$B,2,0),W246,1),"")</f>
        <v>F</v>
      </c>
      <c r="W246" s="3">
        <v>110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C</v>
      </c>
      <c r="AC246" s="3">
        <v>121</v>
      </c>
      <c r="AD246" s="3" t="str">
        <f>IFERROR(MID(VLOOKUP($B246,Seqs!$A:$B,2,0),AE246,1),"")</f>
        <v>A</v>
      </c>
      <c r="AE246" s="3">
        <v>146</v>
      </c>
      <c r="AF246" s="3" t="str">
        <f>IFERROR(MID(VLOOKUP($B246,Seqs!$A:$B,2,0),AG246,1),"")</f>
        <v>C</v>
      </c>
      <c r="AG246" s="3">
        <v>170</v>
      </c>
      <c r="AH246" s="3" t="str">
        <f>IFERROR(MID(VLOOKUP($B246,Seqs!$A:$B,2,0),AI246,1),"")</f>
        <v>E</v>
      </c>
      <c r="AI246" s="3">
        <v>172</v>
      </c>
      <c r="AJ246" s="3" t="str">
        <f>IFERROR(MID(VLOOKUP($B246,Seqs!$A:$B,2,0),AK246,1),"")</f>
        <v>D</v>
      </c>
      <c r="AK246" s="3">
        <v>175</v>
      </c>
      <c r="AL246" s="3" t="str">
        <f>IFERROR(MID(VLOOKUP($B246,Seqs!$A:$B,2,0),AM246,1),"")</f>
        <v>R</v>
      </c>
      <c r="AM246" s="3">
        <v>211</v>
      </c>
      <c r="AN246" s="3" t="str">
        <f>IFERROR(MID(VLOOKUP($B246,Seqs!$A:$B,2,0),AO246,1),"")</f>
        <v/>
      </c>
      <c r="AO246" s="3">
        <v>2214</v>
      </c>
      <c r="AP246" s="3" t="str">
        <f>IFERROR(MID(VLOOKUP($B246,Seqs!$A:$B,2,0),AQ246,1),"")</f>
        <v/>
      </c>
      <c r="AQ246" s="3">
        <v>2250</v>
      </c>
      <c r="AR246" s="3" t="str">
        <f>IFERROR(MID(VLOOKUP($B246,Seqs!$A:$B,2,0),AS246,1),"")</f>
        <v/>
      </c>
      <c r="AS246" s="3">
        <v>2255</v>
      </c>
      <c r="AT246" s="3" t="str">
        <f>IFERROR(MID(VLOOKUP($B246,Seqs!$A:$B,2,0),AU246,1),"")</f>
        <v/>
      </c>
      <c r="AU246" s="3">
        <v>2276</v>
      </c>
      <c r="AV246" s="3" t="str">
        <f>IFERROR(MID(VLOOKUP($B246,Seqs!$A:$B,2,0),AW246,1),"")</f>
        <v/>
      </c>
      <c r="AW246" s="3" t="s">
        <v>23</v>
      </c>
      <c r="AX246" s="3" t="str">
        <f>IFERROR(MID(VLOOKUP($B246,Seqs!$A:$B,2,0),AY246,1),"")</f>
        <v/>
      </c>
      <c r="AY246" s="3" t="s">
        <v>23</v>
      </c>
      <c r="AZ246" s="77" t="str">
        <f>VLOOKUP(B246,Classification!A:D,2,0)</f>
        <v>A</v>
      </c>
      <c r="BA246" s="94" t="str">
        <f>VLOOKUP(B246,Classification!A:D,4,0)</f>
        <v>Freefattyacid</v>
      </c>
      <c r="BB246" s="27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>_xlfn.AGGREGATE(9,6,CH246:CS246)-_xlfn.AGGREGATE(9,6,BV246:CG246)+12</f>
        <v>233</v>
      </c>
      <c r="BD246" s="16" t="s">
        <v>23</v>
      </c>
      <c r="BE246" s="3" t="s">
        <v>1424</v>
      </c>
      <c r="BF246" s="118">
        <v>2.2000000000000002</v>
      </c>
      <c r="BG246" s="49" t="s">
        <v>1</v>
      </c>
      <c r="BH246" s="49" t="s">
        <v>1</v>
      </c>
      <c r="BI246" s="1"/>
      <c r="BJ246" s="70" t="s">
        <v>1283</v>
      </c>
      <c r="BK246" s="57" t="s">
        <v>1283</v>
      </c>
      <c r="BL246" s="57" t="s">
        <v>1283</v>
      </c>
      <c r="BM246" s="57" t="s">
        <v>1283</v>
      </c>
      <c r="BN246" s="57" t="s">
        <v>1283</v>
      </c>
      <c r="BO246" s="57" t="s">
        <v>1283</v>
      </c>
      <c r="BP246" s="57" t="s">
        <v>1283</v>
      </c>
      <c r="BQ246" s="57" t="s">
        <v>1283</v>
      </c>
      <c r="BR246" s="57" t="s">
        <v>1283</v>
      </c>
      <c r="BS246" s="57" t="s">
        <v>1283</v>
      </c>
      <c r="BT246" s="57" t="s">
        <v>1283</v>
      </c>
      <c r="BU246" s="57" t="s">
        <v>1283</v>
      </c>
      <c r="BV246" s="70">
        <f>E246</f>
        <v>4</v>
      </c>
      <c r="BW246" s="71" t="str">
        <f>I246</f>
        <v>-</v>
      </c>
      <c r="BX246" s="72">
        <f>M246</f>
        <v>39</v>
      </c>
      <c r="BY246" s="71">
        <f>Q246</f>
        <v>71</v>
      </c>
      <c r="BZ246" s="72">
        <f>U246</f>
        <v>75</v>
      </c>
      <c r="CA246" s="71" t="str">
        <f>Y246</f>
        <v>-</v>
      </c>
      <c r="CB246" s="72">
        <f>AC246</f>
        <v>121</v>
      </c>
      <c r="CC246" s="71">
        <f>AG246</f>
        <v>170</v>
      </c>
      <c r="CD246" s="72">
        <f>AK246</f>
        <v>175</v>
      </c>
      <c r="CE246" s="71">
        <f>AO246</f>
        <v>2214</v>
      </c>
      <c r="CF246" s="72">
        <f>AS246</f>
        <v>2255</v>
      </c>
      <c r="CG246" s="71" t="str">
        <f>AW246</f>
        <v>-</v>
      </c>
      <c r="CH246" s="70">
        <f>G246</f>
        <v>37</v>
      </c>
      <c r="CI246" s="71" t="str">
        <f>K246</f>
        <v>-</v>
      </c>
      <c r="CJ246" s="72">
        <f>O246</f>
        <v>69</v>
      </c>
      <c r="CK246" s="72">
        <f>S246</f>
        <v>74</v>
      </c>
      <c r="CL246" s="72">
        <f>W246</f>
        <v>110</v>
      </c>
      <c r="CM246" s="72" t="str">
        <f>AA246</f>
        <v>-</v>
      </c>
      <c r="CN246" s="72">
        <f>AE246</f>
        <v>146</v>
      </c>
      <c r="CO246" s="72">
        <f>AI246</f>
        <v>172</v>
      </c>
      <c r="CP246" s="72">
        <f>AM246</f>
        <v>211</v>
      </c>
      <c r="CQ246" s="72">
        <f>AQ246</f>
        <v>2250</v>
      </c>
      <c r="CR246" s="72">
        <f>AU246</f>
        <v>2276</v>
      </c>
      <c r="CS246" s="72" t="str">
        <f>AY246</f>
        <v>-</v>
      </c>
      <c r="CT246" s="23" t="e">
        <f>M246-K246</f>
        <v>#VALUE!</v>
      </c>
    </row>
    <row r="247" spans="1:1029" x14ac:dyDescent="0.2">
      <c r="A247" s="3" t="str">
        <f>CONCATENATE(B247,"_",C247)</f>
        <v>ffar1_human_5TZY</v>
      </c>
      <c r="B247" s="3" t="s">
        <v>1168</v>
      </c>
      <c r="C247" s="3" t="s">
        <v>1413</v>
      </c>
      <c r="D247" s="3" t="str">
        <f>IFERROR(MID(VLOOKUP($B247,Seqs!$A:$B,2,0),E247,1),"")</f>
        <v>P</v>
      </c>
      <c r="E247" s="3">
        <v>4</v>
      </c>
      <c r="F247" s="3" t="str">
        <f>IFERROR(MID(VLOOKUP($B247,Seqs!$A:$B,2,0),G247,1),"")</f>
        <v>R</v>
      </c>
      <c r="G247" s="3">
        <v>37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T</v>
      </c>
      <c r="M247" s="3">
        <v>39</v>
      </c>
      <c r="N247" s="3" t="str">
        <f>IFERROR(MID(VLOOKUP($B247,Seqs!$A:$B,2,0),O247,1),"")</f>
        <v>A</v>
      </c>
      <c r="O247" s="3">
        <v>68</v>
      </c>
      <c r="P247" s="3" t="str">
        <f>IFERROR(MID(VLOOKUP($B247,Seqs!$A:$B,2,0),Q247,1),"")</f>
        <v>A</v>
      </c>
      <c r="Q247" s="3">
        <v>71</v>
      </c>
      <c r="R247" s="3" t="str">
        <f>IFERROR(MID(VLOOKUP($B247,Seqs!$A:$B,2,0),S247,1),"")</f>
        <v>L</v>
      </c>
      <c r="S247" s="3">
        <v>74</v>
      </c>
      <c r="T247" s="3" t="str">
        <f>IFERROR(MID(VLOOKUP($B247,Seqs!$A:$B,2,0),U247,1),"")</f>
        <v>P</v>
      </c>
      <c r="U247" s="3">
        <v>75</v>
      </c>
      <c r="V247" s="3" t="str">
        <f>IFERROR(MID(VLOOKUP($B247,Seqs!$A:$B,2,0),W247,1),"")</f>
        <v>F</v>
      </c>
      <c r="W247" s="3">
        <v>110</v>
      </c>
      <c r="X247" s="3" t="str">
        <f>IFERROR(MID(VLOOKUP($B247,Seqs!$A:$B,2,0),Y247,1),"")</f>
        <v>P</v>
      </c>
      <c r="Y247" s="3">
        <v>111</v>
      </c>
      <c r="Z247" s="3" t="str">
        <f>IFERROR(MID(VLOOKUP($B247,Seqs!$A:$B,2,0),AA247,1),"")</f>
        <v>R</v>
      </c>
      <c r="AA247" s="3">
        <v>118</v>
      </c>
      <c r="AB247" s="3" t="str">
        <f>IFERROR(MID(VLOOKUP($B247,Seqs!$A:$B,2,0),AC247,1),"")</f>
        <v>R</v>
      </c>
      <c r="AC247" s="3">
        <v>119</v>
      </c>
      <c r="AD247" s="3" t="str">
        <f>IFERROR(MID(VLOOKUP($B247,Seqs!$A:$B,2,0),AE247,1),"")</f>
        <v>A</v>
      </c>
      <c r="AE247" s="3">
        <v>146</v>
      </c>
      <c r="AF247" s="3" t="str">
        <f>IFERROR(MID(VLOOKUP($B247,Seqs!$A:$B,2,0),AG247,1),"")</f>
        <v>C</v>
      </c>
      <c r="AG247" s="3">
        <v>170</v>
      </c>
      <c r="AH247" s="3" t="str">
        <f>IFERROR(MID(VLOOKUP($B247,Seqs!$A:$B,2,0),AI247,1),"")</f>
        <v>E</v>
      </c>
      <c r="AI247" s="3">
        <v>172</v>
      </c>
      <c r="AJ247" s="3" t="str">
        <f>IFERROR(MID(VLOOKUP($B247,Seqs!$A:$B,2,0),AK247,1),"")</f>
        <v>D</v>
      </c>
      <c r="AK247" s="3">
        <v>175</v>
      </c>
      <c r="AL247" s="3" t="str">
        <f>IFERROR(MID(VLOOKUP($B247,Seqs!$A:$B,2,0),AM247,1),"")</f>
        <v>R</v>
      </c>
      <c r="AM247" s="3">
        <v>211</v>
      </c>
      <c r="AN247" s="3" t="str">
        <f>IFERROR(MID(VLOOKUP($B247,Seqs!$A:$B,2,0),AO247,1),"")</f>
        <v/>
      </c>
      <c r="AO247" s="3">
        <v>2215</v>
      </c>
      <c r="AP247" s="3" t="str">
        <f>IFERROR(MID(VLOOKUP($B247,Seqs!$A:$B,2,0),AQ247,1),"")</f>
        <v/>
      </c>
      <c r="AQ247" s="3">
        <v>2250</v>
      </c>
      <c r="AR247" s="3" t="str">
        <f>IFERROR(MID(VLOOKUP($B247,Seqs!$A:$B,2,0),AS247,1),"")</f>
        <v/>
      </c>
      <c r="AS247" s="3">
        <v>2254</v>
      </c>
      <c r="AT247" s="3" t="str">
        <f>IFERROR(MID(VLOOKUP($B247,Seqs!$A:$B,2,0),AU247,1),"")</f>
        <v/>
      </c>
      <c r="AU247" s="3">
        <v>2277</v>
      </c>
      <c r="AV247" s="3" t="str">
        <f>IFERROR(MID(VLOOKUP($B247,Seqs!$A:$B,2,0),AW247,1),"")</f>
        <v/>
      </c>
      <c r="AW247" s="3" t="s">
        <v>23</v>
      </c>
      <c r="AX247" s="3" t="str">
        <f>IFERROR(MID(VLOOKUP($B247,Seqs!$A:$B,2,0),AY247,1),"")</f>
        <v/>
      </c>
      <c r="AY247" s="3" t="s">
        <v>23</v>
      </c>
      <c r="AZ247" s="77" t="str">
        <f>VLOOKUP(B247,Classification!A:D,2,0)</f>
        <v>A</v>
      </c>
      <c r="BA247" s="94" t="str">
        <f>VLOOKUP(B247,Classification!A:D,4,0)</f>
        <v>Freefattyacid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242</v>
      </c>
      <c r="BD247" s="16" t="s">
        <v>1425</v>
      </c>
      <c r="BE247" s="3" t="s">
        <v>1424</v>
      </c>
      <c r="BF247" s="118">
        <v>3.22</v>
      </c>
      <c r="BG247" s="49" t="s">
        <v>1</v>
      </c>
      <c r="BH247" s="49" t="s">
        <v>1</v>
      </c>
      <c r="BI247" s="1"/>
      <c r="BJ247" s="70" t="s">
        <v>1283</v>
      </c>
      <c r="BK247" s="57" t="s">
        <v>1283</v>
      </c>
      <c r="BL247" s="57" t="s">
        <v>1283</v>
      </c>
      <c r="BM247" s="57" t="s">
        <v>1283</v>
      </c>
      <c r="BN247" s="57" t="s">
        <v>1283</v>
      </c>
      <c r="BO247" s="57" t="s">
        <v>1283</v>
      </c>
      <c r="BP247" s="57" t="s">
        <v>1283</v>
      </c>
      <c r="BQ247" s="57" t="s">
        <v>1283</v>
      </c>
      <c r="BR247" s="57" t="s">
        <v>1283</v>
      </c>
      <c r="BS247" s="57" t="s">
        <v>1283</v>
      </c>
      <c r="BT247" s="57" t="s">
        <v>1283</v>
      </c>
      <c r="BU247" s="57" t="s">
        <v>1283</v>
      </c>
      <c r="BV247" s="70">
        <f>E247</f>
        <v>4</v>
      </c>
      <c r="BW247" s="71" t="str">
        <f>I247</f>
        <v>-</v>
      </c>
      <c r="BX247" s="72">
        <f>M247</f>
        <v>39</v>
      </c>
      <c r="BY247" s="71">
        <f>Q247</f>
        <v>71</v>
      </c>
      <c r="BZ247" s="72">
        <f>U247</f>
        <v>75</v>
      </c>
      <c r="CA247" s="71">
        <f>Y247</f>
        <v>111</v>
      </c>
      <c r="CB247" s="72">
        <f>AC247</f>
        <v>119</v>
      </c>
      <c r="CC247" s="71">
        <f>AG247</f>
        <v>170</v>
      </c>
      <c r="CD247" s="72">
        <f>AK247</f>
        <v>175</v>
      </c>
      <c r="CE247" s="71">
        <f>AO247</f>
        <v>2215</v>
      </c>
      <c r="CF247" s="72">
        <f>AS247</f>
        <v>2254</v>
      </c>
      <c r="CG247" s="71" t="str">
        <f>AW247</f>
        <v>-</v>
      </c>
      <c r="CH247" s="70">
        <f>G247</f>
        <v>37</v>
      </c>
      <c r="CI247" s="71" t="str">
        <f>K247</f>
        <v>-</v>
      </c>
      <c r="CJ247" s="72">
        <f>O247</f>
        <v>68</v>
      </c>
      <c r="CK247" s="72">
        <f>S247</f>
        <v>74</v>
      </c>
      <c r="CL247" s="72">
        <f>W247</f>
        <v>110</v>
      </c>
      <c r="CM247" s="72">
        <f>AA247</f>
        <v>118</v>
      </c>
      <c r="CN247" s="72">
        <f>AE247</f>
        <v>146</v>
      </c>
      <c r="CO247" s="72">
        <f>AI247</f>
        <v>172</v>
      </c>
      <c r="CP247" s="72">
        <f>AM247</f>
        <v>211</v>
      </c>
      <c r="CQ247" s="72">
        <f>AQ247</f>
        <v>2250</v>
      </c>
      <c r="CR247" s="72">
        <f>AU247</f>
        <v>2277</v>
      </c>
      <c r="CS247" s="72" t="str">
        <f>AY247</f>
        <v>-</v>
      </c>
      <c r="CT247" s="23" t="e">
        <f>M247-K247</f>
        <v>#VALUE!</v>
      </c>
    </row>
    <row r="248" spans="1:1029" x14ac:dyDescent="0.2">
      <c r="A248" s="3" t="str">
        <f t="shared" ref="A248:A249" si="2011">CONCATENATE(B248,"_",C248)</f>
        <v>fpr2_human__wt</v>
      </c>
      <c r="B248" s="3" t="s">
        <v>201</v>
      </c>
      <c r="C248" s="3" t="s">
        <v>100</v>
      </c>
      <c r="D248" s="3" t="str">
        <f>IFERROR(MID(VLOOKUP($B248,Seqs!$A:$B,2,0),E248,1),"")</f>
        <v>S</v>
      </c>
      <c r="E248" s="3">
        <v>19</v>
      </c>
      <c r="F248" s="3" t="str">
        <f>IFERROR(MID(VLOOKUP($B248,Seqs!$A:$B,2,0),G248,1),"")</f>
        <v>M</v>
      </c>
      <c r="G248" s="3">
        <v>55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T</v>
      </c>
      <c r="M248" s="3">
        <v>58</v>
      </c>
      <c r="N248" s="3" t="str">
        <f>IFERROR(MID(VLOOKUP($B248,Seqs!$A:$B,2,0),O248,1),"")</f>
        <v>G</v>
      </c>
      <c r="O248" s="3">
        <v>88</v>
      </c>
      <c r="P248" s="3" t="str">
        <f>IFERROR(MID(VLOOKUP($B248,Seqs!$A:$B,2,0),Q248,1),"")</f>
        <v>K</v>
      </c>
      <c r="Q248" s="3">
        <v>90</v>
      </c>
      <c r="R248" s="3" t="str">
        <f>IFERROR(MID(VLOOKUP($B248,Seqs!$A:$B,2,0),S248,1),"")</f>
        <v>F</v>
      </c>
      <c r="S248" s="3">
        <v>93</v>
      </c>
      <c r="T248" s="3" t="str">
        <f>IFERROR(MID(VLOOKUP($B248,Seqs!$A:$B,2,0),U248,1),"")</f>
        <v>G</v>
      </c>
      <c r="U248" s="3">
        <v>94</v>
      </c>
      <c r="V248" s="3" t="str">
        <f>IFERROR(MID(VLOOKUP($B248,Seqs!$A:$B,2,0),W248,1),"")</f>
        <v>H</v>
      </c>
      <c r="W248" s="3">
        <v>129</v>
      </c>
      <c r="X248" s="3" t="str">
        <f>IFERROR(MID(VLOOKUP($B248,Seqs!$A:$B,2,0),Y248,1),"")</f>
        <v>P</v>
      </c>
      <c r="Y248" s="3">
        <v>130</v>
      </c>
      <c r="Z248" s="3" t="str">
        <f>IFERROR(MID(VLOOKUP($B248,Seqs!$A:$B,2,0),AA248,1),"")</f>
        <v>R</v>
      </c>
      <c r="AA248" s="3">
        <v>137</v>
      </c>
      <c r="AB248" s="3" t="str">
        <f>IFERROR(MID(VLOOKUP($B248,Seqs!$A:$B,2,0),AC248,1),"")</f>
        <v>T</v>
      </c>
      <c r="AC248" s="3">
        <v>138</v>
      </c>
      <c r="AD248" s="3" t="str">
        <f>IFERROR(MID(VLOOKUP($B248,Seqs!$A:$B,2,0),AE248,1),"")</f>
        <v>L</v>
      </c>
      <c r="AE248" s="3">
        <v>164</v>
      </c>
      <c r="AF248" s="3" t="str">
        <f>IFERROR(MID(VLOOKUP($B248,Seqs!$A:$B,2,0),AG248,1),"")</f>
        <v>C</v>
      </c>
      <c r="AG248" s="3">
        <v>176</v>
      </c>
      <c r="AH248" s="3" t="str">
        <f>IFERROR(MID(VLOOKUP($B248,Seqs!$A:$B,2,0),AI248,1),"")</f>
        <v>F</v>
      </c>
      <c r="AI248" s="3">
        <v>178</v>
      </c>
      <c r="AJ248" s="3" t="str">
        <f>IFERROR(MID(VLOOKUP($B248,Seqs!$A:$B,2,0),AK248,1),"")</f>
        <v>T</v>
      </c>
      <c r="AK248" s="3">
        <v>186</v>
      </c>
      <c r="AL248" s="3" t="str">
        <f>IFERROR(MID(VLOOKUP($B248,Seqs!$A:$B,2,0),AM248,1),"")</f>
        <v>G</v>
      </c>
      <c r="AM248" s="3">
        <v>232</v>
      </c>
      <c r="AN248" s="3" t="str">
        <f>IFERROR(MID(VLOOKUP($B248,Seqs!$A:$B,2,0),AO248,1),"")</f>
        <v>S</v>
      </c>
      <c r="AO248" s="3">
        <v>237</v>
      </c>
      <c r="AP248" s="3" t="str">
        <f>IFERROR(MID(VLOOKUP($B248,Seqs!$A:$B,2,0),AQ248,1),"")</f>
        <v>W</v>
      </c>
      <c r="AQ248" s="3">
        <v>267</v>
      </c>
      <c r="AR248" s="3" t="str">
        <f>IFERROR(MID(VLOOKUP($B248,Seqs!$A:$B,2,0),AS248,1),"")</f>
        <v>Y</v>
      </c>
      <c r="AS248" s="3">
        <v>277</v>
      </c>
      <c r="AT248" s="3" t="str">
        <f>IFERROR(MID(VLOOKUP($B248,Seqs!$A:$B,2,0),AU248,1),"")</f>
        <v>V</v>
      </c>
      <c r="AU248" s="3">
        <v>305</v>
      </c>
      <c r="AV248" s="3" t="str">
        <f>IFERROR(MID(VLOOKUP($B248,Seqs!$A:$B,2,0),AW248,1),"")</f>
        <v>G</v>
      </c>
      <c r="AW248" s="3">
        <v>306</v>
      </c>
      <c r="AX248" s="3" t="str">
        <f>IFERROR(MID(VLOOKUP($B248,Seqs!$A:$B,2,0),AY248,1),"")</f>
        <v>L</v>
      </c>
      <c r="AY248" s="3">
        <v>317</v>
      </c>
      <c r="AZ248" s="77" t="str">
        <f>VLOOKUP(B248,Classification!A:D,2,0)</f>
        <v>A</v>
      </c>
      <c r="BA248" s="94" t="str">
        <f>VLOOKUP(B248,Classification!A:D,4,0)</f>
        <v>Formylpeptide</v>
      </c>
      <c r="BB248" s="27" t="b">
        <f t="shared" ref="BB248:BB249" si="2012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 t="shared" ref="BC248:BC249" si="2013">_xlfn.AGGREGATE(9,6,CH248:CS248)-_xlfn.AGGREGATE(9,6,BV248:CG248)+12</f>
        <v>266</v>
      </c>
      <c r="BD248" s="16" t="s">
        <v>23</v>
      </c>
      <c r="BE248" s="3" t="s">
        <v>23</v>
      </c>
      <c r="BF248" s="118" t="s">
        <v>23</v>
      </c>
      <c r="BG248" s="49" t="s">
        <v>23</v>
      </c>
      <c r="BH248" s="49" t="s">
        <v>23</v>
      </c>
      <c r="BI248" s="1"/>
      <c r="BJ248" s="70" t="s">
        <v>1283</v>
      </c>
      <c r="BK248" s="57" t="s">
        <v>1283</v>
      </c>
      <c r="BL248" s="57" t="s">
        <v>1283</v>
      </c>
      <c r="BM248" s="57" t="s">
        <v>1283</v>
      </c>
      <c r="BN248" s="57" t="s">
        <v>1283</v>
      </c>
      <c r="BO248" s="57" t="s">
        <v>1283</v>
      </c>
      <c r="BP248" s="57" t="s">
        <v>1283</v>
      </c>
      <c r="BQ248" s="57" t="s">
        <v>1283</v>
      </c>
      <c r="BR248" s="57" t="s">
        <v>1283</v>
      </c>
      <c r="BS248" s="57" t="s">
        <v>1283</v>
      </c>
      <c r="BT248" s="57" t="s">
        <v>1283</v>
      </c>
      <c r="BU248" s="57" t="s">
        <v>1283</v>
      </c>
      <c r="BV248" s="70">
        <f t="shared" ref="BV248:BV249" si="2014">E248</f>
        <v>19</v>
      </c>
      <c r="BW248" s="71" t="str">
        <f t="shared" ref="BW248:BW249" si="2015">I248</f>
        <v>-</v>
      </c>
      <c r="BX248" s="72">
        <f t="shared" ref="BX248:BX249" si="2016">M248</f>
        <v>58</v>
      </c>
      <c r="BY248" s="71">
        <f t="shared" ref="BY248:BY249" si="2017">Q248</f>
        <v>90</v>
      </c>
      <c r="BZ248" s="72">
        <f t="shared" ref="BZ248:BZ249" si="2018">U248</f>
        <v>94</v>
      </c>
      <c r="CA248" s="71">
        <f t="shared" ref="CA248:CA249" si="2019">Y248</f>
        <v>130</v>
      </c>
      <c r="CB248" s="72">
        <f t="shared" ref="CB248:CB249" si="2020">AC248</f>
        <v>138</v>
      </c>
      <c r="CC248" s="71">
        <f t="shared" ref="CC248:CC249" si="2021">AG248</f>
        <v>176</v>
      </c>
      <c r="CD248" s="72">
        <f t="shared" ref="CD248:CD249" si="2022">AK248</f>
        <v>186</v>
      </c>
      <c r="CE248" s="71">
        <f t="shared" ref="CE248:CE249" si="2023">AO248</f>
        <v>237</v>
      </c>
      <c r="CF248" s="72">
        <f t="shared" ref="CF248:CF249" si="2024">AS248</f>
        <v>277</v>
      </c>
      <c r="CG248" s="71">
        <f t="shared" ref="CG248:CG249" si="2025">AW248</f>
        <v>306</v>
      </c>
      <c r="CH248" s="70">
        <f t="shared" ref="CH248:CH249" si="2026">G248</f>
        <v>55</v>
      </c>
      <c r="CI248" s="71" t="str">
        <f t="shared" ref="CI248:CI249" si="2027">K248</f>
        <v>-</v>
      </c>
      <c r="CJ248" s="72">
        <f t="shared" ref="CJ248:CJ249" si="2028">O248</f>
        <v>88</v>
      </c>
      <c r="CK248" s="72">
        <f t="shared" ref="CK248:CK249" si="2029">S248</f>
        <v>93</v>
      </c>
      <c r="CL248" s="72">
        <f t="shared" ref="CL248:CL249" si="2030">W248</f>
        <v>129</v>
      </c>
      <c r="CM248" s="72">
        <f t="shared" ref="CM248:CM249" si="2031">AA248</f>
        <v>137</v>
      </c>
      <c r="CN248" s="72">
        <f t="shared" ref="CN248:CN249" si="2032">AE248</f>
        <v>164</v>
      </c>
      <c r="CO248" s="72">
        <f t="shared" ref="CO248:CO249" si="2033">AI248</f>
        <v>178</v>
      </c>
      <c r="CP248" s="72">
        <f t="shared" ref="CP248:CP249" si="2034">AM248</f>
        <v>232</v>
      </c>
      <c r="CQ248" s="72">
        <f t="shared" ref="CQ248:CQ249" si="2035">AQ248</f>
        <v>267</v>
      </c>
      <c r="CR248" s="72">
        <f t="shared" ref="CR248:CR249" si="2036">AU248</f>
        <v>305</v>
      </c>
      <c r="CS248" s="72">
        <f t="shared" ref="CS248:CS249" si="2037">AY248</f>
        <v>317</v>
      </c>
      <c r="CT248" s="23" t="e">
        <f t="shared" ref="CT248:CT249" si="2038">M248-K248</f>
        <v>#VALUE!</v>
      </c>
    </row>
    <row r="249" spans="1:1029" x14ac:dyDescent="0.2">
      <c r="A249" s="3" t="str">
        <f t="shared" si="2011"/>
        <v>fpr2_human_6LW5</v>
      </c>
      <c r="B249" s="3" t="s">
        <v>201</v>
      </c>
      <c r="C249" s="3" t="s">
        <v>1658</v>
      </c>
      <c r="D249" s="3" t="str">
        <f>IFERROR(MID(VLOOKUP($B249,Seqs!$A:$B,2,0),E249,1),"")</f>
        <v>S</v>
      </c>
      <c r="E249" s="3">
        <v>19</v>
      </c>
      <c r="F249" s="3" t="str">
        <f>IFERROR(MID(VLOOKUP($B249,Seqs!$A:$B,2,0),G249,1),"")</f>
        <v>M</v>
      </c>
      <c r="G249" s="3">
        <v>55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T</v>
      </c>
      <c r="M249" s="3">
        <v>58</v>
      </c>
      <c r="N249" s="3" t="str">
        <f>IFERROR(MID(VLOOKUP($B249,Seqs!$A:$B,2,0),O249,1),"")</f>
        <v>G</v>
      </c>
      <c r="O249" s="3">
        <v>88</v>
      </c>
      <c r="P249" s="3" t="str">
        <f>IFERROR(MID(VLOOKUP($B249,Seqs!$A:$B,2,0),Q249,1),"")</f>
        <v>K</v>
      </c>
      <c r="Q249" s="3">
        <v>90</v>
      </c>
      <c r="R249" s="3" t="str">
        <f>IFERROR(MID(VLOOKUP($B249,Seqs!$A:$B,2,0),S249,1),"")</f>
        <v>F</v>
      </c>
      <c r="S249" s="3">
        <v>93</v>
      </c>
      <c r="T249" s="3" t="str">
        <f>IFERROR(MID(VLOOKUP($B249,Seqs!$A:$B,2,0),U249,1),"")</f>
        <v>G</v>
      </c>
      <c r="U249" s="3">
        <v>94</v>
      </c>
      <c r="V249" s="3" t="str">
        <f>IFERROR(MID(VLOOKUP($B249,Seqs!$A:$B,2,0),W249,1),"")</f>
        <v>H</v>
      </c>
      <c r="W249" s="3">
        <v>129</v>
      </c>
      <c r="X249" s="3" t="str">
        <f>IFERROR(MID(VLOOKUP($B249,Seqs!$A:$B,2,0),Y249,1),"")</f>
        <v>P</v>
      </c>
      <c r="Y249" s="3">
        <v>130</v>
      </c>
      <c r="Z249" s="3" t="str">
        <f>IFERROR(MID(VLOOKUP($B249,Seqs!$A:$B,2,0),AA249,1),"")</f>
        <v>R</v>
      </c>
      <c r="AA249" s="3">
        <v>137</v>
      </c>
      <c r="AB249" s="3" t="str">
        <f>IFERROR(MID(VLOOKUP($B249,Seqs!$A:$B,2,0),AC249,1),"")</f>
        <v>T</v>
      </c>
      <c r="AC249" s="3">
        <v>138</v>
      </c>
      <c r="AD249" s="3" t="str">
        <f>IFERROR(MID(VLOOKUP($B249,Seqs!$A:$B,2,0),AE249,1),"")</f>
        <v>L</v>
      </c>
      <c r="AE249" s="3">
        <v>164</v>
      </c>
      <c r="AF249" s="3" t="str">
        <f>IFERROR(MID(VLOOKUP($B249,Seqs!$A:$B,2,0),AG249,1),"")</f>
        <v>C</v>
      </c>
      <c r="AG249" s="3">
        <v>176</v>
      </c>
      <c r="AH249" s="3" t="str">
        <f>IFERROR(MID(VLOOKUP($B249,Seqs!$A:$B,2,0),AI249,1),"")</f>
        <v>F</v>
      </c>
      <c r="AI249" s="3">
        <v>178</v>
      </c>
      <c r="AJ249" s="3" t="str">
        <f>IFERROR(MID(VLOOKUP($B249,Seqs!$A:$B,2,0),AK249,1),"")</f>
        <v>T</v>
      </c>
      <c r="AK249" s="3">
        <v>186</v>
      </c>
      <c r="AL249" s="3" t="str">
        <f>IFERROR(MID(VLOOKUP($B249,Seqs!$A:$B,2,0),AM249,1),"")</f>
        <v>K</v>
      </c>
      <c r="AM249" s="3">
        <v>231</v>
      </c>
      <c r="AN249" s="3" t="str">
        <f>IFERROR(MID(VLOOKUP($B249,Seqs!$A:$B,2,0),AO249,1),"")</f>
        <v>A</v>
      </c>
      <c r="AO249" s="3">
        <v>245</v>
      </c>
      <c r="AP249" s="3" t="str">
        <f>IFERROR(MID(VLOOKUP($B249,Seqs!$A:$B,2,0),AQ249,1),"")</f>
        <v>W</v>
      </c>
      <c r="AQ249" s="3">
        <v>267</v>
      </c>
      <c r="AR249" s="3" t="str">
        <f>IFERROR(MID(VLOOKUP($B249,Seqs!$A:$B,2,0),AS249,1),"")</f>
        <v>Y</v>
      </c>
      <c r="AS249" s="3">
        <v>277</v>
      </c>
      <c r="AT249" s="3" t="str">
        <f>IFERROR(MID(VLOOKUP($B249,Seqs!$A:$B,2,0),AU249,1),"")</f>
        <v>V</v>
      </c>
      <c r="AU249" s="3">
        <v>303</v>
      </c>
      <c r="AV249" s="3" t="str">
        <f>IFERROR(MID(VLOOKUP($B249,Seqs!$A:$B,2,0),AW249,1),"")</f>
        <v>Q</v>
      </c>
      <c r="AW249" s="3">
        <v>307</v>
      </c>
      <c r="AX249" s="3" t="str">
        <f>IFERROR(MID(VLOOKUP($B249,Seqs!$A:$B,2,0),AY249,1),"")</f>
        <v>L</v>
      </c>
      <c r="AY249" s="3">
        <v>317</v>
      </c>
      <c r="AZ249" s="77" t="str">
        <f>VLOOKUP(B249,Classification!A:D,2,0)</f>
        <v>A</v>
      </c>
      <c r="BA249" s="94" t="str">
        <f>VLOOKUP(B249,Classification!A:D,4,0)</f>
        <v>Formylpeptide</v>
      </c>
      <c r="BB249" s="27" t="b">
        <f t="shared" si="2012"/>
        <v>1</v>
      </c>
      <c r="BC249" s="23">
        <f t="shared" si="2013"/>
        <v>254</v>
      </c>
      <c r="BD249" s="16" t="s">
        <v>23</v>
      </c>
      <c r="BE249" s="3" t="s">
        <v>1287</v>
      </c>
      <c r="BF249" s="118">
        <v>2.8</v>
      </c>
      <c r="BG249" s="49" t="s">
        <v>1</v>
      </c>
      <c r="BH249" s="49" t="s">
        <v>1</v>
      </c>
      <c r="BI249" s="1"/>
      <c r="BJ249" s="70" t="s">
        <v>1283</v>
      </c>
      <c r="BK249" s="57" t="s">
        <v>1283</v>
      </c>
      <c r="BL249" s="57" t="s">
        <v>1283</v>
      </c>
      <c r="BM249" s="57" t="s">
        <v>1283</v>
      </c>
      <c r="BN249" s="57" t="s">
        <v>1283</v>
      </c>
      <c r="BO249" s="57" t="s">
        <v>1283</v>
      </c>
      <c r="BP249" s="57" t="s">
        <v>1283</v>
      </c>
      <c r="BQ249" s="57" t="s">
        <v>1283</v>
      </c>
      <c r="BR249" s="57" t="s">
        <v>1283</v>
      </c>
      <c r="BS249" s="57" t="s">
        <v>1283</v>
      </c>
      <c r="BT249" s="57" t="s">
        <v>1283</v>
      </c>
      <c r="BU249" s="57" t="s">
        <v>1283</v>
      </c>
      <c r="BV249" s="70">
        <f t="shared" si="2014"/>
        <v>19</v>
      </c>
      <c r="BW249" s="71" t="str">
        <f t="shared" si="2015"/>
        <v>-</v>
      </c>
      <c r="BX249" s="72">
        <f t="shared" si="2016"/>
        <v>58</v>
      </c>
      <c r="BY249" s="71">
        <f t="shared" si="2017"/>
        <v>90</v>
      </c>
      <c r="BZ249" s="72">
        <f t="shared" si="2018"/>
        <v>94</v>
      </c>
      <c r="CA249" s="71">
        <f t="shared" si="2019"/>
        <v>130</v>
      </c>
      <c r="CB249" s="72">
        <f t="shared" si="2020"/>
        <v>138</v>
      </c>
      <c r="CC249" s="71">
        <f t="shared" si="2021"/>
        <v>176</v>
      </c>
      <c r="CD249" s="72">
        <f t="shared" si="2022"/>
        <v>186</v>
      </c>
      <c r="CE249" s="71">
        <f t="shared" si="2023"/>
        <v>245</v>
      </c>
      <c r="CF249" s="72">
        <f t="shared" si="2024"/>
        <v>277</v>
      </c>
      <c r="CG249" s="71">
        <f t="shared" si="2025"/>
        <v>307</v>
      </c>
      <c r="CH249" s="70">
        <f t="shared" si="2026"/>
        <v>55</v>
      </c>
      <c r="CI249" s="71" t="str">
        <f t="shared" si="2027"/>
        <v>-</v>
      </c>
      <c r="CJ249" s="72">
        <f t="shared" si="2028"/>
        <v>88</v>
      </c>
      <c r="CK249" s="72">
        <f t="shared" si="2029"/>
        <v>93</v>
      </c>
      <c r="CL249" s="72">
        <f t="shared" si="2030"/>
        <v>129</v>
      </c>
      <c r="CM249" s="72">
        <f t="shared" si="2031"/>
        <v>137</v>
      </c>
      <c r="CN249" s="72">
        <f t="shared" si="2032"/>
        <v>164</v>
      </c>
      <c r="CO249" s="72">
        <f t="shared" si="2033"/>
        <v>178</v>
      </c>
      <c r="CP249" s="72">
        <f t="shared" si="2034"/>
        <v>231</v>
      </c>
      <c r="CQ249" s="72">
        <f t="shared" si="2035"/>
        <v>267</v>
      </c>
      <c r="CR249" s="72">
        <f t="shared" si="2036"/>
        <v>303</v>
      </c>
      <c r="CS249" s="72">
        <f t="shared" si="2037"/>
        <v>317</v>
      </c>
      <c r="CT249" s="23" t="e">
        <f t="shared" si="2038"/>
        <v>#VALUE!</v>
      </c>
    </row>
    <row r="250" spans="1:1029" x14ac:dyDescent="0.2">
      <c r="A250" s="3" t="str">
        <f t="shared" ref="A250" si="2039">CONCATENATE(B250,"_",C250)</f>
        <v>fpr2_human_6OMM</v>
      </c>
      <c r="B250" s="3" t="s">
        <v>201</v>
      </c>
      <c r="C250" s="3" t="s">
        <v>1659</v>
      </c>
      <c r="D250" s="3" t="str">
        <f>IFERROR(MID(VLOOKUP($B250,Seqs!$A:$B,2,0),E250,1),"")</f>
        <v>G</v>
      </c>
      <c r="E250" s="3">
        <v>21</v>
      </c>
      <c r="F250" s="3" t="str">
        <f>IFERROR(MID(VLOOKUP($B250,Seqs!$A:$B,2,0),G250,1),"")</f>
        <v>M</v>
      </c>
      <c r="G250" s="3">
        <v>55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T</v>
      </c>
      <c r="M250" s="3">
        <v>58</v>
      </c>
      <c r="N250" s="3" t="str">
        <f>IFERROR(MID(VLOOKUP($B250,Seqs!$A:$B,2,0),O250,1),"")</f>
        <v>G</v>
      </c>
      <c r="O250" s="3">
        <v>88</v>
      </c>
      <c r="P250" s="3" t="str">
        <f>IFERROR(MID(VLOOKUP($B250,Seqs!$A:$B,2,0),Q250,1),"")</f>
        <v>K</v>
      </c>
      <c r="Q250" s="3">
        <v>90</v>
      </c>
      <c r="R250" s="3" t="str">
        <f>IFERROR(MID(VLOOKUP($B250,Seqs!$A:$B,2,0),S250,1),"")</f>
        <v>F</v>
      </c>
      <c r="S250" s="3">
        <v>93</v>
      </c>
      <c r="T250" s="3" t="str">
        <f>IFERROR(MID(VLOOKUP($B250,Seqs!$A:$B,2,0),U250,1),"")</f>
        <v>G</v>
      </c>
      <c r="U250" s="3">
        <v>94</v>
      </c>
      <c r="V250" s="3" t="str">
        <f>IFERROR(MID(VLOOKUP($B250,Seqs!$A:$B,2,0),W250,1),"")</f>
        <v>H</v>
      </c>
      <c r="W250" s="3">
        <v>129</v>
      </c>
      <c r="X250" s="3" t="str">
        <f>IFERROR(MID(VLOOKUP($B250,Seqs!$A:$B,2,0),Y250,1),"")</f>
        <v>P</v>
      </c>
      <c r="Y250" s="3">
        <v>130</v>
      </c>
      <c r="Z250" s="3" t="str">
        <f>IFERROR(MID(VLOOKUP($B250,Seqs!$A:$B,2,0),AA250,1),"")</f>
        <v>R</v>
      </c>
      <c r="AA250" s="3">
        <v>137</v>
      </c>
      <c r="AB250" s="3" t="str">
        <f>IFERROR(MID(VLOOKUP($B250,Seqs!$A:$B,2,0),AC250,1),"")</f>
        <v>T</v>
      </c>
      <c r="AC250" s="3">
        <v>138</v>
      </c>
      <c r="AD250" s="3" t="str">
        <f>IFERROR(MID(VLOOKUP($B250,Seqs!$A:$B,2,0),AE250,1),"")</f>
        <v>L</v>
      </c>
      <c r="AE250" s="3">
        <v>164</v>
      </c>
      <c r="AF250" s="3" t="str">
        <f>IFERROR(MID(VLOOKUP($B250,Seqs!$A:$B,2,0),AG250,1),"")</f>
        <v>C</v>
      </c>
      <c r="AG250" s="3">
        <v>176</v>
      </c>
      <c r="AH250" s="3" t="str">
        <f>IFERROR(MID(VLOOKUP($B250,Seqs!$A:$B,2,0),AI250,1),"")</f>
        <v>F</v>
      </c>
      <c r="AI250" s="3">
        <v>178</v>
      </c>
      <c r="AJ250" s="3" t="str">
        <f>IFERROR(MID(VLOOKUP($B250,Seqs!$A:$B,2,0),AK250,1),"")</f>
        <v>T</v>
      </c>
      <c r="AK250" s="3">
        <v>186</v>
      </c>
      <c r="AL250" s="3" t="str">
        <f>IFERROR(MID(VLOOKUP($B250,Seqs!$A:$B,2,0),AM250,1),"")</f>
        <v>G</v>
      </c>
      <c r="AM250" s="3">
        <v>232</v>
      </c>
      <c r="AN250" s="3" t="str">
        <f>IFERROR(MID(VLOOKUP($B250,Seqs!$A:$B,2,0),AO250,1),"")</f>
        <v>S</v>
      </c>
      <c r="AO250" s="3">
        <v>237</v>
      </c>
      <c r="AP250" s="3" t="str">
        <f>IFERROR(MID(VLOOKUP($B250,Seqs!$A:$B,2,0),AQ250,1),"")</f>
        <v>W</v>
      </c>
      <c r="AQ250" s="3">
        <v>267</v>
      </c>
      <c r="AR250" s="3" t="str">
        <f>IFERROR(MID(VLOOKUP($B250,Seqs!$A:$B,2,0),AS250,1),"")</f>
        <v>K</v>
      </c>
      <c r="AS250" s="3">
        <v>278</v>
      </c>
      <c r="AT250" s="3" t="str">
        <f>IFERROR(MID(VLOOKUP($B250,Seqs!$A:$B,2,0),AU250,1),"")</f>
        <v>V</v>
      </c>
      <c r="AU250" s="3">
        <v>305</v>
      </c>
      <c r="AV250" s="3" t="str">
        <f>IFERROR(MID(VLOOKUP($B250,Seqs!$A:$B,2,0),AW250,1),"")</f>
        <v>G</v>
      </c>
      <c r="AW250" s="3">
        <v>306</v>
      </c>
      <c r="AX250" s="3" t="str">
        <f>IFERROR(MID(VLOOKUP($B250,Seqs!$A:$B,2,0),AY250,1),"")</f>
        <v>L</v>
      </c>
      <c r="AY250" s="3">
        <v>317</v>
      </c>
      <c r="AZ250" s="77" t="str">
        <f>VLOOKUP(B250,Classification!A:D,2,0)</f>
        <v>A</v>
      </c>
      <c r="BA250" s="94" t="str">
        <f>VLOOKUP(B250,Classification!A:D,4,0)</f>
        <v>Formylpeptide</v>
      </c>
      <c r="BB250" s="27" t="b">
        <f t="shared" ref="BB250" si="2040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 t="shared" ref="BC250" si="2041">_xlfn.AGGREGATE(9,6,CH250:CS250)-_xlfn.AGGREGATE(9,6,BV250:CG250)+12</f>
        <v>263</v>
      </c>
      <c r="BD250" s="16" t="s">
        <v>1371</v>
      </c>
      <c r="BE250" s="3" t="s">
        <v>1287</v>
      </c>
      <c r="BF250" s="118">
        <v>3.17</v>
      </c>
      <c r="BG250" s="49" t="s">
        <v>1</v>
      </c>
      <c r="BH250" s="49" t="s">
        <v>1</v>
      </c>
      <c r="BI250" s="1"/>
      <c r="BJ250" s="70" t="s">
        <v>1283</v>
      </c>
      <c r="BK250" s="57" t="s">
        <v>1283</v>
      </c>
      <c r="BL250" s="57" t="s">
        <v>1283</v>
      </c>
      <c r="BM250" s="57" t="s">
        <v>1283</v>
      </c>
      <c r="BN250" s="57" t="s">
        <v>1283</v>
      </c>
      <c r="BO250" s="57" t="s">
        <v>1283</v>
      </c>
      <c r="BP250" s="57" t="s">
        <v>1283</v>
      </c>
      <c r="BQ250" s="57" t="s">
        <v>1283</v>
      </c>
      <c r="BR250" s="57" t="s">
        <v>1283</v>
      </c>
      <c r="BS250" s="57" t="s">
        <v>1283</v>
      </c>
      <c r="BT250" s="57" t="s">
        <v>1283</v>
      </c>
      <c r="BU250" s="57" t="s">
        <v>1283</v>
      </c>
      <c r="BV250" s="70">
        <f t="shared" ref="BV250" si="2042">E250</f>
        <v>21</v>
      </c>
      <c r="BW250" s="71" t="str">
        <f t="shared" ref="BW250" si="2043">I250</f>
        <v>-</v>
      </c>
      <c r="BX250" s="72">
        <f t="shared" ref="BX250" si="2044">M250</f>
        <v>58</v>
      </c>
      <c r="BY250" s="71">
        <f t="shared" ref="BY250" si="2045">Q250</f>
        <v>90</v>
      </c>
      <c r="BZ250" s="72">
        <f t="shared" ref="BZ250" si="2046">U250</f>
        <v>94</v>
      </c>
      <c r="CA250" s="71">
        <f t="shared" ref="CA250" si="2047">Y250</f>
        <v>130</v>
      </c>
      <c r="CB250" s="72">
        <f t="shared" ref="CB250" si="2048">AC250</f>
        <v>138</v>
      </c>
      <c r="CC250" s="71">
        <f t="shared" ref="CC250" si="2049">AG250</f>
        <v>176</v>
      </c>
      <c r="CD250" s="72">
        <f t="shared" ref="CD250" si="2050">AK250</f>
        <v>186</v>
      </c>
      <c r="CE250" s="71">
        <f t="shared" ref="CE250" si="2051">AO250</f>
        <v>237</v>
      </c>
      <c r="CF250" s="72">
        <f t="shared" ref="CF250" si="2052">AS250</f>
        <v>278</v>
      </c>
      <c r="CG250" s="71">
        <f t="shared" ref="CG250" si="2053">AW250</f>
        <v>306</v>
      </c>
      <c r="CH250" s="70">
        <f t="shared" ref="CH250" si="2054">G250</f>
        <v>55</v>
      </c>
      <c r="CI250" s="71" t="str">
        <f t="shared" ref="CI250" si="2055">K250</f>
        <v>-</v>
      </c>
      <c r="CJ250" s="72">
        <f t="shared" ref="CJ250" si="2056">O250</f>
        <v>88</v>
      </c>
      <c r="CK250" s="72">
        <f t="shared" ref="CK250" si="2057">S250</f>
        <v>93</v>
      </c>
      <c r="CL250" s="72">
        <f t="shared" ref="CL250" si="2058">W250</f>
        <v>129</v>
      </c>
      <c r="CM250" s="72">
        <f t="shared" ref="CM250" si="2059">AA250</f>
        <v>137</v>
      </c>
      <c r="CN250" s="72">
        <f t="shared" ref="CN250" si="2060">AE250</f>
        <v>164</v>
      </c>
      <c r="CO250" s="72">
        <f t="shared" ref="CO250" si="2061">AI250</f>
        <v>178</v>
      </c>
      <c r="CP250" s="72">
        <f t="shared" ref="CP250" si="2062">AM250</f>
        <v>232</v>
      </c>
      <c r="CQ250" s="72">
        <f t="shared" ref="CQ250" si="2063">AQ250</f>
        <v>267</v>
      </c>
      <c r="CR250" s="72">
        <f t="shared" ref="CR250" si="2064">AU250</f>
        <v>305</v>
      </c>
      <c r="CS250" s="72">
        <f t="shared" ref="CS250" si="2065">AY250</f>
        <v>317</v>
      </c>
      <c r="CT250" s="23" t="e">
        <f t="shared" ref="CT250" si="2066">M250-K250</f>
        <v>#VALUE!</v>
      </c>
    </row>
    <row r="251" spans="1:1029" x14ac:dyDescent="0.2">
      <c r="A251" s="3" t="str">
        <f t="shared" ref="A251" si="2067">CONCATENATE(B251,"_",C251)</f>
        <v>gpr52_human__wt</v>
      </c>
      <c r="B251" s="3" t="s">
        <v>259</v>
      </c>
      <c r="C251" s="3" t="s">
        <v>100</v>
      </c>
      <c r="D251" s="3" t="str">
        <f>IFERROR(MID(VLOOKUP($B251,Seqs!$A:$B,2,0),E251,1),"")</f>
        <v>C</v>
      </c>
      <c r="E251" s="3">
        <v>40</v>
      </c>
      <c r="F251" s="3" t="str">
        <f>IFERROR(MID(VLOOKUP($B251,Seqs!$A:$B,2,0),G251,1),"")</f>
        <v>A</v>
      </c>
      <c r="G251" s="3">
        <v>68</v>
      </c>
      <c r="H251" s="3" t="str">
        <f>IFERROR(MID(VLOOKUP($B251,Seqs!$A:$B,2,0),I251,1),"")</f>
        <v>P</v>
      </c>
      <c r="I251" s="23">
        <v>69</v>
      </c>
      <c r="J251" s="3" t="str">
        <f>IFERROR(MID(VLOOKUP($B251,Seqs!$A:$B,2,0),K251,1),"")</f>
        <v>H</v>
      </c>
      <c r="K251" s="23">
        <v>73</v>
      </c>
      <c r="L251" s="3" t="str">
        <f>IFERROR(MID(VLOOKUP($B251,Seqs!$A:$B,2,0),M251,1),"")</f>
        <v>Y</v>
      </c>
      <c r="M251" s="3">
        <v>74</v>
      </c>
      <c r="N251" s="3" t="str">
        <f>IFERROR(MID(VLOOKUP($B251,Seqs!$A:$B,2,0),O251,1),"")</f>
        <v>Y</v>
      </c>
      <c r="O251" s="3">
        <v>104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E</v>
      </c>
      <c r="U251" s="3">
        <v>110</v>
      </c>
      <c r="V251" s="3" t="str">
        <f>IFERROR(MID(VLOOKUP($B251,Seqs!$A:$B,2,0),W251,1),"")</f>
        <v>K</v>
      </c>
      <c r="W251" s="3">
        <v>145</v>
      </c>
      <c r="X251" s="3" t="str">
        <f>IFERROR(MID(VLOOKUP($B251,Seqs!$A:$B,2,0),Y251,1),"")</f>
        <v>P</v>
      </c>
      <c r="Y251" s="3">
        <v>146</v>
      </c>
      <c r="Z251" s="3" t="str">
        <f>IFERROR(MID(VLOOKUP($B251,Seqs!$A:$B,2,0),AA251,1),"")</f>
        <v>V</v>
      </c>
      <c r="AA251" s="3">
        <v>153</v>
      </c>
      <c r="AB251" s="3" t="str">
        <f>IFERROR(MID(VLOOKUP($B251,Seqs!$A:$B,2,0),AC251,1),"")</f>
        <v>T</v>
      </c>
      <c r="AC251" s="3">
        <v>154</v>
      </c>
      <c r="AD251" s="3" t="str">
        <f>IFERROR(MID(VLOOKUP($B251,Seqs!$A:$B,2,0),AE251,1),"")</f>
        <v>F</v>
      </c>
      <c r="AE251" s="3">
        <v>178</v>
      </c>
      <c r="AF251" s="3" t="str">
        <f>IFERROR(MID(VLOOKUP($B251,Seqs!$A:$B,2,0),AG251,1),"")</f>
        <v>C</v>
      </c>
      <c r="AG251" s="3">
        <v>193</v>
      </c>
      <c r="AH251" s="3" t="str">
        <f>IFERROR(MID(VLOOKUP($B251,Seqs!$A:$B,2,0),AI251,1),"")</f>
        <v>T</v>
      </c>
      <c r="AI251" s="3">
        <v>195</v>
      </c>
      <c r="AJ251" s="3" t="str">
        <f>IFERROR(MID(VLOOKUP($B251,Seqs!$A:$B,2,0),AK251,1),"")</f>
        <v>S</v>
      </c>
      <c r="AK251" s="3">
        <v>200</v>
      </c>
      <c r="AL251" s="3" t="str">
        <f>IFERROR(MID(VLOOKUP($B251,Seqs!$A:$B,2,0),AM251,1),"")</f>
        <v>N</v>
      </c>
      <c r="AM251" s="3">
        <v>238</v>
      </c>
      <c r="AN251" s="3" t="str">
        <f>IFERROR(MID(VLOOKUP($B251,Seqs!$A:$B,2,0),AO251,1),"")</f>
        <v>S</v>
      </c>
      <c r="AO251" s="3">
        <v>251</v>
      </c>
      <c r="AP251" s="3" t="str">
        <f>IFERROR(MID(VLOOKUP($B251,Seqs!$A:$B,2,0),AQ251,1),"")</f>
        <v>R</v>
      </c>
      <c r="AQ251" s="3">
        <v>291</v>
      </c>
      <c r="AR251" s="3" t="str">
        <f>IFERROR(MID(VLOOKUP($B251,Seqs!$A:$B,2,0),AS251,1),"")</f>
        <v>N</v>
      </c>
      <c r="AS251" s="3">
        <v>295</v>
      </c>
      <c r="AT251" s="3" t="str">
        <f>IFERROR(MID(VLOOKUP($B251,Seqs!$A:$B,2,0),AU251,1),"")</f>
        <v>S</v>
      </c>
      <c r="AU251" s="3">
        <v>320</v>
      </c>
      <c r="AV251" s="3" t="str">
        <f>IFERROR(MID(VLOOKUP($B251,Seqs!$A:$B,2,0),AW251,1),"")</f>
        <v>N</v>
      </c>
      <c r="AW251" s="3">
        <v>321</v>
      </c>
      <c r="AX251" s="3" t="str">
        <f>IFERROR(MID(VLOOKUP($B251,Seqs!$A:$B,2,0),AY251,1),"")</f>
        <v>C</v>
      </c>
      <c r="AY251" s="3">
        <v>341</v>
      </c>
      <c r="AZ251" s="77" t="str">
        <f>VLOOKUP(B251,Classification!A:D,2,0)</f>
        <v>A</v>
      </c>
      <c r="BA251" s="94" t="str">
        <f>VLOOKUP(B251,Classification!A:D,4,0)</f>
        <v>ClassAorphans</v>
      </c>
      <c r="BB251" s="27" t="b">
        <f t="shared" ref="BB251" si="2068"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23">
        <f t="shared" ref="BC251" si="2069">_xlfn.AGGREGATE(9,6,CH251:CS251)-_xlfn.AGGREGATE(9,6,BV251:CG251)+12</f>
        <v>265</v>
      </c>
      <c r="BD251" s="16" t="s">
        <v>23</v>
      </c>
      <c r="BE251" s="3" t="s">
        <v>23</v>
      </c>
      <c r="BF251" s="118" t="s">
        <v>23</v>
      </c>
      <c r="BI251" s="1"/>
      <c r="BJ251" s="70" t="s">
        <v>1283</v>
      </c>
      <c r="BK251" s="57" t="s">
        <v>1283</v>
      </c>
      <c r="BL251" s="57" t="s">
        <v>1283</v>
      </c>
      <c r="BM251" s="57" t="s">
        <v>1283</v>
      </c>
      <c r="BN251" s="57" t="s">
        <v>1283</v>
      </c>
      <c r="BO251" s="57" t="s">
        <v>1283</v>
      </c>
      <c r="BP251" s="57" t="s">
        <v>1283</v>
      </c>
      <c r="BQ251" s="57" t="s">
        <v>1283</v>
      </c>
      <c r="BR251" s="57" t="s">
        <v>1283</v>
      </c>
      <c r="BS251" s="57" t="s">
        <v>1283</v>
      </c>
      <c r="BT251" s="57" t="s">
        <v>1283</v>
      </c>
      <c r="BU251" s="57" t="s">
        <v>1283</v>
      </c>
      <c r="BV251" s="70">
        <f t="shared" ref="BV251" si="2070">E251</f>
        <v>40</v>
      </c>
      <c r="BW251" s="71">
        <f t="shared" ref="BW251" si="2071">I251</f>
        <v>69</v>
      </c>
      <c r="BX251" s="72">
        <f t="shared" ref="BX251" si="2072">M251</f>
        <v>74</v>
      </c>
      <c r="BY251" s="71" t="str">
        <f t="shared" ref="BY251" si="2073">Q251</f>
        <v>-</v>
      </c>
      <c r="BZ251" s="72">
        <f t="shared" ref="BZ251" si="2074">U251</f>
        <v>110</v>
      </c>
      <c r="CA251" s="71">
        <f t="shared" ref="CA251" si="2075">Y251</f>
        <v>146</v>
      </c>
      <c r="CB251" s="72">
        <f t="shared" ref="CB251" si="2076">AC251</f>
        <v>154</v>
      </c>
      <c r="CC251" s="71">
        <f t="shared" ref="CC251" si="2077">AG251</f>
        <v>193</v>
      </c>
      <c r="CD251" s="72">
        <f t="shared" ref="CD251" si="2078">AK251</f>
        <v>200</v>
      </c>
      <c r="CE251" s="71">
        <f t="shared" ref="CE251" si="2079">AO251</f>
        <v>251</v>
      </c>
      <c r="CF251" s="72">
        <f t="shared" ref="CF251" si="2080">AS251</f>
        <v>295</v>
      </c>
      <c r="CG251" s="71">
        <f t="shared" ref="CG251" si="2081">AW251</f>
        <v>321</v>
      </c>
      <c r="CH251" s="70">
        <f t="shared" ref="CH251" si="2082">G251</f>
        <v>68</v>
      </c>
      <c r="CI251" s="71">
        <f t="shared" ref="CI251" si="2083">K251</f>
        <v>73</v>
      </c>
      <c r="CJ251" s="72">
        <f t="shared" ref="CJ251" si="2084">O251</f>
        <v>104</v>
      </c>
      <c r="CK251" s="72" t="str">
        <f t="shared" ref="CK251" si="2085">S251</f>
        <v>-</v>
      </c>
      <c r="CL251" s="72">
        <f t="shared" ref="CL251" si="2086">W251</f>
        <v>145</v>
      </c>
      <c r="CM251" s="72">
        <f t="shared" ref="CM251" si="2087">AA251</f>
        <v>153</v>
      </c>
      <c r="CN251" s="72">
        <f t="shared" ref="CN251" si="2088">AE251</f>
        <v>178</v>
      </c>
      <c r="CO251" s="72">
        <f t="shared" ref="CO251" si="2089">AI251</f>
        <v>195</v>
      </c>
      <c r="CP251" s="72">
        <f t="shared" ref="CP251" si="2090">AM251</f>
        <v>238</v>
      </c>
      <c r="CQ251" s="72">
        <f t="shared" ref="CQ251" si="2091">AQ251</f>
        <v>291</v>
      </c>
      <c r="CR251" s="72">
        <f t="shared" ref="CR251" si="2092">AU251</f>
        <v>320</v>
      </c>
      <c r="CS251" s="72">
        <f t="shared" ref="CS251" si="2093">AY251</f>
        <v>341</v>
      </c>
      <c r="CT251" s="23">
        <f t="shared" ref="CT251" si="2094">M251-K251</f>
        <v>1</v>
      </c>
    </row>
    <row r="252" spans="1:1029" x14ac:dyDescent="0.2">
      <c r="A252" s="3" t="str">
        <f t="shared" ref="A252" si="2095">CONCATENATE(B252,"_",C252)</f>
        <v>gpr52_human_6LI0</v>
      </c>
      <c r="B252" s="3" t="s">
        <v>259</v>
      </c>
      <c r="C252" s="3" t="s">
        <v>1663</v>
      </c>
      <c r="D252" s="3" t="str">
        <f>IFERROR(MID(VLOOKUP($B252,Seqs!$A:$B,2,0),E252,1),"")</f>
        <v>C</v>
      </c>
      <c r="E252" s="3">
        <v>40</v>
      </c>
      <c r="F252" s="3" t="str">
        <f>IFERROR(MID(VLOOKUP($B252,Seqs!$A:$B,2,0),G252,1),"")</f>
        <v>C</v>
      </c>
      <c r="G252" s="3">
        <v>67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H</v>
      </c>
      <c r="M252" s="3">
        <v>73</v>
      </c>
      <c r="N252" s="3" t="str">
        <f>IFERROR(MID(VLOOKUP($B252,Seqs!$A:$B,2,0),O252,1),"")</f>
        <v>Y</v>
      </c>
      <c r="O252" s="3">
        <v>104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E</v>
      </c>
      <c r="U252" s="3">
        <v>110</v>
      </c>
      <c r="V252" s="3" t="str">
        <f>IFERROR(MID(VLOOKUP($B252,Seqs!$A:$B,2,0),W252,1),"")</f>
        <v>K</v>
      </c>
      <c r="W252" s="3">
        <v>145</v>
      </c>
      <c r="X252" s="3" t="str">
        <f>IFERROR(MID(VLOOKUP($B252,Seqs!$A:$B,2,0),Y252,1),"")</f>
        <v>P</v>
      </c>
      <c r="Y252" s="3">
        <v>146</v>
      </c>
      <c r="Z252" s="3" t="str">
        <f>IFERROR(MID(VLOOKUP($B252,Seqs!$A:$B,2,0),AA252,1),"")</f>
        <v>V</v>
      </c>
      <c r="AA252" s="3">
        <v>153</v>
      </c>
      <c r="AB252" s="3" t="str">
        <f>IFERROR(MID(VLOOKUP($B252,Seqs!$A:$B,2,0),AC252,1),"")</f>
        <v>T</v>
      </c>
      <c r="AC252" s="3">
        <v>154</v>
      </c>
      <c r="AD252" s="3" t="str">
        <f>IFERROR(MID(VLOOKUP($B252,Seqs!$A:$B,2,0),AE252,1),"")</f>
        <v>F</v>
      </c>
      <c r="AE252" s="3">
        <v>178</v>
      </c>
      <c r="AF252" s="3" t="str">
        <f>IFERROR(MID(VLOOKUP($B252,Seqs!$A:$B,2,0),AG252,1),"")</f>
        <v>C</v>
      </c>
      <c r="AG252" s="3">
        <v>193</v>
      </c>
      <c r="AH252" s="3" t="str">
        <f>IFERROR(MID(VLOOKUP($B252,Seqs!$A:$B,2,0),AI252,1),"")</f>
        <v>T</v>
      </c>
      <c r="AI252" s="3">
        <v>195</v>
      </c>
      <c r="AJ252" s="3" t="str">
        <f>IFERROR(MID(VLOOKUP($B252,Seqs!$A:$B,2,0),AK252,1),"")</f>
        <v>S</v>
      </c>
      <c r="AK252" s="3">
        <v>200</v>
      </c>
      <c r="AL252" s="3" t="str">
        <f>IFERROR(MID(VLOOKUP($B252,Seqs!$A:$B,2,0),AM252,1),"")</f>
        <v>I</v>
      </c>
      <c r="AM252" s="3">
        <v>229</v>
      </c>
      <c r="AN252" s="3" t="str">
        <f>IFERROR(MID(VLOOKUP($B252,Seqs!$A:$B,2,0),AO252,1),"")</f>
        <v>R</v>
      </c>
      <c r="AO252" s="3">
        <v>261</v>
      </c>
      <c r="AP252" s="3" t="str">
        <f>IFERROR(MID(VLOOKUP($B252,Seqs!$A:$B,2,0),AQ252,1),"")</f>
        <v>R</v>
      </c>
      <c r="AQ252" s="3">
        <v>291</v>
      </c>
      <c r="AR252" s="3" t="str">
        <f>IFERROR(MID(VLOOKUP($B252,Seqs!$A:$B,2,0),AS252,1),"")</f>
        <v>N</v>
      </c>
      <c r="AS252" s="3">
        <v>295</v>
      </c>
      <c r="AT252" s="3" t="str">
        <f>IFERROR(MID(VLOOKUP($B252,Seqs!$A:$B,2,0),AU252,1),"")</f>
        <v>S</v>
      </c>
      <c r="AU252" s="3">
        <v>320</v>
      </c>
      <c r="AV252" s="3" t="str">
        <f>IFERROR(MID(VLOOKUP($B252,Seqs!$A:$B,2,0),AW252,1),"")</f>
        <v>N</v>
      </c>
      <c r="AW252" s="3">
        <v>321</v>
      </c>
      <c r="AX252" s="3" t="str">
        <f>IFERROR(MID(VLOOKUP($B252,Seqs!$A:$B,2,0),AY252,1),"")</f>
        <v>M</v>
      </c>
      <c r="AY252" s="3">
        <v>335</v>
      </c>
      <c r="AZ252" s="77" t="str">
        <f>VLOOKUP(B252,Classification!A:D,2,0)</f>
        <v>A</v>
      </c>
      <c r="BA252" s="94" t="str">
        <f>VLOOKUP(B252,Classification!A:D,4,0)</f>
        <v>ClassAorphans</v>
      </c>
      <c r="BB252" s="27" t="b">
        <f t="shared" ref="BB252" si="2096"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 t="shared" ref="BC252" si="2097">_xlfn.AGGREGATE(9,6,CH252:CS252)-_xlfn.AGGREGATE(9,6,BV252:CG252)+12</f>
        <v>236</v>
      </c>
      <c r="BD252" s="16" t="s">
        <v>23</v>
      </c>
      <c r="BE252" s="3" t="s">
        <v>1370</v>
      </c>
      <c r="BF252" s="118">
        <v>2.2000000000000002</v>
      </c>
      <c r="BG252" s="49" t="s">
        <v>1</v>
      </c>
      <c r="BH252" s="49" t="s">
        <v>1</v>
      </c>
      <c r="BI252" s="1"/>
      <c r="BJ252" s="70" t="s">
        <v>1283</v>
      </c>
      <c r="BK252" s="57" t="s">
        <v>1283</v>
      </c>
      <c r="BL252" s="57" t="s">
        <v>1283</v>
      </c>
      <c r="BM252" s="57" t="s">
        <v>1283</v>
      </c>
      <c r="BN252" s="57" t="s">
        <v>1283</v>
      </c>
      <c r="BO252" s="57" t="s">
        <v>1283</v>
      </c>
      <c r="BP252" s="57" t="s">
        <v>1283</v>
      </c>
      <c r="BQ252" s="57" t="s">
        <v>1283</v>
      </c>
      <c r="BR252" s="57" t="s">
        <v>1283</v>
      </c>
      <c r="BS252" s="57" t="s">
        <v>1283</v>
      </c>
      <c r="BT252" s="57" t="s">
        <v>1283</v>
      </c>
      <c r="BU252" s="57" t="s">
        <v>1283</v>
      </c>
      <c r="BV252" s="70">
        <f t="shared" ref="BV252" si="2098">E252</f>
        <v>40</v>
      </c>
      <c r="BW252" s="71" t="str">
        <f t="shared" ref="BW252" si="2099">I252</f>
        <v>-</v>
      </c>
      <c r="BX252" s="72">
        <f t="shared" ref="BX252" si="2100">M252</f>
        <v>73</v>
      </c>
      <c r="BY252" s="71" t="str">
        <f t="shared" ref="BY252" si="2101">Q252</f>
        <v>-</v>
      </c>
      <c r="BZ252" s="72">
        <f t="shared" ref="BZ252" si="2102">U252</f>
        <v>110</v>
      </c>
      <c r="CA252" s="71">
        <f t="shared" ref="CA252" si="2103">Y252</f>
        <v>146</v>
      </c>
      <c r="CB252" s="72">
        <f t="shared" ref="CB252" si="2104">AC252</f>
        <v>154</v>
      </c>
      <c r="CC252" s="71">
        <f t="shared" ref="CC252" si="2105">AG252</f>
        <v>193</v>
      </c>
      <c r="CD252" s="72">
        <f t="shared" ref="CD252" si="2106">AK252</f>
        <v>200</v>
      </c>
      <c r="CE252" s="71">
        <f t="shared" ref="CE252" si="2107">AO252</f>
        <v>261</v>
      </c>
      <c r="CF252" s="72">
        <f t="shared" ref="CF252" si="2108">AS252</f>
        <v>295</v>
      </c>
      <c r="CG252" s="71">
        <f t="shared" ref="CG252" si="2109">AW252</f>
        <v>321</v>
      </c>
      <c r="CH252" s="70">
        <f t="shared" ref="CH252" si="2110">G252</f>
        <v>67</v>
      </c>
      <c r="CI252" s="71" t="str">
        <f t="shared" ref="CI252" si="2111">K252</f>
        <v>-</v>
      </c>
      <c r="CJ252" s="72">
        <f t="shared" ref="CJ252" si="2112">O252</f>
        <v>104</v>
      </c>
      <c r="CK252" s="72" t="str">
        <f t="shared" ref="CK252" si="2113">S252</f>
        <v>-</v>
      </c>
      <c r="CL252" s="72">
        <f t="shared" ref="CL252" si="2114">W252</f>
        <v>145</v>
      </c>
      <c r="CM252" s="72">
        <f t="shared" ref="CM252" si="2115">AA252</f>
        <v>153</v>
      </c>
      <c r="CN252" s="72">
        <f t="shared" ref="CN252" si="2116">AE252</f>
        <v>178</v>
      </c>
      <c r="CO252" s="72">
        <f t="shared" ref="CO252" si="2117">AI252</f>
        <v>195</v>
      </c>
      <c r="CP252" s="72">
        <f t="shared" ref="CP252" si="2118">AM252</f>
        <v>229</v>
      </c>
      <c r="CQ252" s="72">
        <f t="shared" ref="CQ252" si="2119">AQ252</f>
        <v>291</v>
      </c>
      <c r="CR252" s="72">
        <f t="shared" ref="CR252" si="2120">AU252</f>
        <v>320</v>
      </c>
      <c r="CS252" s="72">
        <f t="shared" ref="CS252" si="2121">AY252</f>
        <v>335</v>
      </c>
      <c r="CT252" s="23" t="e">
        <f t="shared" ref="CT252" si="2122">M252-K252</f>
        <v>#VALUE!</v>
      </c>
    </row>
    <row r="253" spans="1:1029" x14ac:dyDescent="0.2">
      <c r="A253" s="3" t="str">
        <f t="shared" ref="A253" si="2123">CONCATENATE(B253,"_",C253)</f>
        <v>gpr52_human_6LI1</v>
      </c>
      <c r="B253" s="3" t="s">
        <v>259</v>
      </c>
      <c r="C253" s="3" t="s">
        <v>1665</v>
      </c>
      <c r="D253" s="3" t="str">
        <f>IFERROR(MID(VLOOKUP($B253,Seqs!$A:$B,2,0),E253,1),"")</f>
        <v>C</v>
      </c>
      <c r="E253" s="3">
        <v>40</v>
      </c>
      <c r="F253" s="3" t="str">
        <f>IFERROR(MID(VLOOKUP($B253,Seqs!$A:$B,2,0),G253,1),"")</f>
        <v>A</v>
      </c>
      <c r="G253" s="3">
        <v>68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H</v>
      </c>
      <c r="M253" s="3">
        <v>73</v>
      </c>
      <c r="N253" s="3" t="str">
        <f>IFERROR(MID(VLOOKUP($B253,Seqs!$A:$B,2,0),O253,1),"")</f>
        <v>H</v>
      </c>
      <c r="O253" s="3">
        <v>103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H</v>
      </c>
      <c r="U253" s="3">
        <v>109</v>
      </c>
      <c r="V253" s="3" t="str">
        <f>IFERROR(MID(VLOOKUP($B253,Seqs!$A:$B,2,0),W253,1),"")</f>
        <v>K</v>
      </c>
      <c r="W253" s="3">
        <v>145</v>
      </c>
      <c r="X253" s="3" t="str">
        <f>IFERROR(MID(VLOOKUP($B253,Seqs!$A:$B,2,0),Y253,1),"")</f>
        <v>P</v>
      </c>
      <c r="Y253" s="3">
        <v>146</v>
      </c>
      <c r="Z253" s="3" t="str">
        <f>IFERROR(MID(VLOOKUP($B253,Seqs!$A:$B,2,0),AA253,1),"")</f>
        <v>V</v>
      </c>
      <c r="AA253" s="3">
        <v>153</v>
      </c>
      <c r="AB253" s="3" t="str">
        <f>IFERROR(MID(VLOOKUP($B253,Seqs!$A:$B,2,0),AC253,1),"")</f>
        <v>T</v>
      </c>
      <c r="AC253" s="3">
        <v>154</v>
      </c>
      <c r="AD253" s="3" t="str">
        <f>IFERROR(MID(VLOOKUP($B253,Seqs!$A:$B,2,0),AE253,1),"")</f>
        <v>F</v>
      </c>
      <c r="AE253" s="3">
        <v>178</v>
      </c>
      <c r="AF253" s="3" t="str">
        <f>IFERROR(MID(VLOOKUP($B253,Seqs!$A:$B,2,0),AG253,1),"")</f>
        <v>C</v>
      </c>
      <c r="AG253" s="3">
        <v>193</v>
      </c>
      <c r="AH253" s="3" t="str">
        <f>IFERROR(MID(VLOOKUP($B253,Seqs!$A:$B,2,0),AI253,1),"")</f>
        <v>T</v>
      </c>
      <c r="AI253" s="3">
        <v>195</v>
      </c>
      <c r="AJ253" s="3" t="str">
        <f>IFERROR(MID(VLOOKUP($B253,Seqs!$A:$B,2,0),AK253,1),"")</f>
        <v>S</v>
      </c>
      <c r="AK253" s="3">
        <v>200</v>
      </c>
      <c r="AL253" s="3" t="str">
        <f>IFERROR(MID(VLOOKUP($B253,Seqs!$A:$B,2,0),AM253,1),"")</f>
        <v>Q</v>
      </c>
      <c r="AM253" s="3">
        <v>232</v>
      </c>
      <c r="AN253" s="3" t="str">
        <f>IFERROR(MID(VLOOKUP($B253,Seqs!$A:$B,2,0),AO253,1),"")</f>
        <v>R</v>
      </c>
      <c r="AO253" s="3">
        <v>261</v>
      </c>
      <c r="AP253" s="3" t="str">
        <f>IFERROR(MID(VLOOKUP($B253,Seqs!$A:$B,2,0),AQ253,1),"")</f>
        <v>S</v>
      </c>
      <c r="AQ253" s="3">
        <v>290</v>
      </c>
      <c r="AR253" s="3" t="str">
        <f>IFERROR(MID(VLOOKUP($B253,Seqs!$A:$B,2,0),AS253,1),"")</f>
        <v>N</v>
      </c>
      <c r="AS253" s="3">
        <v>295</v>
      </c>
      <c r="AT253" s="3" t="str">
        <f>IFERROR(MID(VLOOKUP($B253,Seqs!$A:$B,2,0),AU253,1),"")</f>
        <v>S</v>
      </c>
      <c r="AU253" s="3">
        <v>320</v>
      </c>
      <c r="AV253" s="3" t="str">
        <f>IFERROR(MID(VLOOKUP($B253,Seqs!$A:$B,2,0),AW253,1),"")</f>
        <v>N</v>
      </c>
      <c r="AW253" s="3">
        <v>321</v>
      </c>
      <c r="AX253" s="3" t="str">
        <f>IFERROR(MID(VLOOKUP($B253,Seqs!$A:$B,2,0),AY253,1),"")</f>
        <v>C</v>
      </c>
      <c r="AY253" s="3">
        <v>341</v>
      </c>
      <c r="AZ253" s="77" t="str">
        <f>VLOOKUP(B253,Classification!A:D,2,0)</f>
        <v>A</v>
      </c>
      <c r="BA253" s="94" t="str">
        <f>VLOOKUP(B253,Classification!A:D,4,0)</f>
        <v>ClassAorphans</v>
      </c>
      <c r="BB253" s="27" t="b">
        <f t="shared" ref="BB253" si="2124">AND(E253&lt;G253,OR(G253&lt;I253,I253="-"),OR(I253&lt;K253,I253="-"),OR(K253&lt;M253,K253="-"),M253&lt;O253,OR(O253&lt;Q253,Q253="-"),OR(Q253&lt;S253,Q253="-"),OR(S253&lt;U253,S253="-"),U253&lt;W253,OR(W253&lt;Y253,Y253="-"),OR(Y253&lt;AA253,Y253="-"),OR(AA253&lt;AC253,AA253="-"),AC253&lt;AE253,OR(AE253&lt;AG253,AG253="-"),OR(AG253&lt;AI253,AG253="-"),OR(AI253&lt;AK253,AI253="-"),AK253&lt;AM253,AM253&lt;AO253,AO253&lt;AQ253,AQ253&lt;AS253,AS253&lt;AU253,OR(AU253&lt;AW253,AW253="-"),OR(AW253&lt;AY253,AW253="-"))</f>
        <v>1</v>
      </c>
      <c r="BC253" s="23">
        <f t="shared" ref="BC253" si="2125">_xlfn.AGGREGATE(9,6,CH253:CS253)-_xlfn.AGGREGATE(9,6,BV253:CG253)+12</f>
        <v>245</v>
      </c>
      <c r="BD253" s="16" t="s">
        <v>1372</v>
      </c>
      <c r="BE253" s="3" t="s">
        <v>1370</v>
      </c>
      <c r="BF253" s="118">
        <v>2.9</v>
      </c>
      <c r="BG253" s="49" t="s">
        <v>1</v>
      </c>
      <c r="BH253" s="49" t="s">
        <v>1</v>
      </c>
      <c r="BI253" s="1"/>
      <c r="BJ253" s="70" t="s">
        <v>1283</v>
      </c>
      <c r="BK253" s="57" t="s">
        <v>1283</v>
      </c>
      <c r="BL253" s="57" t="s">
        <v>1283</v>
      </c>
      <c r="BM253" s="57" t="s">
        <v>1283</v>
      </c>
      <c r="BN253" s="57" t="s">
        <v>1283</v>
      </c>
      <c r="BO253" s="57" t="s">
        <v>1283</v>
      </c>
      <c r="BP253" s="57" t="s">
        <v>1283</v>
      </c>
      <c r="BQ253" s="57" t="s">
        <v>1283</v>
      </c>
      <c r="BR253" s="57" t="s">
        <v>1283</v>
      </c>
      <c r="BS253" s="57" t="s">
        <v>1283</v>
      </c>
      <c r="BT253" s="57" t="s">
        <v>1283</v>
      </c>
      <c r="BU253" s="57" t="s">
        <v>1283</v>
      </c>
      <c r="BV253" s="70">
        <f t="shared" ref="BV253" si="2126">E253</f>
        <v>40</v>
      </c>
      <c r="BW253" s="71" t="str">
        <f t="shared" ref="BW253" si="2127">I253</f>
        <v>-</v>
      </c>
      <c r="BX253" s="72">
        <f t="shared" ref="BX253" si="2128">M253</f>
        <v>73</v>
      </c>
      <c r="BY253" s="71" t="str">
        <f t="shared" ref="BY253" si="2129">Q253</f>
        <v>-</v>
      </c>
      <c r="BZ253" s="72">
        <f t="shared" ref="BZ253" si="2130">U253</f>
        <v>109</v>
      </c>
      <c r="CA253" s="71">
        <f t="shared" ref="CA253" si="2131">Y253</f>
        <v>146</v>
      </c>
      <c r="CB253" s="72">
        <f t="shared" ref="CB253" si="2132">AC253</f>
        <v>154</v>
      </c>
      <c r="CC253" s="71">
        <f t="shared" ref="CC253" si="2133">AG253</f>
        <v>193</v>
      </c>
      <c r="CD253" s="72">
        <f t="shared" ref="CD253" si="2134">AK253</f>
        <v>200</v>
      </c>
      <c r="CE253" s="71">
        <f t="shared" ref="CE253" si="2135">AO253</f>
        <v>261</v>
      </c>
      <c r="CF253" s="72">
        <f t="shared" ref="CF253" si="2136">AS253</f>
        <v>295</v>
      </c>
      <c r="CG253" s="71">
        <f t="shared" ref="CG253" si="2137">AW253</f>
        <v>321</v>
      </c>
      <c r="CH253" s="70">
        <f t="shared" ref="CH253" si="2138">G253</f>
        <v>68</v>
      </c>
      <c r="CI253" s="71" t="str">
        <f t="shared" ref="CI253" si="2139">K253</f>
        <v>-</v>
      </c>
      <c r="CJ253" s="72">
        <f t="shared" ref="CJ253" si="2140">O253</f>
        <v>103</v>
      </c>
      <c r="CK253" s="72" t="str">
        <f t="shared" ref="CK253" si="2141">S253</f>
        <v>-</v>
      </c>
      <c r="CL253" s="72">
        <f t="shared" ref="CL253" si="2142">W253</f>
        <v>145</v>
      </c>
      <c r="CM253" s="72">
        <f t="shared" ref="CM253" si="2143">AA253</f>
        <v>153</v>
      </c>
      <c r="CN253" s="72">
        <f t="shared" ref="CN253" si="2144">AE253</f>
        <v>178</v>
      </c>
      <c r="CO253" s="72">
        <f t="shared" ref="CO253" si="2145">AI253</f>
        <v>195</v>
      </c>
      <c r="CP253" s="72">
        <f t="shared" ref="CP253" si="2146">AM253</f>
        <v>232</v>
      </c>
      <c r="CQ253" s="72">
        <f t="shared" ref="CQ253" si="2147">AQ253</f>
        <v>290</v>
      </c>
      <c r="CR253" s="72">
        <f t="shared" ref="CR253" si="2148">AU253</f>
        <v>320</v>
      </c>
      <c r="CS253" s="72">
        <f t="shared" ref="CS253" si="2149">AY253</f>
        <v>341</v>
      </c>
      <c r="CT253" s="23" t="e">
        <f t="shared" ref="CT253" si="2150">M253-K253</f>
        <v>#VALUE!</v>
      </c>
    </row>
    <row r="254" spans="1:1029" x14ac:dyDescent="0.2">
      <c r="A254" s="3" t="str">
        <f t="shared" ref="A254" si="2151">CONCATENATE(B254,"_",C254)</f>
        <v>gpr52_human_6LI2</v>
      </c>
      <c r="B254" s="3" t="s">
        <v>259</v>
      </c>
      <c r="C254" s="3" t="s">
        <v>1666</v>
      </c>
      <c r="D254" s="3" t="str">
        <f>IFERROR(MID(VLOOKUP($B254,Seqs!$A:$B,2,0),E254,1),"")</f>
        <v>C</v>
      </c>
      <c r="E254" s="3">
        <v>40</v>
      </c>
      <c r="F254" s="3" t="str">
        <f>IFERROR(MID(VLOOKUP($B254,Seqs!$A:$B,2,0),G254,1),"")</f>
        <v>F</v>
      </c>
      <c r="G254" s="3">
        <v>65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T</v>
      </c>
      <c r="M254" s="3">
        <v>75</v>
      </c>
      <c r="N254" s="3" t="str">
        <f>IFERROR(MID(VLOOKUP($B254,Seqs!$A:$B,2,0),O254,1),"")</f>
        <v>H</v>
      </c>
      <c r="O254" s="3">
        <v>103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H</v>
      </c>
      <c r="U254" s="3">
        <v>109</v>
      </c>
      <c r="V254" s="3" t="str">
        <f>IFERROR(MID(VLOOKUP($B254,Seqs!$A:$B,2,0),W254,1),"")</f>
        <v>K</v>
      </c>
      <c r="W254" s="3">
        <v>145</v>
      </c>
      <c r="X254" s="3" t="str">
        <f>IFERROR(MID(VLOOKUP($B254,Seqs!$A:$B,2,0),Y254,1),"")</f>
        <v>P</v>
      </c>
      <c r="Y254" s="3">
        <v>146</v>
      </c>
      <c r="Z254" s="3" t="str">
        <f>IFERROR(MID(VLOOKUP($B254,Seqs!$A:$B,2,0),AA254,1),"")</f>
        <v>V</v>
      </c>
      <c r="AA254" s="3">
        <v>153</v>
      </c>
      <c r="AB254" s="3" t="str">
        <f>IFERROR(MID(VLOOKUP($B254,Seqs!$A:$B,2,0),AC254,1),"")</f>
        <v>T</v>
      </c>
      <c r="AC254" s="3">
        <v>154</v>
      </c>
      <c r="AD254" s="3" t="str">
        <f>IFERROR(MID(VLOOKUP($B254,Seqs!$A:$B,2,0),AE254,1),"")</f>
        <v>F</v>
      </c>
      <c r="AE254" s="3">
        <v>178</v>
      </c>
      <c r="AF254" s="3" t="str">
        <f>IFERROR(MID(VLOOKUP($B254,Seqs!$A:$B,2,0),AG254,1),"")</f>
        <v>C</v>
      </c>
      <c r="AG254" s="3">
        <v>193</v>
      </c>
      <c r="AH254" s="3" t="str">
        <f>IFERROR(MID(VLOOKUP($B254,Seqs!$A:$B,2,0),AI254,1),"")</f>
        <v>T</v>
      </c>
      <c r="AI254" s="3">
        <v>195</v>
      </c>
      <c r="AJ254" s="3" t="str">
        <f>IFERROR(MID(VLOOKUP($B254,Seqs!$A:$B,2,0),AK254,1),"")</f>
        <v>S</v>
      </c>
      <c r="AK254" s="3">
        <v>200</v>
      </c>
      <c r="AL254" s="3" t="str">
        <f>IFERROR(MID(VLOOKUP($B254,Seqs!$A:$B,2,0),AM254,1),"")</f>
        <v>H</v>
      </c>
      <c r="AM254" s="3">
        <v>233</v>
      </c>
      <c r="AN254" s="3" t="str">
        <f>IFERROR(MID(VLOOKUP($B254,Seqs!$A:$B,2,0),AO254,1),"")</f>
        <v>Y</v>
      </c>
      <c r="AO254" s="3">
        <v>263</v>
      </c>
      <c r="AP254" s="3" t="str">
        <f>IFERROR(MID(VLOOKUP($B254,Seqs!$A:$B,2,0),AQ254,1),"")</f>
        <v>R</v>
      </c>
      <c r="AQ254" s="3">
        <v>291</v>
      </c>
      <c r="AR254" s="3" t="str">
        <f>IFERROR(MID(VLOOKUP($B254,Seqs!$A:$B,2,0),AS254,1),"")</f>
        <v>N</v>
      </c>
      <c r="AS254" s="3">
        <v>295</v>
      </c>
      <c r="AT254" s="3" t="str">
        <f>IFERROR(MID(VLOOKUP($B254,Seqs!$A:$B,2,0),AU254,1),"")</f>
        <v>S</v>
      </c>
      <c r="AU254" s="3">
        <v>320</v>
      </c>
      <c r="AV254" s="3" t="str">
        <f>IFERROR(MID(VLOOKUP($B254,Seqs!$A:$B,2,0),AW254,1),"")</f>
        <v>N</v>
      </c>
      <c r="AW254" s="3">
        <v>321</v>
      </c>
      <c r="AX254" s="3" t="str">
        <f>IFERROR(MID(VLOOKUP($B254,Seqs!$A:$B,2,0),AY254,1),"")</f>
        <v>M</v>
      </c>
      <c r="AY254" s="3">
        <v>340</v>
      </c>
      <c r="AZ254" s="77" t="str">
        <f>VLOOKUP(B254,Classification!A:D,2,0)</f>
        <v>A</v>
      </c>
      <c r="BA254" s="94" t="str">
        <f>VLOOKUP(B254,Classification!A:D,4,0)</f>
        <v>ClassAorphans</v>
      </c>
      <c r="BB254" s="27" t="b">
        <f t="shared" ref="BB254" si="2152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 t="shared" ref="BC254" si="2153">_xlfn.AGGREGATE(9,6,CH254:CS254)-_xlfn.AGGREGATE(9,6,BV254:CG254)+12</f>
        <v>239</v>
      </c>
      <c r="BD254" s="16" t="s">
        <v>23</v>
      </c>
      <c r="BE254" s="3" t="s">
        <v>1370</v>
      </c>
      <c r="BF254" s="118">
        <v>2.8</v>
      </c>
      <c r="BG254" s="49" t="s">
        <v>1</v>
      </c>
      <c r="BH254" s="49" t="s">
        <v>1</v>
      </c>
      <c r="BI254" s="1"/>
      <c r="BJ254" s="70" t="s">
        <v>1283</v>
      </c>
      <c r="BK254" s="57" t="s">
        <v>1283</v>
      </c>
      <c r="BL254" s="57" t="s">
        <v>1283</v>
      </c>
      <c r="BM254" s="57" t="s">
        <v>1283</v>
      </c>
      <c r="BN254" s="57" t="s">
        <v>1283</v>
      </c>
      <c r="BO254" s="57" t="s">
        <v>1283</v>
      </c>
      <c r="BP254" s="57" t="s">
        <v>1283</v>
      </c>
      <c r="BQ254" s="57" t="s">
        <v>1283</v>
      </c>
      <c r="BR254" s="57" t="s">
        <v>1283</v>
      </c>
      <c r="BS254" s="57" t="s">
        <v>1283</v>
      </c>
      <c r="BT254" s="57" t="s">
        <v>1283</v>
      </c>
      <c r="BU254" s="57" t="s">
        <v>1283</v>
      </c>
      <c r="BV254" s="70">
        <f t="shared" ref="BV254" si="2154">E254</f>
        <v>40</v>
      </c>
      <c r="BW254" s="71" t="str">
        <f t="shared" ref="BW254" si="2155">I254</f>
        <v>-</v>
      </c>
      <c r="BX254" s="72">
        <f t="shared" ref="BX254" si="2156">M254</f>
        <v>75</v>
      </c>
      <c r="BY254" s="71" t="str">
        <f t="shared" ref="BY254" si="2157">Q254</f>
        <v>-</v>
      </c>
      <c r="BZ254" s="72">
        <f t="shared" ref="BZ254" si="2158">U254</f>
        <v>109</v>
      </c>
      <c r="CA254" s="71">
        <f t="shared" ref="CA254" si="2159">Y254</f>
        <v>146</v>
      </c>
      <c r="CB254" s="72">
        <f t="shared" ref="CB254" si="2160">AC254</f>
        <v>154</v>
      </c>
      <c r="CC254" s="71">
        <f t="shared" ref="CC254" si="2161">AG254</f>
        <v>193</v>
      </c>
      <c r="CD254" s="72">
        <f t="shared" ref="CD254" si="2162">AK254</f>
        <v>200</v>
      </c>
      <c r="CE254" s="71">
        <f t="shared" ref="CE254" si="2163">AO254</f>
        <v>263</v>
      </c>
      <c r="CF254" s="72">
        <f t="shared" ref="CF254" si="2164">AS254</f>
        <v>295</v>
      </c>
      <c r="CG254" s="71">
        <f t="shared" ref="CG254" si="2165">AW254</f>
        <v>321</v>
      </c>
      <c r="CH254" s="70">
        <f t="shared" ref="CH254" si="2166">G254</f>
        <v>65</v>
      </c>
      <c r="CI254" s="71" t="str">
        <f t="shared" ref="CI254" si="2167">K254</f>
        <v>-</v>
      </c>
      <c r="CJ254" s="72">
        <f t="shared" ref="CJ254" si="2168">O254</f>
        <v>103</v>
      </c>
      <c r="CK254" s="72" t="str">
        <f t="shared" ref="CK254" si="2169">S254</f>
        <v>-</v>
      </c>
      <c r="CL254" s="72">
        <f t="shared" ref="CL254" si="2170">W254</f>
        <v>145</v>
      </c>
      <c r="CM254" s="72">
        <f t="shared" ref="CM254" si="2171">AA254</f>
        <v>153</v>
      </c>
      <c r="CN254" s="72">
        <f t="shared" ref="CN254" si="2172">AE254</f>
        <v>178</v>
      </c>
      <c r="CO254" s="72">
        <f t="shared" ref="CO254" si="2173">AI254</f>
        <v>195</v>
      </c>
      <c r="CP254" s="72">
        <f t="shared" ref="CP254" si="2174">AM254</f>
        <v>233</v>
      </c>
      <c r="CQ254" s="72">
        <f t="shared" ref="CQ254" si="2175">AQ254</f>
        <v>291</v>
      </c>
      <c r="CR254" s="72">
        <f t="shared" ref="CR254" si="2176">AU254</f>
        <v>320</v>
      </c>
      <c r="CS254" s="72">
        <f t="shared" ref="CS254" si="2177">AY254</f>
        <v>340</v>
      </c>
      <c r="CT254" s="23" t="e">
        <f t="shared" ref="CT254" si="2178">M254-K254</f>
        <v>#VALUE!</v>
      </c>
    </row>
    <row r="255" spans="1:1029" x14ac:dyDescent="0.2">
      <c r="A255" s="3" t="str">
        <f t="shared" ref="A255" si="2179">CONCATENATE(B255,"_",C255)</f>
        <v>gpr52_human_6LI3</v>
      </c>
      <c r="B255" s="3" t="s">
        <v>259</v>
      </c>
      <c r="C255" s="3" t="s">
        <v>1667</v>
      </c>
      <c r="D255" s="3" t="str">
        <f>IFERROR(MID(VLOOKUP($B255,Seqs!$A:$B,2,0),E255,1),"")</f>
        <v>V</v>
      </c>
      <c r="E255" s="3">
        <v>37</v>
      </c>
      <c r="F255" s="3" t="str">
        <f>IFERROR(MID(VLOOKUP($B255,Seqs!$A:$B,2,0),G255,1),"")</f>
        <v>A</v>
      </c>
      <c r="G255" s="3">
        <v>68</v>
      </c>
      <c r="H255" s="3" t="str">
        <f>IFERROR(MID(VLOOKUP($B255,Seqs!$A:$B,2,0),I255,1),"")</f>
        <v>P</v>
      </c>
      <c r="I255" s="23">
        <v>69</v>
      </c>
      <c r="J255" s="3" t="str">
        <f>IFERROR(MID(VLOOKUP($B255,Seqs!$A:$B,2,0),K255,1),"")</f>
        <v>H</v>
      </c>
      <c r="K255" s="23">
        <v>73</v>
      </c>
      <c r="L255" s="3" t="str">
        <f>IFERROR(MID(VLOOKUP($B255,Seqs!$A:$B,2,0),M255,1),"")</f>
        <v>Y</v>
      </c>
      <c r="M255" s="3">
        <v>74</v>
      </c>
      <c r="N255" s="3" t="str">
        <f>IFERROR(MID(VLOOKUP($B255,Seqs!$A:$B,2,0),O255,1),"")</f>
        <v>Y</v>
      </c>
      <c r="O255" s="3">
        <v>104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V</v>
      </c>
      <c r="U255" s="3">
        <v>108</v>
      </c>
      <c r="V255" s="3" t="str">
        <f>IFERROR(MID(VLOOKUP($B255,Seqs!$A:$B,2,0),W255,1),"")</f>
        <v>K</v>
      </c>
      <c r="W255" s="3">
        <v>145</v>
      </c>
      <c r="X255" s="3" t="str">
        <f>IFERROR(MID(VLOOKUP($B255,Seqs!$A:$B,2,0),Y255,1),"")</f>
        <v>P</v>
      </c>
      <c r="Y255" s="3">
        <v>146</v>
      </c>
      <c r="Z255" s="3" t="str">
        <f>IFERROR(MID(VLOOKUP($B255,Seqs!$A:$B,2,0),AA255,1),"")</f>
        <v>V</v>
      </c>
      <c r="AA255" s="3">
        <v>153</v>
      </c>
      <c r="AB255" s="3" t="str">
        <f>IFERROR(MID(VLOOKUP($B255,Seqs!$A:$B,2,0),AC255,1),"")</f>
        <v>T</v>
      </c>
      <c r="AC255" s="3">
        <v>154</v>
      </c>
      <c r="AD255" s="3" t="str">
        <f>IFERROR(MID(VLOOKUP($B255,Seqs!$A:$B,2,0),AE255,1),"")</f>
        <v>F</v>
      </c>
      <c r="AE255" s="3">
        <v>178</v>
      </c>
      <c r="AF255" s="3" t="str">
        <f>IFERROR(MID(VLOOKUP($B255,Seqs!$A:$B,2,0),AG255,1),"")</f>
        <v>C</v>
      </c>
      <c r="AG255" s="3">
        <v>193</v>
      </c>
      <c r="AH255" s="3" t="str">
        <f>IFERROR(MID(VLOOKUP($B255,Seqs!$A:$B,2,0),AI255,1),"")</f>
        <v>T</v>
      </c>
      <c r="AI255" s="3">
        <v>195</v>
      </c>
      <c r="AJ255" s="3" t="str">
        <f>IFERROR(MID(VLOOKUP($B255,Seqs!$A:$B,2,0),AK255,1),"")</f>
        <v>S</v>
      </c>
      <c r="AK255" s="3">
        <v>200</v>
      </c>
      <c r="AL255" s="3" t="str">
        <f>IFERROR(MID(VLOOKUP($B255,Seqs!$A:$B,2,0),AM255,1),"")</f>
        <v>F</v>
      </c>
      <c r="AM255" s="3">
        <v>244</v>
      </c>
      <c r="AN255" s="3" t="str">
        <f>IFERROR(MID(VLOOKUP($B255,Seqs!$A:$B,2,0),AO255,1),"")</f>
        <v>M</v>
      </c>
      <c r="AO255" s="3">
        <v>265</v>
      </c>
      <c r="AP255" s="3" t="str">
        <f>IFERROR(MID(VLOOKUP($B255,Seqs!$A:$B,2,0),AQ255,1),"")</f>
        <v>S</v>
      </c>
      <c r="AQ255" s="3">
        <v>289</v>
      </c>
      <c r="AR255" s="3" t="str">
        <f>IFERROR(MID(VLOOKUP($B255,Seqs!$A:$B,2,0),AS255,1),"")</f>
        <v>N</v>
      </c>
      <c r="AS255" s="3">
        <v>295</v>
      </c>
      <c r="AT255" s="3" t="str">
        <f>IFERROR(MID(VLOOKUP($B255,Seqs!$A:$B,2,0),AU255,1),"")</f>
        <v>S</v>
      </c>
      <c r="AU255" s="3">
        <v>320</v>
      </c>
      <c r="AV255" s="3" t="str">
        <f>IFERROR(MID(VLOOKUP($B255,Seqs!$A:$B,2,0),AW255,1),"")</f>
        <v>V</v>
      </c>
      <c r="AW255" s="3">
        <v>323</v>
      </c>
      <c r="AX255" s="3" t="str">
        <f>IFERROR(MID(VLOOKUP($B255,Seqs!$A:$B,2,0),AY255,1),"")</f>
        <v>T</v>
      </c>
      <c r="AY255" s="3">
        <v>337</v>
      </c>
      <c r="AZ255" s="77" t="str">
        <f>VLOOKUP(B255,Classification!A:D,2,0)</f>
        <v>A</v>
      </c>
      <c r="BA255" s="94" t="str">
        <f>VLOOKUP(B255,Classification!A:D,4,0)</f>
        <v>ClassAorphans</v>
      </c>
      <c r="BB255" s="27" t="b">
        <f t="shared" ref="BB255" si="2180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ref="BC255" si="2181">_xlfn.AGGREGATE(9,6,CH255:CS255)-_xlfn.AGGREGATE(9,6,BV255:CG255)+12</f>
        <v>254</v>
      </c>
      <c r="BD255" s="16" t="s">
        <v>1425</v>
      </c>
      <c r="BE255" s="3" t="s">
        <v>1424</v>
      </c>
      <c r="BF255" s="118">
        <v>3.32</v>
      </c>
      <c r="BG255" s="49" t="s">
        <v>1418</v>
      </c>
      <c r="BH255" s="49" t="s">
        <v>1418</v>
      </c>
      <c r="BI255" s="1"/>
      <c r="BJ255" s="70" t="s">
        <v>1283</v>
      </c>
      <c r="BK255" s="57" t="s">
        <v>1283</v>
      </c>
      <c r="BL255" s="57" t="s">
        <v>1283</v>
      </c>
      <c r="BM255" s="57" t="s">
        <v>1283</v>
      </c>
      <c r="BN255" s="57" t="s">
        <v>1283</v>
      </c>
      <c r="BO255" s="57" t="s">
        <v>1283</v>
      </c>
      <c r="BP255" s="57" t="s">
        <v>1283</v>
      </c>
      <c r="BQ255" s="57" t="s">
        <v>1283</v>
      </c>
      <c r="BR255" s="57" t="s">
        <v>1283</v>
      </c>
      <c r="BS255" s="57" t="s">
        <v>1283</v>
      </c>
      <c r="BT255" s="57" t="s">
        <v>1283</v>
      </c>
      <c r="BU255" s="57" t="s">
        <v>1283</v>
      </c>
      <c r="BV255" s="70">
        <f t="shared" ref="BV255" si="2182">E255</f>
        <v>37</v>
      </c>
      <c r="BW255" s="71">
        <f t="shared" ref="BW255" si="2183">I255</f>
        <v>69</v>
      </c>
      <c r="BX255" s="72">
        <f t="shared" ref="BX255" si="2184">M255</f>
        <v>74</v>
      </c>
      <c r="BY255" s="71" t="str">
        <f t="shared" ref="BY255" si="2185">Q255</f>
        <v>-</v>
      </c>
      <c r="BZ255" s="72">
        <f t="shared" ref="BZ255" si="2186">U255</f>
        <v>108</v>
      </c>
      <c r="CA255" s="71">
        <f t="shared" ref="CA255" si="2187">Y255</f>
        <v>146</v>
      </c>
      <c r="CB255" s="72">
        <f t="shared" ref="CB255" si="2188">AC255</f>
        <v>154</v>
      </c>
      <c r="CC255" s="71">
        <f t="shared" ref="CC255" si="2189">AG255</f>
        <v>193</v>
      </c>
      <c r="CD255" s="72">
        <f t="shared" ref="CD255" si="2190">AK255</f>
        <v>200</v>
      </c>
      <c r="CE255" s="71">
        <f t="shared" ref="CE255" si="2191">AO255</f>
        <v>265</v>
      </c>
      <c r="CF255" s="72">
        <f t="shared" ref="CF255" si="2192">AS255</f>
        <v>295</v>
      </c>
      <c r="CG255" s="71">
        <f t="shared" ref="CG255" si="2193">AW255</f>
        <v>323</v>
      </c>
      <c r="CH255" s="70">
        <f t="shared" ref="CH255" si="2194">G255</f>
        <v>68</v>
      </c>
      <c r="CI255" s="71">
        <f t="shared" ref="CI255" si="2195">K255</f>
        <v>73</v>
      </c>
      <c r="CJ255" s="72">
        <f t="shared" ref="CJ255" si="2196">O255</f>
        <v>104</v>
      </c>
      <c r="CK255" s="72" t="str">
        <f t="shared" ref="CK255" si="2197">S255</f>
        <v>-</v>
      </c>
      <c r="CL255" s="72">
        <f t="shared" ref="CL255" si="2198">W255</f>
        <v>145</v>
      </c>
      <c r="CM255" s="72">
        <f t="shared" ref="CM255" si="2199">AA255</f>
        <v>153</v>
      </c>
      <c r="CN255" s="72">
        <f t="shared" ref="CN255" si="2200">AE255</f>
        <v>178</v>
      </c>
      <c r="CO255" s="72">
        <f t="shared" ref="CO255" si="2201">AI255</f>
        <v>195</v>
      </c>
      <c r="CP255" s="72">
        <f t="shared" ref="CP255" si="2202">AM255</f>
        <v>244</v>
      </c>
      <c r="CQ255" s="72">
        <f t="shared" ref="CQ255" si="2203">AQ255</f>
        <v>289</v>
      </c>
      <c r="CR255" s="72">
        <f t="shared" ref="CR255" si="2204">AU255</f>
        <v>320</v>
      </c>
      <c r="CS255" s="72">
        <f t="shared" ref="CS255" si="2205">AY255</f>
        <v>337</v>
      </c>
      <c r="CT255" s="23">
        <f t="shared" ref="CT255" si="2206">M255-K255</f>
        <v>1</v>
      </c>
    </row>
    <row r="256" spans="1:1029" x14ac:dyDescent="0.2">
      <c r="A256" s="3" t="str">
        <f t="shared" si="1231"/>
        <v>hrh1_human__wt</v>
      </c>
      <c r="B256" s="3" t="s">
        <v>277</v>
      </c>
      <c r="C256" s="3" t="s">
        <v>100</v>
      </c>
      <c r="D256" s="3" t="str">
        <f>IFERROR(MID(VLOOKUP($B256,Seqs!$A:$B,2,0),E256,1),"")</f>
        <v>P</v>
      </c>
      <c r="E256" s="3">
        <v>29</v>
      </c>
      <c r="F256" s="3" t="str">
        <f>IFERROR(MID(VLOOKUP($B256,Seqs!$A:$B,2,0),G256,1),"")</f>
        <v>E</v>
      </c>
      <c r="G256" s="3">
        <v>55</v>
      </c>
      <c r="H256" s="3" t="str">
        <f>IFERROR(MID(VLOOKUP($B256,Seqs!$A:$B,2,0),I256,1),"")</f>
        <v>R</v>
      </c>
      <c r="I256" s="23">
        <v>56</v>
      </c>
      <c r="J256" s="3" t="str">
        <f>IFERROR(MID(VLOOKUP($B256,Seqs!$A:$B,2,0),K256,1),"")</f>
        <v>H</v>
      </c>
      <c r="K256" s="23">
        <v>59</v>
      </c>
      <c r="L256" s="3" t="str">
        <f>IFERROR(MID(VLOOKUP($B256,Seqs!$A:$B,2,0),M256,1),"")</f>
        <v>T</v>
      </c>
      <c r="M256" s="3">
        <v>60</v>
      </c>
      <c r="N256" s="3" t="str">
        <f>IFERROR(MID(VLOOKUP($B256,Seqs!$A:$B,2,0),O256,1),"")</f>
        <v>M</v>
      </c>
      <c r="O256" s="3">
        <v>90</v>
      </c>
      <c r="P256" s="3" t="str">
        <f>IFERROR(MID(VLOOKUP($B256,Seqs!$A:$B,2,0),Q256,1),"")</f>
        <v>K</v>
      </c>
      <c r="Q256" s="3">
        <v>92</v>
      </c>
      <c r="R256" s="3" t="str">
        <f>IFERROR(MID(VLOOKUP($B256,Seqs!$A:$B,2,0),S256,1),"")</f>
        <v>L</v>
      </c>
      <c r="S256" s="3">
        <v>95</v>
      </c>
      <c r="T256" s="3" t="str">
        <f>IFERROR(MID(VLOOKUP($B256,Seqs!$A:$B,2,0),U256,1),"")</f>
        <v>G</v>
      </c>
      <c r="U256" s="3">
        <v>96</v>
      </c>
      <c r="V256" s="3" t="str">
        <f>IFERROR(MID(VLOOKUP($B256,Seqs!$A:$B,2,0),W256,1),"")</f>
        <v>Q</v>
      </c>
      <c r="W256" s="3">
        <v>131</v>
      </c>
      <c r="X256" s="3" t="str">
        <f>IFERROR(MID(VLOOKUP($B256,Seqs!$A:$B,2,0),Y256,1),"")</f>
        <v>P</v>
      </c>
      <c r="Y256" s="3">
        <v>132</v>
      </c>
      <c r="Z256" s="3" t="str">
        <f>IFERROR(MID(VLOOKUP($B256,Seqs!$A:$B,2,0),AA256,1),"")</f>
        <v>R</v>
      </c>
      <c r="AA256" s="3">
        <v>139</v>
      </c>
      <c r="AB256" s="3" t="str">
        <f>IFERROR(MID(VLOOKUP($B256,Seqs!$A:$B,2,0),AC256,1),"")</f>
        <v>T</v>
      </c>
      <c r="AC256" s="3">
        <v>140</v>
      </c>
      <c r="AD256" s="3" t="str">
        <f>IFERROR(MID(VLOOKUP($B256,Seqs!$A:$B,2,0),AE256,1),"")</f>
        <v>G</v>
      </c>
      <c r="AE256" s="3">
        <v>164</v>
      </c>
      <c r="AF256" s="3" t="str">
        <f>IFERROR(MID(VLOOKUP($B256,Seqs!$A:$B,2,0),AG256,1),"")</f>
        <v>C</v>
      </c>
      <c r="AG256" s="3">
        <v>180</v>
      </c>
      <c r="AH256" s="3" t="str">
        <f>IFERROR(MID(VLOOKUP($B256,Seqs!$A:$B,2,0),AI256,1),"")</f>
        <v>T</v>
      </c>
      <c r="AI256" s="3">
        <v>182</v>
      </c>
      <c r="AJ256" s="3" t="str">
        <f>IFERROR(MID(VLOOKUP($B256,Seqs!$A:$B,2,0),AK256,1),"")</f>
        <v>V</v>
      </c>
      <c r="AK256" s="3">
        <v>187</v>
      </c>
      <c r="AL256" s="3" t="str">
        <f>IFERROR(MID(VLOOKUP($B256,Seqs!$A:$B,2,0),AM256,1),"")</f>
        <v>N</v>
      </c>
      <c r="AM256" s="3">
        <v>228</v>
      </c>
      <c r="AN256" s="3" t="str">
        <f>IFERROR(MID(VLOOKUP($B256,Seqs!$A:$B,2,0),AO256,1),"")</f>
        <v>G</v>
      </c>
      <c r="AO256" s="3">
        <v>404</v>
      </c>
      <c r="AP256" s="3" t="str">
        <f>IFERROR(MID(VLOOKUP($B256,Seqs!$A:$B,2,0),AQ256,1),"")</f>
        <v>C</v>
      </c>
      <c r="AQ256" s="3">
        <v>441</v>
      </c>
      <c r="AR256" s="3" t="str">
        <f>IFERROR(MID(VLOOKUP($B256,Seqs!$A:$B,2,0),AS256,1),"")</f>
        <v>N</v>
      </c>
      <c r="AS256" s="3">
        <v>446</v>
      </c>
      <c r="AT256" s="3" t="str">
        <f>IFERROR(MID(VLOOKUP($B256,Seqs!$A:$B,2,0),AU256,1),"")</f>
        <v>C</v>
      </c>
      <c r="AU256" s="3">
        <v>471</v>
      </c>
      <c r="AV256" s="3" t="str">
        <f>IFERROR(MID(VLOOKUP($B256,Seqs!$A:$B,2,0),AW256,1),"")</f>
        <v>N</v>
      </c>
      <c r="AW256" s="3">
        <v>472</v>
      </c>
      <c r="AX256" s="3" t="str">
        <f>IFERROR(MID(VLOOKUP($B256,Seqs!$A:$B,2,0),AY256,1),"")</f>
        <v>H</v>
      </c>
      <c r="AY256" s="3">
        <v>484</v>
      </c>
      <c r="AZ256" s="77" t="str">
        <f>VLOOKUP(B256,Classification!A:D,2,0)</f>
        <v>A</v>
      </c>
      <c r="BA256" s="94" t="str">
        <f>VLOOKUP(B256,Classification!A:D,4,0)</f>
        <v>Histamine</v>
      </c>
      <c r="BB256" s="27" t="b">
        <f t="shared" si="1232"/>
        <v>1</v>
      </c>
      <c r="BC256" s="23">
        <f t="shared" si="1957"/>
        <v>257</v>
      </c>
      <c r="BD256" s="34" t="s">
        <v>23</v>
      </c>
      <c r="BE256" s="3" t="s">
        <v>23</v>
      </c>
      <c r="BF256" s="118" t="s">
        <v>23</v>
      </c>
      <c r="BG256" s="49" t="s">
        <v>1368</v>
      </c>
      <c r="BH256" s="49" t="s">
        <v>1373</v>
      </c>
      <c r="BI256" s="1"/>
      <c r="BJ256" s="70" t="s">
        <v>1283</v>
      </c>
      <c r="BK256" s="57" t="s">
        <v>1283</v>
      </c>
      <c r="BL256" s="57" t="s">
        <v>1283</v>
      </c>
      <c r="BM256" s="57" t="s">
        <v>1283</v>
      </c>
      <c r="BN256" s="57" t="s">
        <v>1283</v>
      </c>
      <c r="BO256" s="57" t="s">
        <v>1283</v>
      </c>
      <c r="BP256" s="57" t="s">
        <v>1283</v>
      </c>
      <c r="BQ256" s="57" t="s">
        <v>1283</v>
      </c>
      <c r="BR256" s="57" t="s">
        <v>1283</v>
      </c>
      <c r="BS256" s="57" t="s">
        <v>1283</v>
      </c>
      <c r="BT256" s="57" t="s">
        <v>1283</v>
      </c>
      <c r="BU256" s="57" t="s">
        <v>1283</v>
      </c>
      <c r="BV256" s="70">
        <f t="shared" si="1958"/>
        <v>29</v>
      </c>
      <c r="BW256" s="71">
        <f t="shared" si="1959"/>
        <v>56</v>
      </c>
      <c r="BX256" s="72">
        <f t="shared" si="1960"/>
        <v>60</v>
      </c>
      <c r="BY256" s="71">
        <f t="shared" si="1961"/>
        <v>92</v>
      </c>
      <c r="BZ256" s="72">
        <f t="shared" si="1962"/>
        <v>96</v>
      </c>
      <c r="CA256" s="71">
        <f t="shared" si="1963"/>
        <v>132</v>
      </c>
      <c r="CB256" s="72">
        <f t="shared" si="1964"/>
        <v>140</v>
      </c>
      <c r="CC256" s="71">
        <f t="shared" si="1965"/>
        <v>180</v>
      </c>
      <c r="CD256" s="72">
        <f t="shared" si="1966"/>
        <v>187</v>
      </c>
      <c r="CE256" s="71">
        <f t="shared" si="1967"/>
        <v>404</v>
      </c>
      <c r="CF256" s="72">
        <f t="shared" si="1968"/>
        <v>446</v>
      </c>
      <c r="CG256" s="71">
        <f t="shared" si="1969"/>
        <v>472</v>
      </c>
      <c r="CH256" s="70">
        <f t="shared" si="1970"/>
        <v>55</v>
      </c>
      <c r="CI256" s="71">
        <f t="shared" si="1971"/>
        <v>59</v>
      </c>
      <c r="CJ256" s="72">
        <f t="shared" si="1972"/>
        <v>90</v>
      </c>
      <c r="CK256" s="72">
        <f t="shared" si="1973"/>
        <v>95</v>
      </c>
      <c r="CL256" s="72">
        <f t="shared" si="1974"/>
        <v>131</v>
      </c>
      <c r="CM256" s="72">
        <f t="shared" si="1975"/>
        <v>139</v>
      </c>
      <c r="CN256" s="72">
        <f t="shared" si="1976"/>
        <v>164</v>
      </c>
      <c r="CO256" s="72">
        <f t="shared" si="1977"/>
        <v>182</v>
      </c>
      <c r="CP256" s="72">
        <f t="shared" si="1978"/>
        <v>228</v>
      </c>
      <c r="CQ256" s="72">
        <f t="shared" si="1979"/>
        <v>441</v>
      </c>
      <c r="CR256" s="72">
        <f t="shared" si="1980"/>
        <v>471</v>
      </c>
      <c r="CS256" s="72">
        <f t="shared" si="1981"/>
        <v>484</v>
      </c>
      <c r="CT256" s="23">
        <f t="shared" si="1982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1231"/>
        <v>hrh1_human_3RZE</v>
      </c>
      <c r="B257" s="3" t="s">
        <v>277</v>
      </c>
      <c r="C257" s="3" t="s">
        <v>73</v>
      </c>
      <c r="D257" s="3" t="str">
        <f>IFERROR(MID(VLOOKUP($B257,Seqs!$A:$B,2,0),E257,1),"")</f>
        <v>V</v>
      </c>
      <c r="E257" s="3">
        <v>33</v>
      </c>
      <c r="F257" s="3" t="str">
        <f>IFERROR(MID(VLOOKUP($B257,Seqs!$A:$B,2,0),G257,1),"")</f>
        <v>E</v>
      </c>
      <c r="G257" s="3">
        <v>55</v>
      </c>
      <c r="H257" s="3" t="str">
        <f>IFERROR(MID(VLOOKUP($B257,Seqs!$A:$B,2,0),I257,1),"")</f>
        <v>R</v>
      </c>
      <c r="I257" s="23">
        <v>56</v>
      </c>
      <c r="J257" s="3" t="str">
        <f>IFERROR(MID(VLOOKUP($B257,Seqs!$A:$B,2,0),K257,1),"")</f>
        <v>H</v>
      </c>
      <c r="K257" s="23">
        <v>59</v>
      </c>
      <c r="L257" s="3" t="str">
        <f>IFERROR(MID(VLOOKUP($B257,Seqs!$A:$B,2,0),M257,1),"")</f>
        <v>T</v>
      </c>
      <c r="M257" s="3">
        <v>60</v>
      </c>
      <c r="N257" s="3" t="str">
        <f>IFERROR(MID(VLOOKUP($B257,Seqs!$A:$B,2,0),O257,1),"")</f>
        <v>M</v>
      </c>
      <c r="O257" s="3">
        <v>90</v>
      </c>
      <c r="P257" s="3" t="str">
        <f>IFERROR(MID(VLOOKUP($B257,Seqs!$A:$B,2,0),Q257,1),"")</f>
        <v>K</v>
      </c>
      <c r="Q257" s="3">
        <v>92</v>
      </c>
      <c r="R257" s="3" t="str">
        <f>IFERROR(MID(VLOOKUP($B257,Seqs!$A:$B,2,0),S257,1),"")</f>
        <v>L</v>
      </c>
      <c r="S257" s="3">
        <v>95</v>
      </c>
      <c r="T257" s="3" t="str">
        <f>IFERROR(MID(VLOOKUP($B257,Seqs!$A:$B,2,0),U257,1),"")</f>
        <v>G</v>
      </c>
      <c r="U257" s="3">
        <v>96</v>
      </c>
      <c r="V257" s="3" t="str">
        <f>IFERROR(MID(VLOOKUP($B257,Seqs!$A:$B,2,0),W257,1),"")</f>
        <v>Q</v>
      </c>
      <c r="W257" s="3">
        <v>131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T</v>
      </c>
      <c r="AC257" s="3">
        <v>140</v>
      </c>
      <c r="AD257" s="3" t="str">
        <f>IFERROR(MID(VLOOKUP($B257,Seqs!$A:$B,2,0),AE257,1),"")</f>
        <v>G</v>
      </c>
      <c r="AE257" s="3">
        <v>164</v>
      </c>
      <c r="AF257" s="3" t="str">
        <f>IFERROR(MID(VLOOKUP($B257,Seqs!$A:$B,2,0),AG257,1),"")</f>
        <v>C</v>
      </c>
      <c r="AG257" s="3">
        <v>180</v>
      </c>
      <c r="AH257" s="3" t="str">
        <f>IFERROR(MID(VLOOKUP($B257,Seqs!$A:$B,2,0),AI257,1),"")</f>
        <v>T</v>
      </c>
      <c r="AI257" s="3">
        <v>182</v>
      </c>
      <c r="AJ257" s="3" t="str">
        <f>IFERROR(MID(VLOOKUP($B257,Seqs!$A:$B,2,0),AK257,1),"")</f>
        <v>V</v>
      </c>
      <c r="AK257" s="3">
        <v>187</v>
      </c>
      <c r="AL257" s="3" t="str">
        <f>IFERROR(MID(VLOOKUP($B257,Seqs!$A:$B,2,0),AM257,1),"")</f>
        <v>V</v>
      </c>
      <c r="AM257" s="3">
        <v>217</v>
      </c>
      <c r="AN257" s="3" t="str">
        <f>IFERROR(MID(VLOOKUP($B257,Seqs!$A:$B,2,0),AO257,1),"")</f>
        <v>N</v>
      </c>
      <c r="AO257" s="3">
        <v>408</v>
      </c>
      <c r="AP257" s="3" t="str">
        <f>IFERROR(MID(VLOOKUP($B257,Seqs!$A:$B,2,0),AQ257,1),"")</f>
        <v>C</v>
      </c>
      <c r="AQ257" s="3">
        <v>441</v>
      </c>
      <c r="AR257" s="3" t="str">
        <f>IFERROR(MID(VLOOKUP($B257,Seqs!$A:$B,2,0),AS257,1),"")</f>
        <v>N</v>
      </c>
      <c r="AS257" s="3">
        <v>446</v>
      </c>
      <c r="AT257" s="3" t="str">
        <f>IFERROR(MID(VLOOKUP($B257,Seqs!$A:$B,2,0),AU257,1),"")</f>
        <v>C</v>
      </c>
      <c r="AU257" s="3">
        <v>471</v>
      </c>
      <c r="AV257" s="3" t="str">
        <f>IFERROR(MID(VLOOKUP($B257,Seqs!$A:$B,2,0),AW257,1),"")</f>
        <v>N</v>
      </c>
      <c r="AW257" s="3">
        <v>472</v>
      </c>
      <c r="AX257" s="3" t="str">
        <f>IFERROR(MID(VLOOKUP($B257,Seqs!$A:$B,2,0),AY257,1),"")</f>
        <v>H</v>
      </c>
      <c r="AY257" s="3">
        <v>484</v>
      </c>
      <c r="AZ257" s="77" t="str">
        <f>VLOOKUP(B257,Classification!A:D,2,0)</f>
        <v>A</v>
      </c>
      <c r="BA257" s="94" t="str">
        <f>VLOOKUP(B257,Classification!A:D,4,0)</f>
        <v>Histamine</v>
      </c>
      <c r="BB257" s="27" t="b">
        <f t="shared" si="1232"/>
        <v>1</v>
      </c>
      <c r="BC257" s="23">
        <f t="shared" si="1957"/>
        <v>231</v>
      </c>
      <c r="BD257" s="16" t="s">
        <v>1372</v>
      </c>
      <c r="BE257" s="3" t="s">
        <v>1370</v>
      </c>
      <c r="BF257" s="118">
        <v>3.1</v>
      </c>
      <c r="BG257" s="49" t="s">
        <v>1373</v>
      </c>
      <c r="BH257" s="49" t="s">
        <v>1373</v>
      </c>
      <c r="BI257" s="1"/>
      <c r="BJ257" s="70" t="s">
        <v>1283</v>
      </c>
      <c r="BK257" s="57" t="s">
        <v>1283</v>
      </c>
      <c r="BL257" s="57" t="s">
        <v>1283</v>
      </c>
      <c r="BM257" s="57" t="s">
        <v>1283</v>
      </c>
      <c r="BN257" s="57" t="s">
        <v>1283</v>
      </c>
      <c r="BO257" s="57" t="s">
        <v>1283</v>
      </c>
      <c r="BP257" s="57" t="s">
        <v>1283</v>
      </c>
      <c r="BQ257" s="57" t="s">
        <v>1283</v>
      </c>
      <c r="BR257" s="57" t="s">
        <v>1283</v>
      </c>
      <c r="BS257" s="57" t="s">
        <v>1283</v>
      </c>
      <c r="BT257" s="57" t="s">
        <v>1283</v>
      </c>
      <c r="BU257" s="57" t="s">
        <v>1283</v>
      </c>
      <c r="BV257" s="70">
        <f t="shared" si="1958"/>
        <v>33</v>
      </c>
      <c r="BW257" s="71">
        <f t="shared" si="1959"/>
        <v>56</v>
      </c>
      <c r="BX257" s="72">
        <f t="shared" si="1960"/>
        <v>60</v>
      </c>
      <c r="BY257" s="71">
        <f t="shared" si="1961"/>
        <v>92</v>
      </c>
      <c r="BZ257" s="72">
        <f t="shared" si="1962"/>
        <v>96</v>
      </c>
      <c r="CA257" s="71" t="str">
        <f t="shared" si="1963"/>
        <v>-</v>
      </c>
      <c r="CB257" s="72">
        <f t="shared" si="1964"/>
        <v>140</v>
      </c>
      <c r="CC257" s="71">
        <f t="shared" si="1965"/>
        <v>180</v>
      </c>
      <c r="CD257" s="72">
        <f t="shared" si="1966"/>
        <v>187</v>
      </c>
      <c r="CE257" s="71">
        <f t="shared" si="1967"/>
        <v>408</v>
      </c>
      <c r="CF257" s="72">
        <f t="shared" si="1968"/>
        <v>446</v>
      </c>
      <c r="CG257" s="71">
        <f t="shared" si="1969"/>
        <v>472</v>
      </c>
      <c r="CH257" s="70">
        <f t="shared" si="1970"/>
        <v>55</v>
      </c>
      <c r="CI257" s="71">
        <f t="shared" si="1971"/>
        <v>59</v>
      </c>
      <c r="CJ257" s="72">
        <f t="shared" si="1972"/>
        <v>90</v>
      </c>
      <c r="CK257" s="72">
        <f t="shared" si="1973"/>
        <v>95</v>
      </c>
      <c r="CL257" s="72">
        <f t="shared" si="1974"/>
        <v>131</v>
      </c>
      <c r="CM257" s="72" t="str">
        <f t="shared" si="1975"/>
        <v>-</v>
      </c>
      <c r="CN257" s="72">
        <f t="shared" si="1976"/>
        <v>164</v>
      </c>
      <c r="CO257" s="72">
        <f t="shared" si="1977"/>
        <v>182</v>
      </c>
      <c r="CP257" s="72">
        <f t="shared" si="1978"/>
        <v>217</v>
      </c>
      <c r="CQ257" s="72">
        <f t="shared" si="1979"/>
        <v>441</v>
      </c>
      <c r="CR257" s="72">
        <f t="shared" si="1980"/>
        <v>471</v>
      </c>
      <c r="CS257" s="72">
        <f t="shared" si="1981"/>
        <v>484</v>
      </c>
      <c r="CT257" s="23">
        <f t="shared" si="1982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ref="A258:A322" si="2207">CONCATENATE(B258,"_",C258)</f>
        <v>lpar1_human__wt</v>
      </c>
      <c r="B258" s="3" t="s">
        <v>103</v>
      </c>
      <c r="C258" s="3" t="s">
        <v>100</v>
      </c>
      <c r="D258" s="3" t="str">
        <f>IFERROR(MID(VLOOKUP($B258,Seqs!$A:$B,2,0),E258,1),"")</f>
        <v>T</v>
      </c>
      <c r="E258" s="3">
        <v>47</v>
      </c>
      <c r="F258" s="3" t="str">
        <f>IFERROR(MID(VLOOKUP($B258,Seqs!$A:$B,2,0),G258,1),"")</f>
        <v>N</v>
      </c>
      <c r="G258" s="3">
        <v>77</v>
      </c>
      <c r="H258" s="3" t="str">
        <f>IFERROR(MID(VLOOKUP($B258,Seqs!$A:$B,2,0),I258,1),"")</f>
        <v>R</v>
      </c>
      <c r="I258" s="23">
        <v>78</v>
      </c>
      <c r="J258" s="3" t="str">
        <f>IFERROR(MID(VLOOKUP($B258,Seqs!$A:$B,2,0),K258,1),"")</f>
        <v>H</v>
      </c>
      <c r="K258" s="23">
        <v>81</v>
      </c>
      <c r="L258" s="3" t="str">
        <f>IFERROR(MID(VLOOKUP($B258,Seqs!$A:$B,2,0),M258,1),"")</f>
        <v>F</v>
      </c>
      <c r="M258" s="3">
        <v>82</v>
      </c>
      <c r="N258" s="3" t="str">
        <f>IFERROR(MID(VLOOKUP($B258,Seqs!$A:$B,2,0),O258,1),"")</f>
        <v>N</v>
      </c>
      <c r="O258" s="3">
        <v>108</v>
      </c>
      <c r="P258" s="3" t="str">
        <f>IFERROR(MID(VLOOKUP($B258,Seqs!$A:$B,2,0),Q258,1),"")</f>
        <v>G</v>
      </c>
      <c r="Q258" s="3">
        <v>110</v>
      </c>
      <c r="R258" s="3" t="str">
        <f>IFERROR(MID(VLOOKUP($B258,Seqs!$A:$B,2,0),S258,1),"")</f>
        <v>L</v>
      </c>
      <c r="S258" s="3">
        <v>116</v>
      </c>
      <c r="T258" s="3" t="str">
        <f>IFERROR(MID(VLOOKUP($B258,Seqs!$A:$B,2,0),U258,1),"")</f>
        <v>T</v>
      </c>
      <c r="U258" s="3">
        <v>117</v>
      </c>
      <c r="V258" s="3" t="str">
        <f>IFERROR(MID(VLOOKUP($B258,Seqs!$A:$B,2,0),W258,1),"")</f>
        <v>R</v>
      </c>
      <c r="W258" s="3">
        <v>152</v>
      </c>
      <c r="X258" s="3" t="str">
        <f>IFERROR(MID(VLOOKUP($B258,Seqs!$A:$B,2,0),Y258,1),"")</f>
        <v>M</v>
      </c>
      <c r="Y258" s="3">
        <v>153</v>
      </c>
      <c r="Z258" s="3" t="str">
        <f>IFERROR(MID(VLOOKUP($B258,Seqs!$A:$B,2,0),AA258,1),"")</f>
        <v>M</v>
      </c>
      <c r="AA258" s="3">
        <v>159</v>
      </c>
      <c r="AB258" s="3" t="str">
        <f>IFERROR(MID(VLOOKUP($B258,Seqs!$A:$B,2,0),AC258,1),"")</f>
        <v>S</v>
      </c>
      <c r="AC258" s="3">
        <v>160</v>
      </c>
      <c r="AD258" s="3" t="str">
        <f>IFERROR(MID(VLOOKUP($B258,Seqs!$A:$B,2,0),AE258,1),"")</f>
        <v>G</v>
      </c>
      <c r="AE258" s="3">
        <v>185</v>
      </c>
      <c r="AF258" s="3" t="str">
        <f>IFERROR(MID(VLOOKUP($B258,Seqs!$A:$B,2,0),AG258,1),"")</f>
        <v/>
      </c>
      <c r="AG258" s="3" t="s">
        <v>23</v>
      </c>
      <c r="AH258" s="3" t="str">
        <f>IFERROR(MID(VLOOKUP($B258,Seqs!$A:$B,2,0),AI258,1),"")</f>
        <v/>
      </c>
      <c r="AI258" s="3" t="s">
        <v>23</v>
      </c>
      <c r="AJ258" s="3" t="str">
        <f>IFERROR(MID(VLOOKUP($B258,Seqs!$A:$B,2,0),AK258,1),"")</f>
        <v>S</v>
      </c>
      <c r="AK258" s="3">
        <v>203</v>
      </c>
      <c r="AL258" s="3" t="str">
        <f>IFERROR(MID(VLOOKUP($B258,Seqs!$A:$B,2,0),AM258,1),"")</f>
        <v>S</v>
      </c>
      <c r="AM258" s="3">
        <v>240</v>
      </c>
      <c r="AN258" s="3" t="str">
        <f>IFERROR(MID(VLOOKUP($B258,Seqs!$A:$B,2,0),AO258,1),"")</f>
        <v>G</v>
      </c>
      <c r="AO258" s="3">
        <v>245</v>
      </c>
      <c r="AP258" s="3" t="str">
        <f>IFERROR(MID(VLOOKUP($B258,Seqs!$A:$B,2,0),AQ258,1),"")</f>
        <v>C</v>
      </c>
      <c r="AQ258" s="3">
        <v>284</v>
      </c>
      <c r="AR258" s="3" t="str">
        <f>IFERROR(MID(VLOOKUP($B258,Seqs!$A:$B,2,0),AS258,1),"")</f>
        <v>D</v>
      </c>
      <c r="AS258" s="3">
        <v>288</v>
      </c>
      <c r="AT258" s="3" t="str">
        <f>IFERROR(MID(VLOOKUP($B258,Seqs!$A:$B,2,0),AU258,1),"")</f>
        <v>R</v>
      </c>
      <c r="AU258" s="3">
        <v>314</v>
      </c>
      <c r="AV258" s="3" t="str">
        <f>IFERROR(MID(VLOOKUP($B258,Seqs!$A:$B,2,0),AW258,1),"")</f>
        <v>D</v>
      </c>
      <c r="AW258" s="3">
        <v>315</v>
      </c>
      <c r="AX258" s="3" t="str">
        <f>IFERROR(MID(VLOOKUP($B258,Seqs!$A:$B,2,0),AY258,1),"")</f>
        <v>C</v>
      </c>
      <c r="AY258" s="3">
        <v>327</v>
      </c>
      <c r="AZ258" s="77" t="str">
        <f>VLOOKUP(B258,Classification!A:D,2,0)</f>
        <v>A</v>
      </c>
      <c r="BA258" s="94" t="str">
        <f>VLOOKUP(B258,Classification!A:D,4,0)</f>
        <v>Lysophospholipid(LPA)</v>
      </c>
      <c r="BB258" s="27" t="b">
        <f t="shared" ref="BB258:BB322" si="2208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si="1957"/>
        <v>257</v>
      </c>
      <c r="BD258" s="56" t="s">
        <v>23</v>
      </c>
      <c r="BE258" s="3" t="s">
        <v>23</v>
      </c>
      <c r="BF258" s="118" t="s">
        <v>23</v>
      </c>
      <c r="BG258" s="49" t="s">
        <v>1368</v>
      </c>
      <c r="BH258" s="49" t="s">
        <v>1373</v>
      </c>
      <c r="BI258" s="1"/>
      <c r="BJ258" s="70" t="s">
        <v>1283</v>
      </c>
      <c r="BK258" s="57" t="s">
        <v>1283</v>
      </c>
      <c r="BL258" s="57" t="s">
        <v>1283</v>
      </c>
      <c r="BM258" s="57" t="s">
        <v>1283</v>
      </c>
      <c r="BN258" s="57" t="s">
        <v>1283</v>
      </c>
      <c r="BO258" s="57" t="s">
        <v>1283</v>
      </c>
      <c r="BP258" s="57" t="s">
        <v>1283</v>
      </c>
      <c r="BQ258" s="57" t="s">
        <v>1283</v>
      </c>
      <c r="BR258" s="57" t="s">
        <v>1283</v>
      </c>
      <c r="BS258" s="57" t="s">
        <v>1283</v>
      </c>
      <c r="BT258" s="57" t="s">
        <v>1283</v>
      </c>
      <c r="BU258" s="57" t="s">
        <v>1283</v>
      </c>
      <c r="BV258" s="70">
        <f t="shared" si="1958"/>
        <v>47</v>
      </c>
      <c r="BW258" s="71">
        <f t="shared" si="1959"/>
        <v>78</v>
      </c>
      <c r="BX258" s="72">
        <f t="shared" si="1960"/>
        <v>82</v>
      </c>
      <c r="BY258" s="71">
        <f t="shared" si="1961"/>
        <v>110</v>
      </c>
      <c r="BZ258" s="72">
        <f t="shared" si="1962"/>
        <v>117</v>
      </c>
      <c r="CA258" s="71">
        <f t="shared" si="1963"/>
        <v>153</v>
      </c>
      <c r="CB258" s="72">
        <f t="shared" si="1964"/>
        <v>160</v>
      </c>
      <c r="CC258" s="71" t="str">
        <f t="shared" si="1965"/>
        <v>-</v>
      </c>
      <c r="CD258" s="72">
        <f t="shared" si="1966"/>
        <v>203</v>
      </c>
      <c r="CE258" s="71">
        <f t="shared" si="1967"/>
        <v>245</v>
      </c>
      <c r="CF258" s="72">
        <f t="shared" si="1968"/>
        <v>288</v>
      </c>
      <c r="CG258" s="71">
        <f t="shared" si="1969"/>
        <v>315</v>
      </c>
      <c r="CH258" s="70">
        <f t="shared" si="1970"/>
        <v>77</v>
      </c>
      <c r="CI258" s="71">
        <f t="shared" si="1971"/>
        <v>81</v>
      </c>
      <c r="CJ258" s="72">
        <f t="shared" si="1972"/>
        <v>108</v>
      </c>
      <c r="CK258" s="72">
        <f t="shared" si="1973"/>
        <v>116</v>
      </c>
      <c r="CL258" s="72">
        <f t="shared" si="1974"/>
        <v>152</v>
      </c>
      <c r="CM258" s="72">
        <f t="shared" si="1975"/>
        <v>159</v>
      </c>
      <c r="CN258" s="72">
        <f t="shared" si="1976"/>
        <v>185</v>
      </c>
      <c r="CO258" s="72" t="str">
        <f t="shared" si="1977"/>
        <v>-</v>
      </c>
      <c r="CP258" s="72">
        <f t="shared" si="1978"/>
        <v>240</v>
      </c>
      <c r="CQ258" s="72">
        <f t="shared" si="1979"/>
        <v>284</v>
      </c>
      <c r="CR258" s="72">
        <f t="shared" si="1980"/>
        <v>314</v>
      </c>
      <c r="CS258" s="72">
        <f t="shared" si="1981"/>
        <v>327</v>
      </c>
      <c r="CT258" s="23">
        <f t="shared" si="1982"/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2207"/>
        <v>lpar1_human_4Z34</v>
      </c>
      <c r="B259" s="3" t="s">
        <v>103</v>
      </c>
      <c r="C259" s="3" t="s">
        <v>1052</v>
      </c>
      <c r="D259" s="3" t="str">
        <f>IFERROR(MID(VLOOKUP($B259,Seqs!$A:$B,2,0),E259,1),"")</f>
        <v>T</v>
      </c>
      <c r="E259" s="3">
        <v>47</v>
      </c>
      <c r="F259" s="3" t="str">
        <f>IFERROR(MID(VLOOKUP($B259,Seqs!$A:$B,2,0),G259,1),"")</f>
        <v>N</v>
      </c>
      <c r="G259" s="3">
        <v>77</v>
      </c>
      <c r="H259" s="3" t="str">
        <f>IFERROR(MID(VLOOKUP($B259,Seqs!$A:$B,2,0),I259,1),"")</f>
        <v>R</v>
      </c>
      <c r="I259" s="23">
        <v>78</v>
      </c>
      <c r="J259" s="3" t="str">
        <f>IFERROR(MID(VLOOKUP($B259,Seqs!$A:$B,2,0),K259,1),"")</f>
        <v>H</v>
      </c>
      <c r="K259" s="23">
        <v>81</v>
      </c>
      <c r="L259" s="3" t="str">
        <f>IFERROR(MID(VLOOKUP($B259,Seqs!$A:$B,2,0),M259,1),"")</f>
        <v>F</v>
      </c>
      <c r="M259" s="3">
        <v>82</v>
      </c>
      <c r="N259" s="3" t="str">
        <f>IFERROR(MID(VLOOKUP($B259,Seqs!$A:$B,2,0),O259,1),"")</f>
        <v>N</v>
      </c>
      <c r="O259" s="3">
        <v>108</v>
      </c>
      <c r="P259" s="3" t="str">
        <f>IFERROR(MID(VLOOKUP($B259,Seqs!$A:$B,2,0),Q259,1),"")</f>
        <v>G</v>
      </c>
      <c r="Q259" s="3">
        <v>110</v>
      </c>
      <c r="R259" s="3" t="str">
        <f>IFERROR(MID(VLOOKUP($B259,Seqs!$A:$B,2,0),S259,1),"")</f>
        <v>L</v>
      </c>
      <c r="S259" s="3">
        <v>116</v>
      </c>
      <c r="T259" s="3" t="str">
        <f>IFERROR(MID(VLOOKUP($B259,Seqs!$A:$B,2,0),U259,1),"")</f>
        <v>T</v>
      </c>
      <c r="U259" s="3">
        <v>117</v>
      </c>
      <c r="V259" s="3" t="str">
        <f>IFERROR(MID(VLOOKUP($B259,Seqs!$A:$B,2,0),W259,1),"")</f>
        <v>R</v>
      </c>
      <c r="W259" s="3">
        <v>152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T</v>
      </c>
      <c r="AC259" s="3">
        <v>157</v>
      </c>
      <c r="AD259" s="3" t="str">
        <f>IFERROR(MID(VLOOKUP($B259,Seqs!$A:$B,2,0),AE259,1),"")</f>
        <v>G</v>
      </c>
      <c r="AE259" s="3">
        <v>185</v>
      </c>
      <c r="AF259" s="3" t="str">
        <f>IFERROR(MID(VLOOKUP($B259,Seqs!$A:$B,2,0),AG259,1),"")</f>
        <v/>
      </c>
      <c r="AG259" s="3" t="s">
        <v>23</v>
      </c>
      <c r="AH259" s="3" t="str">
        <f>IFERROR(MID(VLOOKUP($B259,Seqs!$A:$B,2,0),AI259,1),"")</f>
        <v/>
      </c>
      <c r="AI259" s="3" t="s">
        <v>23</v>
      </c>
      <c r="AJ259" s="3" t="str">
        <f>IFERROR(MID(VLOOKUP($B259,Seqs!$A:$B,2,0),AK259,1),"")</f>
        <v>S</v>
      </c>
      <c r="AK259" s="3">
        <v>203</v>
      </c>
      <c r="AL259" s="3" t="str">
        <f>IFERROR(MID(VLOOKUP($B259,Seqs!$A:$B,2,0),AM259,1),"")</f>
        <v>R</v>
      </c>
      <c r="AM259" s="3">
        <v>235</v>
      </c>
      <c r="AN259" s="3" t="str">
        <f>IFERROR(MID(VLOOKUP($B259,Seqs!$A:$B,2,0),AO259,1),"")</f>
        <v>G</v>
      </c>
      <c r="AO259" s="3">
        <v>245</v>
      </c>
      <c r="AP259" s="3" t="str">
        <f>IFERROR(MID(VLOOKUP($B259,Seqs!$A:$B,2,0),AQ259,1),"")</f>
        <v>C</v>
      </c>
      <c r="AQ259" s="3">
        <v>284</v>
      </c>
      <c r="AR259" s="3" t="str">
        <f>IFERROR(MID(VLOOKUP($B259,Seqs!$A:$B,2,0),AS259,1),"")</f>
        <v>E</v>
      </c>
      <c r="AS259" s="3">
        <v>293</v>
      </c>
      <c r="AT259" s="3" t="str">
        <f>IFERROR(MID(VLOOKUP($B259,Seqs!$A:$B,2,0),AU259,1),"")</f>
        <v>R</v>
      </c>
      <c r="AU259" s="3">
        <v>314</v>
      </c>
      <c r="AV259" s="3" t="str">
        <f>IFERROR(MID(VLOOKUP($B259,Seqs!$A:$B,2,0),AW259,1),"")</f>
        <v>D</v>
      </c>
      <c r="AW259" s="3">
        <v>315</v>
      </c>
      <c r="AX259" s="3" t="str">
        <f>IFERROR(MID(VLOOKUP($B259,Seqs!$A:$B,2,0),AY259,1),"")</f>
        <v>C</v>
      </c>
      <c r="AY259" s="3">
        <v>327</v>
      </c>
      <c r="AZ259" s="77" t="str">
        <f>VLOOKUP(B259,Classification!A:D,2,0)</f>
        <v>A</v>
      </c>
      <c r="BA259" s="94" t="str">
        <f>VLOOKUP(B259,Classification!A:D,4,0)</f>
        <v>Lysophospholipid(LPA)</v>
      </c>
      <c r="BB259" s="27" t="b">
        <f t="shared" si="2208"/>
        <v>1</v>
      </c>
      <c r="BC259" s="23">
        <f t="shared" si="1957"/>
        <v>244</v>
      </c>
      <c r="BD259" s="16" t="s">
        <v>23</v>
      </c>
      <c r="BE259" s="3" t="s">
        <v>1370</v>
      </c>
      <c r="BF259" s="118">
        <v>3</v>
      </c>
      <c r="BG259" s="49" t="s">
        <v>1373</v>
      </c>
      <c r="BH259" s="49" t="s">
        <v>1373</v>
      </c>
      <c r="BI259" s="1"/>
      <c r="BJ259" s="70" t="s">
        <v>1283</v>
      </c>
      <c r="BK259" s="57" t="s">
        <v>1283</v>
      </c>
      <c r="BL259" s="57" t="s">
        <v>1283</v>
      </c>
      <c r="BM259" s="57" t="s">
        <v>1283</v>
      </c>
      <c r="BN259" s="57" t="s">
        <v>1283</v>
      </c>
      <c r="BO259" s="57" t="s">
        <v>1283</v>
      </c>
      <c r="BP259" s="57" t="s">
        <v>1283</v>
      </c>
      <c r="BQ259" s="57" t="s">
        <v>1283</v>
      </c>
      <c r="BR259" s="57" t="s">
        <v>1283</v>
      </c>
      <c r="BS259" s="57" t="s">
        <v>1283</v>
      </c>
      <c r="BT259" s="57" t="s">
        <v>1283</v>
      </c>
      <c r="BU259" s="57" t="s">
        <v>1283</v>
      </c>
      <c r="BV259" s="70">
        <f t="shared" si="1958"/>
        <v>47</v>
      </c>
      <c r="BW259" s="71">
        <f t="shared" si="1959"/>
        <v>78</v>
      </c>
      <c r="BX259" s="72">
        <f t="shared" si="1960"/>
        <v>82</v>
      </c>
      <c r="BY259" s="71">
        <f t="shared" si="1961"/>
        <v>110</v>
      </c>
      <c r="BZ259" s="72">
        <f t="shared" si="1962"/>
        <v>117</v>
      </c>
      <c r="CA259" s="71" t="str">
        <f t="shared" si="1963"/>
        <v>-</v>
      </c>
      <c r="CB259" s="72">
        <f t="shared" si="1964"/>
        <v>157</v>
      </c>
      <c r="CC259" s="71" t="str">
        <f t="shared" si="1965"/>
        <v>-</v>
      </c>
      <c r="CD259" s="72">
        <f t="shared" si="1966"/>
        <v>203</v>
      </c>
      <c r="CE259" s="71">
        <f t="shared" si="1967"/>
        <v>245</v>
      </c>
      <c r="CF259" s="72">
        <f t="shared" si="1968"/>
        <v>293</v>
      </c>
      <c r="CG259" s="71">
        <f t="shared" si="1969"/>
        <v>315</v>
      </c>
      <c r="CH259" s="70">
        <f t="shared" si="1970"/>
        <v>77</v>
      </c>
      <c r="CI259" s="71">
        <f t="shared" si="1971"/>
        <v>81</v>
      </c>
      <c r="CJ259" s="72">
        <f t="shared" si="1972"/>
        <v>108</v>
      </c>
      <c r="CK259" s="72">
        <f t="shared" si="1973"/>
        <v>116</v>
      </c>
      <c r="CL259" s="72">
        <f t="shared" si="1974"/>
        <v>152</v>
      </c>
      <c r="CM259" s="72" t="str">
        <f t="shared" si="1975"/>
        <v>-</v>
      </c>
      <c r="CN259" s="72">
        <f t="shared" si="1976"/>
        <v>185</v>
      </c>
      <c r="CO259" s="72" t="str">
        <f t="shared" si="1977"/>
        <v>-</v>
      </c>
      <c r="CP259" s="72">
        <f t="shared" si="1978"/>
        <v>235</v>
      </c>
      <c r="CQ259" s="72">
        <f t="shared" si="1979"/>
        <v>284</v>
      </c>
      <c r="CR259" s="72">
        <f t="shared" si="1980"/>
        <v>314</v>
      </c>
      <c r="CS259" s="72">
        <f t="shared" si="1981"/>
        <v>327</v>
      </c>
      <c r="CT259" s="23">
        <f t="shared" si="1982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2207"/>
        <v>lpar1_human_4Z35</v>
      </c>
      <c r="B260" s="3" t="s">
        <v>103</v>
      </c>
      <c r="C260" s="3" t="s">
        <v>89</v>
      </c>
      <c r="D260" s="3" t="str">
        <f>IFERROR(MID(VLOOKUP($B260,Seqs!$A:$B,2,0),E260,1),"")</f>
        <v>T</v>
      </c>
      <c r="E260" s="3">
        <v>47</v>
      </c>
      <c r="F260" s="3" t="str">
        <f>IFERROR(MID(VLOOKUP($B260,Seqs!$A:$B,2,0),G260,1),"")</f>
        <v>N</v>
      </c>
      <c r="G260" s="3">
        <v>77</v>
      </c>
      <c r="H260" s="3" t="str">
        <f>IFERROR(MID(VLOOKUP($B260,Seqs!$A:$B,2,0),I260,1),"")</f>
        <v>R</v>
      </c>
      <c r="I260" s="23">
        <v>78</v>
      </c>
      <c r="J260" s="3" t="str">
        <f>IFERROR(MID(VLOOKUP($B260,Seqs!$A:$B,2,0),K260,1),"")</f>
        <v>H</v>
      </c>
      <c r="K260" s="23">
        <v>81</v>
      </c>
      <c r="L260" s="3" t="str">
        <f>IFERROR(MID(VLOOKUP($B260,Seqs!$A:$B,2,0),M260,1),"")</f>
        <v>F</v>
      </c>
      <c r="M260" s="3">
        <v>82</v>
      </c>
      <c r="N260" s="3" t="str">
        <f>IFERROR(MID(VLOOKUP($B260,Seqs!$A:$B,2,0),O260,1),"")</f>
        <v>N</v>
      </c>
      <c r="O260" s="3">
        <v>108</v>
      </c>
      <c r="P260" s="3" t="str">
        <f>IFERROR(MID(VLOOKUP($B260,Seqs!$A:$B,2,0),Q260,1),"")</f>
        <v>G</v>
      </c>
      <c r="Q260" s="3">
        <v>110</v>
      </c>
      <c r="R260" s="3" t="str">
        <f>IFERROR(MID(VLOOKUP($B260,Seqs!$A:$B,2,0),S260,1),"")</f>
        <v>L</v>
      </c>
      <c r="S260" s="3">
        <v>116</v>
      </c>
      <c r="T260" s="3" t="str">
        <f>IFERROR(MID(VLOOKUP($B260,Seqs!$A:$B,2,0),U260,1),"")</f>
        <v>T</v>
      </c>
      <c r="U260" s="3">
        <v>117</v>
      </c>
      <c r="V260" s="3" t="str">
        <f>IFERROR(MID(VLOOKUP($B260,Seqs!$A:$B,2,0),W260,1),"")</f>
        <v>R</v>
      </c>
      <c r="W260" s="3">
        <v>152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T</v>
      </c>
      <c r="AC260" s="3">
        <v>157</v>
      </c>
      <c r="AD260" s="3" t="str">
        <f>IFERROR(MID(VLOOKUP($B260,Seqs!$A:$B,2,0),AE260,1),"")</f>
        <v>G</v>
      </c>
      <c r="AE260" s="3">
        <v>185</v>
      </c>
      <c r="AF260" s="3" t="str">
        <f>IFERROR(MID(VLOOKUP($B260,Seqs!$A:$B,2,0),AG260,1),"")</f>
        <v/>
      </c>
      <c r="AG260" s="3" t="s">
        <v>23</v>
      </c>
      <c r="AH260" s="3" t="str">
        <f>IFERROR(MID(VLOOKUP($B260,Seqs!$A:$B,2,0),AI260,1),"")</f>
        <v/>
      </c>
      <c r="AI260" s="3" t="s">
        <v>23</v>
      </c>
      <c r="AJ260" s="3" t="str">
        <f>IFERROR(MID(VLOOKUP($B260,Seqs!$A:$B,2,0),AK260,1),"")</f>
        <v>S</v>
      </c>
      <c r="AK260" s="3">
        <v>203</v>
      </c>
      <c r="AL260" s="3" t="str">
        <f>IFERROR(MID(VLOOKUP($B260,Seqs!$A:$B,2,0),AM260,1),"")</f>
        <v>R</v>
      </c>
      <c r="AM260" s="3">
        <v>235</v>
      </c>
      <c r="AN260" s="3" t="str">
        <f>IFERROR(MID(VLOOKUP($B260,Seqs!$A:$B,2,0),AO260,1),"")</f>
        <v>G</v>
      </c>
      <c r="AO260" s="3">
        <v>245</v>
      </c>
      <c r="AP260" s="3" t="str">
        <f>IFERROR(MID(VLOOKUP($B260,Seqs!$A:$B,2,0),AQ260,1),"")</f>
        <v>C</v>
      </c>
      <c r="AQ260" s="3">
        <v>284</v>
      </c>
      <c r="AR260" s="3" t="str">
        <f>IFERROR(MID(VLOOKUP($B260,Seqs!$A:$B,2,0),AS260,1),"")</f>
        <v>E</v>
      </c>
      <c r="AS260" s="3">
        <v>293</v>
      </c>
      <c r="AT260" s="3" t="str">
        <f>IFERROR(MID(VLOOKUP($B260,Seqs!$A:$B,2,0),AU260,1),"")</f>
        <v>R</v>
      </c>
      <c r="AU260" s="3">
        <v>314</v>
      </c>
      <c r="AV260" s="3" t="str">
        <f>IFERROR(MID(VLOOKUP($B260,Seqs!$A:$B,2,0),AW260,1),"")</f>
        <v>D</v>
      </c>
      <c r="AW260" s="3">
        <v>315</v>
      </c>
      <c r="AX260" s="3" t="str">
        <f>IFERROR(MID(VLOOKUP($B260,Seqs!$A:$B,2,0),AY260,1),"")</f>
        <v>C</v>
      </c>
      <c r="AY260" s="3">
        <v>327</v>
      </c>
      <c r="AZ260" s="77" t="str">
        <f>VLOOKUP(B260,Classification!A:D,2,0)</f>
        <v>A</v>
      </c>
      <c r="BA260" s="94" t="str">
        <f>VLOOKUP(B260,Classification!A:D,4,0)</f>
        <v>Lysophospholipid(LPA)</v>
      </c>
      <c r="BB260" s="27" t="b">
        <f t="shared" si="2208"/>
        <v>1</v>
      </c>
      <c r="BC260" s="23">
        <f t="shared" si="1957"/>
        <v>244</v>
      </c>
      <c r="BD260" s="5" t="s">
        <v>1372</v>
      </c>
      <c r="BE260" s="3" t="s">
        <v>1370</v>
      </c>
      <c r="BF260" s="118">
        <v>2.9</v>
      </c>
      <c r="BG260" s="49" t="s">
        <v>1373</v>
      </c>
      <c r="BH260" s="49" t="s">
        <v>1373</v>
      </c>
      <c r="BI260" s="1"/>
      <c r="BJ260" s="70" t="s">
        <v>1283</v>
      </c>
      <c r="BK260" s="57" t="s">
        <v>1283</v>
      </c>
      <c r="BL260" s="57" t="s">
        <v>1283</v>
      </c>
      <c r="BM260" s="57" t="s">
        <v>1283</v>
      </c>
      <c r="BN260" s="57" t="s">
        <v>1283</v>
      </c>
      <c r="BO260" s="57" t="s">
        <v>1283</v>
      </c>
      <c r="BP260" s="57" t="s">
        <v>1283</v>
      </c>
      <c r="BQ260" s="57" t="s">
        <v>1283</v>
      </c>
      <c r="BR260" s="57" t="s">
        <v>1283</v>
      </c>
      <c r="BS260" s="57" t="s">
        <v>1283</v>
      </c>
      <c r="BT260" s="57" t="s">
        <v>1283</v>
      </c>
      <c r="BU260" s="57" t="s">
        <v>1283</v>
      </c>
      <c r="BV260" s="70">
        <f t="shared" si="1958"/>
        <v>47</v>
      </c>
      <c r="BW260" s="71">
        <f t="shared" si="1959"/>
        <v>78</v>
      </c>
      <c r="BX260" s="72">
        <f t="shared" si="1960"/>
        <v>82</v>
      </c>
      <c r="BY260" s="71">
        <f t="shared" si="1961"/>
        <v>110</v>
      </c>
      <c r="BZ260" s="72">
        <f t="shared" si="1962"/>
        <v>117</v>
      </c>
      <c r="CA260" s="71" t="str">
        <f t="shared" si="1963"/>
        <v>-</v>
      </c>
      <c r="CB260" s="72">
        <f t="shared" si="1964"/>
        <v>157</v>
      </c>
      <c r="CC260" s="71" t="str">
        <f t="shared" si="1965"/>
        <v>-</v>
      </c>
      <c r="CD260" s="72">
        <f t="shared" si="1966"/>
        <v>203</v>
      </c>
      <c r="CE260" s="71">
        <f t="shared" si="1967"/>
        <v>245</v>
      </c>
      <c r="CF260" s="72">
        <f t="shared" si="1968"/>
        <v>293</v>
      </c>
      <c r="CG260" s="71">
        <f t="shared" si="1969"/>
        <v>315</v>
      </c>
      <c r="CH260" s="70">
        <f t="shared" si="1970"/>
        <v>77</v>
      </c>
      <c r="CI260" s="71">
        <f t="shared" si="1971"/>
        <v>81</v>
      </c>
      <c r="CJ260" s="72">
        <f t="shared" si="1972"/>
        <v>108</v>
      </c>
      <c r="CK260" s="72">
        <f t="shared" si="1973"/>
        <v>116</v>
      </c>
      <c r="CL260" s="72">
        <f t="shared" si="1974"/>
        <v>152</v>
      </c>
      <c r="CM260" s="72" t="str">
        <f t="shared" si="1975"/>
        <v>-</v>
      </c>
      <c r="CN260" s="72">
        <f t="shared" si="1976"/>
        <v>185</v>
      </c>
      <c r="CO260" s="72" t="str">
        <f t="shared" si="1977"/>
        <v>-</v>
      </c>
      <c r="CP260" s="72">
        <f t="shared" si="1978"/>
        <v>235</v>
      </c>
      <c r="CQ260" s="72">
        <f t="shared" si="1979"/>
        <v>284</v>
      </c>
      <c r="CR260" s="72">
        <f t="shared" si="1980"/>
        <v>314</v>
      </c>
      <c r="CS260" s="72">
        <f t="shared" si="1981"/>
        <v>327</v>
      </c>
      <c r="CT260" s="23">
        <f t="shared" si="1982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2207"/>
        <v>lpar1_human_4Z36</v>
      </c>
      <c r="B261" s="3" t="s">
        <v>103</v>
      </c>
      <c r="C261" s="3" t="s">
        <v>1053</v>
      </c>
      <c r="D261" s="3" t="str">
        <f>IFERROR(MID(VLOOKUP($B261,Seqs!$A:$B,2,0),E261,1),"")</f>
        <v>T</v>
      </c>
      <c r="E261" s="3">
        <v>47</v>
      </c>
      <c r="F261" s="3" t="str">
        <f>IFERROR(MID(VLOOKUP($B261,Seqs!$A:$B,2,0),G261,1),"")</f>
        <v>N</v>
      </c>
      <c r="G261" s="3">
        <v>77</v>
      </c>
      <c r="H261" s="3" t="str">
        <f>IFERROR(MID(VLOOKUP($B261,Seqs!$A:$B,2,0),I261,1),"")</f>
        <v>R</v>
      </c>
      <c r="I261" s="23">
        <v>78</v>
      </c>
      <c r="J261" s="3" t="str">
        <f>IFERROR(MID(VLOOKUP($B261,Seqs!$A:$B,2,0),K261,1),"")</f>
        <v>H</v>
      </c>
      <c r="K261" s="23">
        <v>81</v>
      </c>
      <c r="L261" s="3" t="str">
        <f>IFERROR(MID(VLOOKUP($B261,Seqs!$A:$B,2,0),M261,1),"")</f>
        <v>F</v>
      </c>
      <c r="M261" s="3">
        <v>82</v>
      </c>
      <c r="N261" s="3" t="str">
        <f>IFERROR(MID(VLOOKUP($B261,Seqs!$A:$B,2,0),O261,1),"")</f>
        <v>N</v>
      </c>
      <c r="O261" s="3">
        <v>108</v>
      </c>
      <c r="P261" s="3" t="str">
        <f>IFERROR(MID(VLOOKUP($B261,Seqs!$A:$B,2,0),Q261,1),"")</f>
        <v>G</v>
      </c>
      <c r="Q261" s="3">
        <v>110</v>
      </c>
      <c r="R261" s="3" t="str">
        <f>IFERROR(MID(VLOOKUP($B261,Seqs!$A:$B,2,0),S261,1),"")</f>
        <v>L</v>
      </c>
      <c r="S261" s="3">
        <v>116</v>
      </c>
      <c r="T261" s="3" t="str">
        <f>IFERROR(MID(VLOOKUP($B261,Seqs!$A:$B,2,0),U261,1),"")</f>
        <v>T</v>
      </c>
      <c r="U261" s="3">
        <v>117</v>
      </c>
      <c r="V261" s="3" t="str">
        <f>IFERROR(MID(VLOOKUP($B261,Seqs!$A:$B,2,0),W261,1),"")</f>
        <v>R</v>
      </c>
      <c r="W261" s="3">
        <v>152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T</v>
      </c>
      <c r="AC261" s="3">
        <v>157</v>
      </c>
      <c r="AD261" s="3" t="str">
        <f>IFERROR(MID(VLOOKUP($B261,Seqs!$A:$B,2,0),AE261,1),"")</f>
        <v>G</v>
      </c>
      <c r="AE261" s="3">
        <v>185</v>
      </c>
      <c r="AF261" s="3" t="str">
        <f>IFERROR(MID(VLOOKUP($B261,Seqs!$A:$B,2,0),AG261,1),"")</f>
        <v/>
      </c>
      <c r="AG261" s="3" t="s">
        <v>23</v>
      </c>
      <c r="AH261" s="3" t="str">
        <f>IFERROR(MID(VLOOKUP($B261,Seqs!$A:$B,2,0),AI261,1),"")</f>
        <v/>
      </c>
      <c r="AI261" s="3" t="s">
        <v>23</v>
      </c>
      <c r="AJ261" s="3" t="str">
        <f>IFERROR(MID(VLOOKUP($B261,Seqs!$A:$B,2,0),AK261,1),"")</f>
        <v>S</v>
      </c>
      <c r="AK261" s="3">
        <v>203</v>
      </c>
      <c r="AL261" s="3" t="str">
        <f>IFERROR(MID(VLOOKUP($B261,Seqs!$A:$B,2,0),AM261,1),"")</f>
        <v>R</v>
      </c>
      <c r="AM261" s="3">
        <v>235</v>
      </c>
      <c r="AN261" s="3" t="str">
        <f>IFERROR(MID(VLOOKUP($B261,Seqs!$A:$B,2,0),AO261,1),"")</f>
        <v>G</v>
      </c>
      <c r="AO261" s="3">
        <v>245</v>
      </c>
      <c r="AP261" s="3" t="str">
        <f>IFERROR(MID(VLOOKUP($B261,Seqs!$A:$B,2,0),AQ261,1),"")</f>
        <v>C</v>
      </c>
      <c r="AQ261" s="3">
        <v>284</v>
      </c>
      <c r="AR261" s="3" t="str">
        <f>IFERROR(MID(VLOOKUP($B261,Seqs!$A:$B,2,0),AS261,1),"")</f>
        <v>E</v>
      </c>
      <c r="AS261" s="3">
        <v>293</v>
      </c>
      <c r="AT261" s="3" t="str">
        <f>IFERROR(MID(VLOOKUP($B261,Seqs!$A:$B,2,0),AU261,1),"")</f>
        <v>R</v>
      </c>
      <c r="AU261" s="3">
        <v>314</v>
      </c>
      <c r="AV261" s="3" t="str">
        <f>IFERROR(MID(VLOOKUP($B261,Seqs!$A:$B,2,0),AW261,1),"")</f>
        <v>D</v>
      </c>
      <c r="AW261" s="3">
        <v>315</v>
      </c>
      <c r="AX261" s="3" t="str">
        <f>IFERROR(MID(VLOOKUP($B261,Seqs!$A:$B,2,0),AY261,1),"")</f>
        <v>C</v>
      </c>
      <c r="AY261" s="3">
        <v>327</v>
      </c>
      <c r="AZ261" s="77" t="str">
        <f>VLOOKUP(B261,Classification!A:D,2,0)</f>
        <v>A</v>
      </c>
      <c r="BA261" s="94" t="str">
        <f>VLOOKUP(B261,Classification!A:D,4,0)</f>
        <v>Lysophospholipid(LPA)</v>
      </c>
      <c r="BB261" s="27" t="b">
        <f t="shared" si="2208"/>
        <v>1</v>
      </c>
      <c r="BC261" s="23">
        <f t="shared" si="1957"/>
        <v>244</v>
      </c>
      <c r="BD261" s="5" t="s">
        <v>23</v>
      </c>
      <c r="BE261" s="3" t="s">
        <v>1370</v>
      </c>
      <c r="BF261" s="118">
        <v>2.9</v>
      </c>
      <c r="BG261" s="49" t="s">
        <v>1373</v>
      </c>
      <c r="BH261" s="49" t="s">
        <v>1373</v>
      </c>
      <c r="BI261" s="1"/>
      <c r="BJ261" s="70" t="s">
        <v>1283</v>
      </c>
      <c r="BK261" s="57" t="s">
        <v>1283</v>
      </c>
      <c r="BL261" s="57" t="s">
        <v>1283</v>
      </c>
      <c r="BM261" s="57" t="s">
        <v>1283</v>
      </c>
      <c r="BN261" s="57" t="s">
        <v>1283</v>
      </c>
      <c r="BO261" s="57" t="s">
        <v>1283</v>
      </c>
      <c r="BP261" s="57" t="s">
        <v>1283</v>
      </c>
      <c r="BQ261" s="57" t="s">
        <v>1283</v>
      </c>
      <c r="BR261" s="57" t="s">
        <v>1283</v>
      </c>
      <c r="BS261" s="57" t="s">
        <v>1283</v>
      </c>
      <c r="BT261" s="57" t="s">
        <v>1283</v>
      </c>
      <c r="BU261" s="57" t="s">
        <v>1283</v>
      </c>
      <c r="BV261" s="70">
        <f t="shared" si="1958"/>
        <v>47</v>
      </c>
      <c r="BW261" s="71">
        <f t="shared" si="1959"/>
        <v>78</v>
      </c>
      <c r="BX261" s="72">
        <f t="shared" si="1960"/>
        <v>82</v>
      </c>
      <c r="BY261" s="71">
        <f t="shared" si="1961"/>
        <v>110</v>
      </c>
      <c r="BZ261" s="72">
        <f t="shared" si="1962"/>
        <v>117</v>
      </c>
      <c r="CA261" s="71" t="str">
        <f t="shared" si="1963"/>
        <v>-</v>
      </c>
      <c r="CB261" s="72">
        <f t="shared" si="1964"/>
        <v>157</v>
      </c>
      <c r="CC261" s="71" t="str">
        <f t="shared" si="1965"/>
        <v>-</v>
      </c>
      <c r="CD261" s="72">
        <f t="shared" si="1966"/>
        <v>203</v>
      </c>
      <c r="CE261" s="71">
        <f t="shared" si="1967"/>
        <v>245</v>
      </c>
      <c r="CF261" s="72">
        <f t="shared" si="1968"/>
        <v>293</v>
      </c>
      <c r="CG261" s="71">
        <f t="shared" si="1969"/>
        <v>315</v>
      </c>
      <c r="CH261" s="70">
        <f t="shared" si="1970"/>
        <v>77</v>
      </c>
      <c r="CI261" s="71">
        <f t="shared" si="1971"/>
        <v>81</v>
      </c>
      <c r="CJ261" s="72">
        <f t="shared" si="1972"/>
        <v>108</v>
      </c>
      <c r="CK261" s="72">
        <f t="shared" si="1973"/>
        <v>116</v>
      </c>
      <c r="CL261" s="72">
        <f t="shared" si="1974"/>
        <v>152</v>
      </c>
      <c r="CM261" s="72" t="str">
        <f t="shared" si="1975"/>
        <v>-</v>
      </c>
      <c r="CN261" s="72">
        <f t="shared" si="1976"/>
        <v>185</v>
      </c>
      <c r="CO261" s="72" t="str">
        <f t="shared" si="1977"/>
        <v>-</v>
      </c>
      <c r="CP261" s="72">
        <f t="shared" si="1978"/>
        <v>235</v>
      </c>
      <c r="CQ261" s="72">
        <f t="shared" si="1979"/>
        <v>284</v>
      </c>
      <c r="CR261" s="72">
        <f t="shared" si="1980"/>
        <v>314</v>
      </c>
      <c r="CS261" s="72">
        <f t="shared" si="1981"/>
        <v>327</v>
      </c>
      <c r="CT261" s="23">
        <f t="shared" si="1982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s="12" customFormat="1" x14ac:dyDescent="0.2">
      <c r="A262" s="9" t="str">
        <f t="shared" ref="A262:A263" si="2209">CONCATENATE(B262,"_",C262)</f>
        <v>mc4r_human__wt</v>
      </c>
      <c r="B262" s="9" t="s">
        <v>296</v>
      </c>
      <c r="C262" s="9" t="s">
        <v>100</v>
      </c>
      <c r="D262" s="9" t="str">
        <f>IFERROR(MID(VLOOKUP($B262,Seqs!$A:$B,2,0),E262,1),"")</f>
        <v>S</v>
      </c>
      <c r="E262" s="9">
        <v>47</v>
      </c>
      <c r="F262" s="9" t="str">
        <f>IFERROR(MID(VLOOKUP($B262,Seqs!$A:$B,2,0),G262,1),"")</f>
        <v>N</v>
      </c>
      <c r="G262" s="9">
        <v>72</v>
      </c>
      <c r="H262" s="9" t="str">
        <f>IFERROR(MID(VLOOKUP($B262,Seqs!$A:$B,2,0),I262,1),"")</f>
        <v>K</v>
      </c>
      <c r="I262" s="109">
        <v>73</v>
      </c>
      <c r="J262" s="9" t="str">
        <f>IFERROR(MID(VLOOKUP($B262,Seqs!$A:$B,2,0),K262,1),"")</f>
        <v>H</v>
      </c>
      <c r="K262" s="109">
        <v>76</v>
      </c>
      <c r="L262" s="9" t="str">
        <f>IFERROR(MID(VLOOKUP($B262,Seqs!$A:$B,2,0),M262,1),"")</f>
        <v>S</v>
      </c>
      <c r="M262" s="9">
        <v>77</v>
      </c>
      <c r="N262" s="9" t="str">
        <f>IFERROR(MID(VLOOKUP($B262,Seqs!$A:$B,2,0),O262,1),"")</f>
        <v>L</v>
      </c>
      <c r="O262" s="9">
        <v>107</v>
      </c>
      <c r="P262" s="9" t="str">
        <f>IFERROR(MID(VLOOKUP($B262,Seqs!$A:$B,2,0),Q262,1),"")</f>
        <v/>
      </c>
      <c r="Q262" s="9" t="s">
        <v>23</v>
      </c>
      <c r="R262" s="9" t="str">
        <f>IFERROR(MID(VLOOKUP($B262,Seqs!$A:$B,2,0),S262,1),"")</f>
        <v/>
      </c>
      <c r="S262" s="9" t="s">
        <v>23</v>
      </c>
      <c r="T262" s="9" t="str">
        <f>IFERROR(MID(VLOOKUP($B262,Seqs!$A:$B,2,0),U262,1),"")</f>
        <v>Q</v>
      </c>
      <c r="U262" s="9">
        <v>115</v>
      </c>
      <c r="V262" s="9" t="str">
        <f>IFERROR(MID(VLOOKUP($B262,Seqs!$A:$B,2,0),W262,1),"")</f>
        <v>Y</v>
      </c>
      <c r="W262" s="9">
        <v>153</v>
      </c>
      <c r="X262" s="9" t="str">
        <f>IFERROR(MID(VLOOKUP($B262,Seqs!$A:$B,2,0),Y262,1),"")</f>
        <v>A</v>
      </c>
      <c r="Y262" s="9">
        <v>154</v>
      </c>
      <c r="Z262" s="9" t="str">
        <f>IFERROR(MID(VLOOKUP($B262,Seqs!$A:$B,2,0),AA262,1),"")</f>
        <v>M</v>
      </c>
      <c r="AA262" s="9">
        <v>161</v>
      </c>
      <c r="AB262" s="9" t="str">
        <f>IFERROR(MID(VLOOKUP($B262,Seqs!$A:$B,2,0),AC262,1),"")</f>
        <v>T</v>
      </c>
      <c r="AC262" s="9">
        <v>162</v>
      </c>
      <c r="AD262" s="9" t="str">
        <f>IFERROR(MID(VLOOKUP($B262,Seqs!$A:$B,2,0),AE262,1),"")</f>
        <v>S</v>
      </c>
      <c r="AE262" s="9">
        <v>188</v>
      </c>
      <c r="AF262" s="9" t="str">
        <f>IFERROR(MID(VLOOKUP($B262,Seqs!$A:$B,2,0),AG262,1),"")</f>
        <v/>
      </c>
      <c r="AG262" s="9" t="s">
        <v>23</v>
      </c>
      <c r="AH262" s="9" t="str">
        <f>IFERROR(MID(VLOOKUP($B262,Seqs!$A:$B,2,0),AI262,1),"")</f>
        <v/>
      </c>
      <c r="AI262" s="9" t="s">
        <v>23</v>
      </c>
      <c r="AJ262" s="9" t="str">
        <f>IFERROR(MID(VLOOKUP($B262,Seqs!$A:$B,2,0),AK262,1),"")</f>
        <v>S</v>
      </c>
      <c r="AK262" s="9">
        <v>190</v>
      </c>
      <c r="AL262" s="9" t="str">
        <f>IFERROR(MID(VLOOKUP($B262,Seqs!$A:$B,2,0),AM262,1),"")</f>
        <v>A</v>
      </c>
      <c r="AM262" s="9">
        <v>227</v>
      </c>
      <c r="AN262" s="9" t="str">
        <f>IFERROR(MID(VLOOKUP($B262,Seqs!$A:$B,2,0),AO262,1),"")</f>
        <v>Q</v>
      </c>
      <c r="AO262" s="9">
        <v>237</v>
      </c>
      <c r="AP262" s="9" t="str">
        <f>IFERROR(MID(VLOOKUP($B262,Seqs!$A:$B,2,0),AQ262,1),"")</f>
        <v>C</v>
      </c>
      <c r="AQ262" s="9">
        <v>271</v>
      </c>
      <c r="AR262" s="9" t="str">
        <f>IFERROR(MID(VLOOKUP($B262,Seqs!$A:$B,2,0),AS262,1),"")</f>
        <v>H</v>
      </c>
      <c r="AS262" s="9">
        <v>283</v>
      </c>
      <c r="AT262" s="9" t="str">
        <f>IFERROR(MID(VLOOKUP($B262,Seqs!$A:$B,2,0),AU262,1),"")</f>
        <v>R</v>
      </c>
      <c r="AU262" s="9">
        <v>305</v>
      </c>
      <c r="AV262" s="9" t="str">
        <f>IFERROR(MID(VLOOKUP($B262,Seqs!$A:$B,2,0),AW262,1),"")</f>
        <v>S</v>
      </c>
      <c r="AW262" s="9">
        <v>306</v>
      </c>
      <c r="AX262" s="9" t="str">
        <f>IFERROR(MID(VLOOKUP($B262,Seqs!$A:$B,2,0),AY262,1),"")</f>
        <v>Y</v>
      </c>
      <c r="AY262" s="9">
        <v>320</v>
      </c>
      <c r="AZ262" s="110" t="str">
        <f>VLOOKUP(B262,Classification!A:D,2,0)</f>
        <v>A</v>
      </c>
      <c r="BA262" s="98" t="str">
        <f>VLOOKUP(B262,Classification!A:D,4,0)</f>
        <v>Melanocortin</v>
      </c>
      <c r="BB262" s="36" t="b">
        <f t="shared" ref="BB262:BB263" si="2210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109">
        <f t="shared" ref="BC262:BC263" si="2211">_xlfn.AGGREGATE(9,6,CH262:CS262)-_xlfn.AGGREGATE(9,6,BV262:CG262)+12</f>
        <v>248</v>
      </c>
      <c r="BD262" s="13" t="s">
        <v>23</v>
      </c>
      <c r="BE262" s="9" t="s">
        <v>23</v>
      </c>
      <c r="BF262" s="119" t="s">
        <v>23</v>
      </c>
      <c r="BG262" s="51" t="s">
        <v>23</v>
      </c>
      <c r="BH262" s="51" t="s">
        <v>23</v>
      </c>
      <c r="BJ262" s="111" t="s">
        <v>1283</v>
      </c>
      <c r="BK262" s="112" t="s">
        <v>1283</v>
      </c>
      <c r="BL262" s="112" t="s">
        <v>1283</v>
      </c>
      <c r="BM262" s="112" t="s">
        <v>1283</v>
      </c>
      <c r="BN262" s="112" t="s">
        <v>1283</v>
      </c>
      <c r="BO262" s="112" t="s">
        <v>1283</v>
      </c>
      <c r="BP262" s="112" t="s">
        <v>1283</v>
      </c>
      <c r="BQ262" s="112" t="s">
        <v>1283</v>
      </c>
      <c r="BR262" s="112" t="s">
        <v>1283</v>
      </c>
      <c r="BS262" s="112" t="s">
        <v>1283</v>
      </c>
      <c r="BT262" s="112" t="s">
        <v>1283</v>
      </c>
      <c r="BU262" s="112" t="s">
        <v>1283</v>
      </c>
      <c r="BV262" s="111">
        <f t="shared" ref="BV262:BV263" si="2212">E262</f>
        <v>47</v>
      </c>
      <c r="BW262" s="113">
        <f t="shared" ref="BW262:BW263" si="2213">I262</f>
        <v>73</v>
      </c>
      <c r="BX262" s="114">
        <f t="shared" ref="BX262:BX263" si="2214">M262</f>
        <v>77</v>
      </c>
      <c r="BY262" s="113" t="str">
        <f t="shared" ref="BY262:BY263" si="2215">Q262</f>
        <v>-</v>
      </c>
      <c r="BZ262" s="114">
        <f t="shared" ref="BZ262:BZ263" si="2216">U262</f>
        <v>115</v>
      </c>
      <c r="CA262" s="113">
        <f t="shared" ref="CA262:CA263" si="2217">Y262</f>
        <v>154</v>
      </c>
      <c r="CB262" s="114">
        <f t="shared" ref="CB262:CB263" si="2218">AC262</f>
        <v>162</v>
      </c>
      <c r="CC262" s="113" t="str">
        <f t="shared" ref="CC262:CC263" si="2219">AG262</f>
        <v>-</v>
      </c>
      <c r="CD262" s="114">
        <f t="shared" ref="CD262:CD263" si="2220">AK262</f>
        <v>190</v>
      </c>
      <c r="CE262" s="113">
        <f t="shared" ref="CE262:CE263" si="2221">AO262</f>
        <v>237</v>
      </c>
      <c r="CF262" s="114">
        <f t="shared" ref="CF262:CF263" si="2222">AS262</f>
        <v>283</v>
      </c>
      <c r="CG262" s="113">
        <f t="shared" ref="CG262:CG263" si="2223">AW262</f>
        <v>306</v>
      </c>
      <c r="CH262" s="111">
        <f t="shared" ref="CH262:CH263" si="2224">G262</f>
        <v>72</v>
      </c>
      <c r="CI262" s="113">
        <f t="shared" ref="CI262:CI263" si="2225">K262</f>
        <v>76</v>
      </c>
      <c r="CJ262" s="114">
        <f t="shared" ref="CJ262:CJ263" si="2226">O262</f>
        <v>107</v>
      </c>
      <c r="CK262" s="114" t="str">
        <f t="shared" ref="CK262:CK263" si="2227">S262</f>
        <v>-</v>
      </c>
      <c r="CL262" s="114">
        <f t="shared" ref="CL262:CL263" si="2228">W262</f>
        <v>153</v>
      </c>
      <c r="CM262" s="114">
        <f t="shared" ref="CM262:CM263" si="2229">AA262</f>
        <v>161</v>
      </c>
      <c r="CN262" s="114">
        <f t="shared" ref="CN262:CN263" si="2230">AE262</f>
        <v>188</v>
      </c>
      <c r="CO262" s="114" t="str">
        <f t="shared" ref="CO262:CO263" si="2231">AI262</f>
        <v>-</v>
      </c>
      <c r="CP262" s="114">
        <f t="shared" ref="CP262:CP263" si="2232">AM262</f>
        <v>227</v>
      </c>
      <c r="CQ262" s="114">
        <f t="shared" ref="CQ262:CQ263" si="2233">AQ262</f>
        <v>271</v>
      </c>
      <c r="CR262" s="114">
        <f t="shared" ref="CR262:CR263" si="2234">AU262</f>
        <v>305</v>
      </c>
      <c r="CS262" s="114">
        <f t="shared" ref="CS262:CS263" si="2235">AY262</f>
        <v>320</v>
      </c>
      <c r="CT262" s="109">
        <f t="shared" ref="CT262:CT263" si="2236">M262-K262</f>
        <v>1</v>
      </c>
    </row>
    <row r="263" spans="1:1029" s="12" customFormat="1" x14ac:dyDescent="0.2">
      <c r="A263" s="9" t="str">
        <f t="shared" si="2209"/>
        <v>mc4r_human_6W25</v>
      </c>
      <c r="B263" s="9" t="s">
        <v>296</v>
      </c>
      <c r="C263" s="9" t="s">
        <v>1683</v>
      </c>
      <c r="D263" s="9" t="str">
        <f>IFERROR(MID(VLOOKUP($B263,Seqs!$A:$B,2,0),E263,1),"")</f>
        <v>S</v>
      </c>
      <c r="E263" s="9">
        <v>47</v>
      </c>
      <c r="F263" s="9" t="str">
        <f>IFERROR(MID(VLOOKUP($B263,Seqs!$A:$B,2,0),G263,1),"")</f>
        <v>N</v>
      </c>
      <c r="G263" s="9">
        <v>72</v>
      </c>
      <c r="H263" s="9" t="str">
        <f>IFERROR(MID(VLOOKUP($B263,Seqs!$A:$B,2,0),I263,1),"")</f>
        <v>K</v>
      </c>
      <c r="I263" s="109">
        <v>73</v>
      </c>
      <c r="J263" s="9" t="str">
        <f>IFERROR(MID(VLOOKUP($B263,Seqs!$A:$B,2,0),K263,1),"")</f>
        <v>H</v>
      </c>
      <c r="K263" s="109">
        <v>76</v>
      </c>
      <c r="L263" s="9" t="str">
        <f>IFERROR(MID(VLOOKUP($B263,Seqs!$A:$B,2,0),M263,1),"")</f>
        <v>S</v>
      </c>
      <c r="M263" s="9">
        <v>77</v>
      </c>
      <c r="N263" s="9" t="str">
        <f>IFERROR(MID(VLOOKUP($B263,Seqs!$A:$B,2,0),O263,1),"")</f>
        <v>T</v>
      </c>
      <c r="O263" s="9">
        <v>110</v>
      </c>
      <c r="P263" s="9" t="str">
        <f>IFERROR(MID(VLOOKUP($B263,Seqs!$A:$B,2,0),Q263,1),"")</f>
        <v/>
      </c>
      <c r="Q263" s="9" t="s">
        <v>23</v>
      </c>
      <c r="R263" s="9" t="str">
        <f>IFERROR(MID(VLOOKUP($B263,Seqs!$A:$B,2,0),S263,1),"")</f>
        <v/>
      </c>
      <c r="S263" s="9" t="s">
        <v>23</v>
      </c>
      <c r="T263" s="9" t="str">
        <f>IFERROR(MID(VLOOKUP($B263,Seqs!$A:$B,2,0),U263,1),"")</f>
        <v>S</v>
      </c>
      <c r="U263" s="9">
        <v>116</v>
      </c>
      <c r="V263" s="9" t="str">
        <f>IFERROR(MID(VLOOKUP($B263,Seqs!$A:$B,2,0),W263,1),"")</f>
        <v>Y</v>
      </c>
      <c r="W263" s="9">
        <v>153</v>
      </c>
      <c r="X263" s="9" t="str">
        <f>IFERROR(MID(VLOOKUP($B263,Seqs!$A:$B,2,0),Y263,1),"")</f>
        <v>A</v>
      </c>
      <c r="Y263" s="9">
        <v>154</v>
      </c>
      <c r="Z263" s="9" t="str">
        <f>IFERROR(MID(VLOOKUP($B263,Seqs!$A:$B,2,0),AA263,1),"")</f>
        <v>M</v>
      </c>
      <c r="AA263" s="9">
        <v>161</v>
      </c>
      <c r="AB263" s="9" t="str">
        <f>IFERROR(MID(VLOOKUP($B263,Seqs!$A:$B,2,0),AC263,1),"")</f>
        <v>T</v>
      </c>
      <c r="AC263" s="9">
        <v>162</v>
      </c>
      <c r="AD263" s="9" t="str">
        <f>IFERROR(MID(VLOOKUP($B263,Seqs!$A:$B,2,0),AE263,1),"")</f>
        <v>S</v>
      </c>
      <c r="AE263" s="9">
        <v>188</v>
      </c>
      <c r="AF263" s="9" t="str">
        <f>IFERROR(MID(VLOOKUP($B263,Seqs!$A:$B,2,0),AG263,1),"")</f>
        <v/>
      </c>
      <c r="AG263" s="9" t="s">
        <v>23</v>
      </c>
      <c r="AH263" s="9" t="str">
        <f>IFERROR(MID(VLOOKUP($B263,Seqs!$A:$B,2,0),AI263,1),"")</f>
        <v/>
      </c>
      <c r="AI263" s="9" t="s">
        <v>23</v>
      </c>
      <c r="AJ263" s="9" t="str">
        <f>IFERROR(MID(VLOOKUP($B263,Seqs!$A:$B,2,0),AK263,1),"")</f>
        <v>S</v>
      </c>
      <c r="AK263" s="9">
        <v>190</v>
      </c>
      <c r="AL263" s="9" t="str">
        <f>IFERROR(MID(VLOOKUP($B263,Seqs!$A:$B,2,0),AM263,1),"")</f>
        <v>M</v>
      </c>
      <c r="AM263" s="9">
        <v>218</v>
      </c>
      <c r="AN263" s="9" t="str">
        <f>IFERROR(MID(VLOOKUP($B263,Seqs!$A:$B,2,0),AO263,1),"")</f>
        <v>G</v>
      </c>
      <c r="AO263" s="9">
        <v>238</v>
      </c>
      <c r="AP263" s="9" t="str">
        <f>IFERROR(MID(VLOOKUP($B263,Seqs!$A:$B,2,0),AQ263,1),"")</f>
        <v>C</v>
      </c>
      <c r="AQ263" s="9">
        <v>271</v>
      </c>
      <c r="AR263" s="9" t="str">
        <f>IFERROR(MID(VLOOKUP($B263,Seqs!$A:$B,2,0),AS263,1),"")</f>
        <v>H</v>
      </c>
      <c r="AS263" s="9">
        <v>283</v>
      </c>
      <c r="AT263" s="9" t="str">
        <f>IFERROR(MID(VLOOKUP($B263,Seqs!$A:$B,2,0),AU263,1),"")</f>
        <v>R</v>
      </c>
      <c r="AU263" s="9">
        <v>305</v>
      </c>
      <c r="AV263" s="9" t="str">
        <f>IFERROR(MID(VLOOKUP($B263,Seqs!$A:$B,2,0),AW263,1),"")</f>
        <v>S</v>
      </c>
      <c r="AW263" s="9">
        <v>306</v>
      </c>
      <c r="AX263" s="9" t="str">
        <f>IFERROR(MID(VLOOKUP($B263,Seqs!$A:$B,2,0),AY263,1),"")</f>
        <v>Y</v>
      </c>
      <c r="AY263" s="9">
        <v>320</v>
      </c>
      <c r="AZ263" s="110" t="str">
        <f>VLOOKUP(B263,Classification!A:D,2,0)</f>
        <v>A</v>
      </c>
      <c r="BA263" s="98" t="str">
        <f>VLOOKUP(B263,Classification!A:D,4,0)</f>
        <v>Melanocortin</v>
      </c>
      <c r="BB263" s="36" t="b">
        <f t="shared" si="2210"/>
        <v>1</v>
      </c>
      <c r="BC263" s="109">
        <f t="shared" si="2211"/>
        <v>240</v>
      </c>
      <c r="BD263" s="13" t="s">
        <v>1372</v>
      </c>
      <c r="BE263" s="9" t="s">
        <v>1370</v>
      </c>
      <c r="BF263" s="119">
        <v>2.75</v>
      </c>
      <c r="BG263" s="51" t="s">
        <v>1</v>
      </c>
      <c r="BH263" s="51" t="s">
        <v>1</v>
      </c>
      <c r="BJ263" s="111" t="s">
        <v>1283</v>
      </c>
      <c r="BK263" s="112" t="s">
        <v>1283</v>
      </c>
      <c r="BL263" s="112" t="s">
        <v>1283</v>
      </c>
      <c r="BM263" s="112" t="s">
        <v>1283</v>
      </c>
      <c r="BN263" s="112" t="s">
        <v>1283</v>
      </c>
      <c r="BO263" s="112" t="s">
        <v>1283</v>
      </c>
      <c r="BP263" s="112" t="s">
        <v>1283</v>
      </c>
      <c r="BQ263" s="112" t="s">
        <v>1283</v>
      </c>
      <c r="BR263" s="112" t="s">
        <v>1283</v>
      </c>
      <c r="BS263" s="112" t="s">
        <v>1283</v>
      </c>
      <c r="BT263" s="112" t="s">
        <v>1283</v>
      </c>
      <c r="BU263" s="112" t="s">
        <v>1283</v>
      </c>
      <c r="BV263" s="111">
        <f t="shared" si="2212"/>
        <v>47</v>
      </c>
      <c r="BW263" s="113">
        <f t="shared" si="2213"/>
        <v>73</v>
      </c>
      <c r="BX263" s="114">
        <f t="shared" si="2214"/>
        <v>77</v>
      </c>
      <c r="BY263" s="113" t="str">
        <f t="shared" si="2215"/>
        <v>-</v>
      </c>
      <c r="BZ263" s="114">
        <f t="shared" si="2216"/>
        <v>116</v>
      </c>
      <c r="CA263" s="113">
        <f t="shared" si="2217"/>
        <v>154</v>
      </c>
      <c r="CB263" s="114">
        <f t="shared" si="2218"/>
        <v>162</v>
      </c>
      <c r="CC263" s="113" t="str">
        <f t="shared" si="2219"/>
        <v>-</v>
      </c>
      <c r="CD263" s="114">
        <f t="shared" si="2220"/>
        <v>190</v>
      </c>
      <c r="CE263" s="113">
        <f t="shared" si="2221"/>
        <v>238</v>
      </c>
      <c r="CF263" s="114">
        <f t="shared" si="2222"/>
        <v>283</v>
      </c>
      <c r="CG263" s="113">
        <f t="shared" si="2223"/>
        <v>306</v>
      </c>
      <c r="CH263" s="111">
        <f t="shared" si="2224"/>
        <v>72</v>
      </c>
      <c r="CI263" s="113">
        <f t="shared" si="2225"/>
        <v>76</v>
      </c>
      <c r="CJ263" s="114">
        <f t="shared" si="2226"/>
        <v>110</v>
      </c>
      <c r="CK263" s="114" t="str">
        <f t="shared" si="2227"/>
        <v>-</v>
      </c>
      <c r="CL263" s="114">
        <f t="shared" si="2228"/>
        <v>153</v>
      </c>
      <c r="CM263" s="114">
        <f t="shared" si="2229"/>
        <v>161</v>
      </c>
      <c r="CN263" s="114">
        <f t="shared" si="2230"/>
        <v>188</v>
      </c>
      <c r="CO263" s="114" t="str">
        <f t="shared" si="2231"/>
        <v>-</v>
      </c>
      <c r="CP263" s="114">
        <f t="shared" si="2232"/>
        <v>218</v>
      </c>
      <c r="CQ263" s="114">
        <f t="shared" si="2233"/>
        <v>271</v>
      </c>
      <c r="CR263" s="114">
        <f t="shared" si="2234"/>
        <v>305</v>
      </c>
      <c r="CS263" s="114">
        <f t="shared" si="2235"/>
        <v>320</v>
      </c>
      <c r="CT263" s="109">
        <f t="shared" si="2236"/>
        <v>1</v>
      </c>
    </row>
    <row r="264" spans="1:1029" x14ac:dyDescent="0.2">
      <c r="A264" s="3" t="str">
        <f t="shared" ref="A264:A265" si="2237">CONCATENATE(B264,"_",C264)</f>
        <v>mtr1a_human__wt</v>
      </c>
      <c r="B264" s="3" t="s">
        <v>310</v>
      </c>
      <c r="C264" s="3" t="s">
        <v>100</v>
      </c>
      <c r="D264" s="3" t="str">
        <f>IFERROR(MID(VLOOKUP($B264,Seqs!$A:$B,2,0),E264,1),"")</f>
        <v>P</v>
      </c>
      <c r="E264" s="3">
        <v>23</v>
      </c>
      <c r="F264" s="3" t="str">
        <f>IFERROR(MID(VLOOKUP($B264,Seqs!$A:$B,2,0),G264,1),"")</f>
        <v>N</v>
      </c>
      <c r="G264" s="3">
        <v>55</v>
      </c>
      <c r="H264" s="3" t="str">
        <f>IFERROR(MID(VLOOKUP($B264,Seqs!$A:$B,2,0),I264,1),"")</f>
        <v>K</v>
      </c>
      <c r="I264" s="23">
        <v>56</v>
      </c>
      <c r="J264" s="3" t="str">
        <f>IFERROR(MID(VLOOKUP($B264,Seqs!$A:$B,2,0),K264,1),"")</f>
        <v>R</v>
      </c>
      <c r="K264" s="23">
        <v>59</v>
      </c>
      <c r="L264" s="3" t="str">
        <f>IFERROR(MID(VLOOKUP($B264,Seqs!$A:$B,2,0),M264,1),"")</f>
        <v>N</v>
      </c>
      <c r="M264" s="3">
        <v>60</v>
      </c>
      <c r="N264" s="3" t="str">
        <f>IFERROR(MID(VLOOKUP($B264,Seqs!$A:$B,2,0),O264,1),"")</f>
        <v>N</v>
      </c>
      <c r="O264" s="3">
        <v>91</v>
      </c>
      <c r="P264" s="3" t="str">
        <f>IFERROR(MID(VLOOKUP($B264,Seqs!$A:$B,2,0),Q264,1),"")</f>
        <v>G</v>
      </c>
      <c r="Q264" s="3">
        <v>92</v>
      </c>
      <c r="R264" s="3" t="str">
        <f>IFERROR(MID(VLOOKUP($B264,Seqs!$A:$B,2,0),S264,1),"")</f>
        <v>L</v>
      </c>
      <c r="S264" s="3">
        <v>95</v>
      </c>
      <c r="T264" s="3" t="str">
        <f>IFERROR(MID(VLOOKUP($B264,Seqs!$A:$B,2,0),U264,1),"")</f>
        <v>G</v>
      </c>
      <c r="U264" s="3">
        <v>96</v>
      </c>
      <c r="V264" s="3" t="str">
        <f>IFERROR(MID(VLOOKUP($B264,Seqs!$A:$B,2,0),W264,1),"")</f>
        <v>H</v>
      </c>
      <c r="W264" s="3">
        <v>131</v>
      </c>
      <c r="X264" s="3" t="str">
        <f>IFERROR(MID(VLOOKUP($B264,Seqs!$A:$B,2,0),Y264,1),"")</f>
        <v>S</v>
      </c>
      <c r="Y264" s="3">
        <v>132</v>
      </c>
      <c r="Z264" s="3" t="str">
        <f>IFERROR(MID(VLOOKUP($B264,Seqs!$A:$B,2,0),AA264,1),"")</f>
        <v>Y</v>
      </c>
      <c r="AA264" s="3">
        <v>139</v>
      </c>
      <c r="AB264" s="3" t="str">
        <f>IFERROR(MID(VLOOKUP($B264,Seqs!$A:$B,2,0),AC264,1),"")</f>
        <v>S</v>
      </c>
      <c r="AC264" s="3">
        <v>140</v>
      </c>
      <c r="AD264" s="3" t="str">
        <f>IFERROR(MID(VLOOKUP($B264,Seqs!$A:$B,2,0),AE264,1),"")</f>
        <v>G</v>
      </c>
      <c r="AE264" s="3">
        <v>166</v>
      </c>
      <c r="AF264" s="3" t="str">
        <f>IFERROR(MID(VLOOKUP($B264,Seqs!$A:$B,2,0),AG264,1),"")</f>
        <v>C</v>
      </c>
      <c r="AG264" s="3">
        <v>177</v>
      </c>
      <c r="AH264" s="3" t="str">
        <f>IFERROR(MID(VLOOKUP($B264,Seqs!$A:$B,2,0),AI264,1),"")</f>
        <v>F</v>
      </c>
      <c r="AI264" s="3">
        <v>179</v>
      </c>
      <c r="AJ264" s="3" t="str">
        <f>IFERROR(MID(VLOOKUP($B264,Seqs!$A:$B,2,0),AK264,1),"")</f>
        <v>S</v>
      </c>
      <c r="AK264" s="3">
        <v>184</v>
      </c>
      <c r="AL264" s="3" t="str">
        <f>IFERROR(MID(VLOOKUP($B264,Seqs!$A:$B,2,0),AM264,1),"")</f>
        <v>V</v>
      </c>
      <c r="AM264" s="3">
        <v>221</v>
      </c>
      <c r="AN264" s="3" t="str">
        <f>IFERROR(MID(VLOOKUP($B264,Seqs!$A:$B,2,0),AO264,1),"")</f>
        <v>P</v>
      </c>
      <c r="AO264" s="3">
        <v>227</v>
      </c>
      <c r="AP264" s="3" t="str">
        <f>IFERROR(MID(VLOOKUP($B264,Seqs!$A:$B,2,0),AQ264,1),"")</f>
        <v>D</v>
      </c>
      <c r="AQ264" s="3">
        <v>264</v>
      </c>
      <c r="AR264" s="3" t="str">
        <f>IFERROR(MID(VLOOKUP($B264,Seqs!$A:$B,2,0),AS264,1),"")</f>
        <v>P</v>
      </c>
      <c r="AS264" s="3">
        <v>273</v>
      </c>
      <c r="AT264" s="3" t="str">
        <f>IFERROR(MID(VLOOKUP($B264,Seqs!$A:$B,2,0),AU264,1),"")</f>
        <v>L</v>
      </c>
      <c r="AU264" s="3">
        <v>298</v>
      </c>
      <c r="AV264" s="3" t="str">
        <f>IFERROR(MID(VLOOKUP($B264,Seqs!$A:$B,2,0),AW264,1),"")</f>
        <v>N</v>
      </c>
      <c r="AW264" s="3">
        <v>299</v>
      </c>
      <c r="AX264" s="3" t="str">
        <f>IFERROR(MID(VLOOKUP($B264,Seqs!$A:$B,2,0),AY264,1),"")</f>
        <v>T</v>
      </c>
      <c r="AY264" s="3">
        <v>315</v>
      </c>
      <c r="AZ264" s="77" t="str">
        <f>VLOOKUP(B264,Classification!A:D,2,0)</f>
        <v>A</v>
      </c>
      <c r="BA264" s="94" t="str">
        <f>VLOOKUP(B264,Classification!A:D,4,0)</f>
        <v>Melatonin</v>
      </c>
      <c r="BB264" s="27" t="b">
        <f t="shared" ref="BB264:BB265" si="2238"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23">
        <f t="shared" ref="BC264:BC266" si="2239">_xlfn.AGGREGATE(9,6,CH264:CS264)-_xlfn.AGGREGATE(9,6,BV264:CG264)+12</f>
        <v>266</v>
      </c>
      <c r="BD264" s="5" t="s">
        <v>23</v>
      </c>
      <c r="BE264" s="3" t="s">
        <v>23</v>
      </c>
      <c r="BF264" s="118" t="s">
        <v>23</v>
      </c>
      <c r="BG264" s="49" t="s">
        <v>1373</v>
      </c>
      <c r="BH264" s="49" t="s">
        <v>1373</v>
      </c>
      <c r="BI264" s="1"/>
      <c r="BJ264" s="70" t="s">
        <v>1283</v>
      </c>
      <c r="BK264" s="57" t="s">
        <v>1283</v>
      </c>
      <c r="BL264" s="57" t="s">
        <v>1283</v>
      </c>
      <c r="BM264" s="57" t="s">
        <v>1283</v>
      </c>
      <c r="BN264" s="57" t="s">
        <v>1283</v>
      </c>
      <c r="BO264" s="57" t="s">
        <v>1283</v>
      </c>
      <c r="BP264" s="57" t="s">
        <v>1283</v>
      </c>
      <c r="BQ264" s="57" t="s">
        <v>1283</v>
      </c>
      <c r="BR264" s="57" t="s">
        <v>1283</v>
      </c>
      <c r="BS264" s="57" t="s">
        <v>1283</v>
      </c>
      <c r="BT264" s="57" t="s">
        <v>1283</v>
      </c>
      <c r="BU264" s="57" t="s">
        <v>1283</v>
      </c>
      <c r="BV264" s="70">
        <f t="shared" ref="BV264:BV265" si="2240">E264</f>
        <v>23</v>
      </c>
      <c r="BW264" s="71">
        <f t="shared" ref="BW264:BW265" si="2241">I264</f>
        <v>56</v>
      </c>
      <c r="BX264" s="72">
        <f t="shared" ref="BX264:BX265" si="2242">M264</f>
        <v>60</v>
      </c>
      <c r="BY264" s="71">
        <f t="shared" ref="BY264:BY265" si="2243">Q264</f>
        <v>92</v>
      </c>
      <c r="BZ264" s="72">
        <f t="shared" ref="BZ264:BZ265" si="2244">U264</f>
        <v>96</v>
      </c>
      <c r="CA264" s="71">
        <f t="shared" ref="CA264:CA265" si="2245">Y264</f>
        <v>132</v>
      </c>
      <c r="CB264" s="72">
        <f t="shared" ref="CB264:CB265" si="2246">AC264</f>
        <v>140</v>
      </c>
      <c r="CC264" s="71">
        <f t="shared" ref="CC264:CC265" si="2247">AG264</f>
        <v>177</v>
      </c>
      <c r="CD264" s="72">
        <f t="shared" ref="CD264:CD265" si="2248">AK264</f>
        <v>184</v>
      </c>
      <c r="CE264" s="71">
        <f t="shared" ref="CE264:CE265" si="2249">AO264</f>
        <v>227</v>
      </c>
      <c r="CF264" s="72">
        <f t="shared" ref="CF264:CF265" si="2250">AS264</f>
        <v>273</v>
      </c>
      <c r="CG264" s="71">
        <f t="shared" ref="CG264:CG265" si="2251">AW264</f>
        <v>299</v>
      </c>
      <c r="CH264" s="70">
        <f t="shared" ref="CH264:CH265" si="2252">G264</f>
        <v>55</v>
      </c>
      <c r="CI264" s="71">
        <f t="shared" ref="CI264:CI265" si="2253">K264</f>
        <v>59</v>
      </c>
      <c r="CJ264" s="72">
        <f t="shared" ref="CJ264:CJ265" si="2254">O264</f>
        <v>91</v>
      </c>
      <c r="CK264" s="72">
        <f t="shared" ref="CK264:CK265" si="2255">S264</f>
        <v>95</v>
      </c>
      <c r="CL264" s="72">
        <f t="shared" ref="CL264:CL265" si="2256">W264</f>
        <v>131</v>
      </c>
      <c r="CM264" s="72">
        <f t="shared" ref="CM264:CM265" si="2257">AA264</f>
        <v>139</v>
      </c>
      <c r="CN264" s="72">
        <f t="shared" ref="CN264:CN265" si="2258">AE264</f>
        <v>166</v>
      </c>
      <c r="CO264" s="72">
        <f t="shared" ref="CO264:CO265" si="2259">AI264</f>
        <v>179</v>
      </c>
      <c r="CP264" s="72">
        <f t="shared" ref="CP264:CP265" si="2260">AM264</f>
        <v>221</v>
      </c>
      <c r="CQ264" s="72">
        <f t="shared" ref="CQ264:CQ265" si="2261">AQ264</f>
        <v>264</v>
      </c>
      <c r="CR264" s="72">
        <f t="shared" ref="CR264:CR265" si="2262">AU264</f>
        <v>298</v>
      </c>
      <c r="CS264" s="72">
        <f t="shared" ref="CS264:CS265" si="2263">AY264</f>
        <v>315</v>
      </c>
      <c r="CT264" s="23">
        <f t="shared" ref="CT264:CT265" si="2264">M264-K264</f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2237"/>
        <v>mtr1a_human_6ME2</v>
      </c>
      <c r="B265" s="3" t="s">
        <v>310</v>
      </c>
      <c r="C265" s="3" t="s">
        <v>1560</v>
      </c>
      <c r="D265" s="3" t="str">
        <f>IFERROR(MID(VLOOKUP($B265,Seqs!$A:$B,2,0),E265,1),"")</f>
        <v>P</v>
      </c>
      <c r="E265" s="3">
        <v>23</v>
      </c>
      <c r="F265" s="3" t="str">
        <f>IFERROR(MID(VLOOKUP($B265,Seqs!$A:$B,2,0),G265,1),"")</f>
        <v>N</v>
      </c>
      <c r="G265" s="3">
        <v>55</v>
      </c>
      <c r="H265" s="3" t="str">
        <f>IFERROR(MID(VLOOKUP($B265,Seqs!$A:$B,2,0),I265,1),"")</f>
        <v>K</v>
      </c>
      <c r="I265" s="23">
        <v>56</v>
      </c>
      <c r="J265" s="3" t="str">
        <f>IFERROR(MID(VLOOKUP($B265,Seqs!$A:$B,2,0),K265,1),"")</f>
        <v>R</v>
      </c>
      <c r="K265" s="23">
        <v>59</v>
      </c>
      <c r="L265" s="3" t="str">
        <f>IFERROR(MID(VLOOKUP($B265,Seqs!$A:$B,2,0),M265,1),"")</f>
        <v>N</v>
      </c>
      <c r="M265" s="3">
        <v>60</v>
      </c>
      <c r="N265" s="3" t="str">
        <f>IFERROR(MID(VLOOKUP($B265,Seqs!$A:$B,2,0),O265,1),"")</f>
        <v>N</v>
      </c>
      <c r="O265" s="3">
        <v>91</v>
      </c>
      <c r="P265" s="3" t="str">
        <f>IFERROR(MID(VLOOKUP($B265,Seqs!$A:$B,2,0),Q265,1),"")</f>
        <v>G</v>
      </c>
      <c r="Q265" s="3">
        <v>92</v>
      </c>
      <c r="R265" s="3" t="str">
        <f>IFERROR(MID(VLOOKUP($B265,Seqs!$A:$B,2,0),S265,1),"")</f>
        <v>L</v>
      </c>
      <c r="S265" s="3">
        <v>95</v>
      </c>
      <c r="T265" s="3" t="str">
        <f>IFERROR(MID(VLOOKUP($B265,Seqs!$A:$B,2,0),U265,1),"")</f>
        <v>G</v>
      </c>
      <c r="U265" s="3">
        <v>96</v>
      </c>
      <c r="V265" s="3" t="str">
        <f>IFERROR(MID(VLOOKUP($B265,Seqs!$A:$B,2,0),W265,1),"")</f>
        <v>Y</v>
      </c>
      <c r="W265" s="3">
        <v>135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N</v>
      </c>
      <c r="AC265" s="3">
        <v>143</v>
      </c>
      <c r="AD265" s="3" t="str">
        <f>IFERROR(MID(VLOOKUP($B265,Seqs!$A:$B,2,0),AE265,1),"")</f>
        <v>G</v>
      </c>
      <c r="AE265" s="3">
        <v>166</v>
      </c>
      <c r="AF265" s="3" t="str">
        <f>IFERROR(MID(VLOOKUP($B265,Seqs!$A:$B,2,0),AG265,1),"")</f>
        <v>C</v>
      </c>
      <c r="AG265" s="3">
        <v>177</v>
      </c>
      <c r="AH265" s="3" t="str">
        <f>IFERROR(MID(VLOOKUP($B265,Seqs!$A:$B,2,0),AI265,1),"")</f>
        <v>F</v>
      </c>
      <c r="AI265" s="3">
        <v>179</v>
      </c>
      <c r="AJ265" s="3" t="str">
        <f>IFERROR(MID(VLOOKUP($B265,Seqs!$A:$B,2,0),AK265,1),"")</f>
        <v>S</v>
      </c>
      <c r="AK265" s="3">
        <v>184</v>
      </c>
      <c r="AL265" s="3" t="str">
        <f>IFERROR(MID(VLOOKUP($B265,Seqs!$A:$B,2,0),AM265,1),"")</f>
        <v>R</v>
      </c>
      <c r="AM265" s="3">
        <v>218</v>
      </c>
      <c r="AN265" s="3" t="str">
        <f>IFERROR(MID(VLOOKUP($B265,Seqs!$A:$B,2,0),AO265,1),"")</f>
        <v>R</v>
      </c>
      <c r="AO265" s="3">
        <v>235</v>
      </c>
      <c r="AP265" s="3" t="str">
        <f>IFERROR(MID(VLOOKUP($B265,Seqs!$A:$B,2,0),AQ265,1),"")</f>
        <v>D</v>
      </c>
      <c r="AQ265" s="3">
        <v>264</v>
      </c>
      <c r="AR265" s="3" t="str">
        <f>IFERROR(MID(VLOOKUP($B265,Seqs!$A:$B,2,0),AS265,1),"")</f>
        <v>P</v>
      </c>
      <c r="AS265" s="3">
        <v>273</v>
      </c>
      <c r="AT265" s="3" t="str">
        <f>IFERROR(MID(VLOOKUP($B265,Seqs!$A:$B,2,0),AU265,1),"")</f>
        <v>L</v>
      </c>
      <c r="AU265" s="3">
        <v>298</v>
      </c>
      <c r="AV265" s="3" t="str">
        <f>IFERROR(MID(VLOOKUP($B265,Seqs!$A:$B,2,0),AW265,1),"")</f>
        <v>N</v>
      </c>
      <c r="AW265" s="3">
        <v>299</v>
      </c>
      <c r="AX265" s="3" t="str">
        <f>IFERROR(MID(VLOOKUP($B265,Seqs!$A:$B,2,0),AY265,1),"")</f>
        <v>T</v>
      </c>
      <c r="AY265" s="3">
        <v>315</v>
      </c>
      <c r="AZ265" s="77" t="str">
        <f>VLOOKUP(B265,Classification!A:D,2,0)</f>
        <v>A</v>
      </c>
      <c r="BA265" s="94" t="str">
        <f>VLOOKUP(B265,Classification!A:D,4,0)</f>
        <v>Melatonin</v>
      </c>
      <c r="BB265" s="27" t="b">
        <f t="shared" si="2238"/>
        <v>1</v>
      </c>
      <c r="BC265" s="23">
        <f t="shared" si="2239"/>
        <v>249</v>
      </c>
      <c r="BD265" s="5" t="s">
        <v>1372</v>
      </c>
      <c r="BE265" s="3" t="s">
        <v>1370</v>
      </c>
      <c r="BF265" s="118">
        <v>2.8</v>
      </c>
      <c r="BG265" s="49" t="s">
        <v>1</v>
      </c>
      <c r="BH265" s="49" t="s">
        <v>1</v>
      </c>
      <c r="BI265" s="1"/>
      <c r="BJ265" s="70" t="s">
        <v>1283</v>
      </c>
      <c r="BK265" s="57" t="s">
        <v>1283</v>
      </c>
      <c r="BL265" s="57" t="s">
        <v>1283</v>
      </c>
      <c r="BM265" s="57" t="s">
        <v>1283</v>
      </c>
      <c r="BN265" s="57" t="s">
        <v>1283</v>
      </c>
      <c r="BO265" s="57" t="s">
        <v>1283</v>
      </c>
      <c r="BP265" s="57" t="s">
        <v>1283</v>
      </c>
      <c r="BQ265" s="57" t="s">
        <v>1283</v>
      </c>
      <c r="BR265" s="57" t="s">
        <v>1283</v>
      </c>
      <c r="BS265" s="57" t="s">
        <v>1283</v>
      </c>
      <c r="BT265" s="57" t="s">
        <v>1283</v>
      </c>
      <c r="BU265" s="57" t="s">
        <v>1283</v>
      </c>
      <c r="BV265" s="70">
        <f t="shared" si="2240"/>
        <v>23</v>
      </c>
      <c r="BW265" s="71">
        <f t="shared" si="2241"/>
        <v>56</v>
      </c>
      <c r="BX265" s="72">
        <f t="shared" si="2242"/>
        <v>60</v>
      </c>
      <c r="BY265" s="71">
        <f t="shared" si="2243"/>
        <v>92</v>
      </c>
      <c r="BZ265" s="72">
        <f t="shared" si="2244"/>
        <v>96</v>
      </c>
      <c r="CA265" s="71" t="str">
        <f t="shared" si="2245"/>
        <v>-</v>
      </c>
      <c r="CB265" s="72">
        <f t="shared" si="2246"/>
        <v>143</v>
      </c>
      <c r="CC265" s="71">
        <f t="shared" si="2247"/>
        <v>177</v>
      </c>
      <c r="CD265" s="72">
        <f t="shared" si="2248"/>
        <v>184</v>
      </c>
      <c r="CE265" s="71">
        <f t="shared" si="2249"/>
        <v>235</v>
      </c>
      <c r="CF265" s="72">
        <f t="shared" si="2250"/>
        <v>273</v>
      </c>
      <c r="CG265" s="71">
        <f t="shared" si="2251"/>
        <v>299</v>
      </c>
      <c r="CH265" s="70">
        <f t="shared" si="2252"/>
        <v>55</v>
      </c>
      <c r="CI265" s="71">
        <f t="shared" si="2253"/>
        <v>59</v>
      </c>
      <c r="CJ265" s="72">
        <f t="shared" si="2254"/>
        <v>91</v>
      </c>
      <c r="CK265" s="72">
        <f t="shared" si="2255"/>
        <v>95</v>
      </c>
      <c r="CL265" s="72">
        <f t="shared" si="2256"/>
        <v>135</v>
      </c>
      <c r="CM265" s="72" t="str">
        <f t="shared" si="2257"/>
        <v>-</v>
      </c>
      <c r="CN265" s="72">
        <f t="shared" si="2258"/>
        <v>166</v>
      </c>
      <c r="CO265" s="72">
        <f t="shared" si="2259"/>
        <v>179</v>
      </c>
      <c r="CP265" s="72">
        <f t="shared" si="2260"/>
        <v>218</v>
      </c>
      <c r="CQ265" s="72">
        <f t="shared" si="2261"/>
        <v>264</v>
      </c>
      <c r="CR265" s="72">
        <f t="shared" si="2262"/>
        <v>298</v>
      </c>
      <c r="CS265" s="72">
        <f t="shared" si="2263"/>
        <v>315</v>
      </c>
      <c r="CT265" s="23">
        <f t="shared" si="2264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ref="A266" si="2265">CONCATENATE(B266,"_",C266)</f>
        <v>mtr1a_human_6ME3</v>
      </c>
      <c r="B266" s="3" t="s">
        <v>310</v>
      </c>
      <c r="C266" s="3" t="s">
        <v>1561</v>
      </c>
      <c r="D266" s="3" t="str">
        <f>IFERROR(MID(VLOOKUP($B266,Seqs!$A:$B,2,0),E266,1),"")</f>
        <v>P</v>
      </c>
      <c r="E266" s="3">
        <v>23</v>
      </c>
      <c r="F266" s="3" t="str">
        <f>IFERROR(MID(VLOOKUP($B266,Seqs!$A:$B,2,0),G266,1),"")</f>
        <v>N</v>
      </c>
      <c r="G266" s="3">
        <v>55</v>
      </c>
      <c r="H266" s="3" t="str">
        <f>IFERROR(MID(VLOOKUP($B266,Seqs!$A:$B,2,0),I266,1),"")</f>
        <v>K</v>
      </c>
      <c r="I266" s="23">
        <v>56</v>
      </c>
      <c r="J266" s="3" t="str">
        <f>IFERROR(MID(VLOOKUP($B266,Seqs!$A:$B,2,0),K266,1),"")</f>
        <v>R</v>
      </c>
      <c r="K266" s="23">
        <v>59</v>
      </c>
      <c r="L266" s="3" t="str">
        <f>IFERROR(MID(VLOOKUP($B266,Seqs!$A:$B,2,0),M266,1),"")</f>
        <v>N</v>
      </c>
      <c r="M266" s="3">
        <v>60</v>
      </c>
      <c r="N266" s="3" t="str">
        <f>IFERROR(MID(VLOOKUP($B266,Seqs!$A:$B,2,0),O266,1),"")</f>
        <v>N</v>
      </c>
      <c r="O266" s="3">
        <v>91</v>
      </c>
      <c r="P266" s="3" t="str">
        <f>IFERROR(MID(VLOOKUP($B266,Seqs!$A:$B,2,0),Q266,1),"")</f>
        <v>G</v>
      </c>
      <c r="Q266" s="3">
        <v>92</v>
      </c>
      <c r="R266" s="3" t="str">
        <f>IFERROR(MID(VLOOKUP($B266,Seqs!$A:$B,2,0),S266,1),"")</f>
        <v>L</v>
      </c>
      <c r="S266" s="3">
        <v>95</v>
      </c>
      <c r="T266" s="3" t="str">
        <f>IFERROR(MID(VLOOKUP($B266,Seqs!$A:$B,2,0),U266,1),"")</f>
        <v>G</v>
      </c>
      <c r="U266" s="3">
        <v>96</v>
      </c>
      <c r="V266" s="3" t="str">
        <f>IFERROR(MID(VLOOKUP($B266,Seqs!$A:$B,2,0),W266,1),"")</f>
        <v>Y</v>
      </c>
      <c r="W266" s="3">
        <v>135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N</v>
      </c>
      <c r="AC266" s="3">
        <v>143</v>
      </c>
      <c r="AD266" s="3" t="str">
        <f>IFERROR(MID(VLOOKUP($B266,Seqs!$A:$B,2,0),AE266,1),"")</f>
        <v>G</v>
      </c>
      <c r="AE266" s="3">
        <v>166</v>
      </c>
      <c r="AF266" s="3" t="str">
        <f>IFERROR(MID(VLOOKUP($B266,Seqs!$A:$B,2,0),AG266,1),"")</f>
        <v>C</v>
      </c>
      <c r="AG266" s="3">
        <v>177</v>
      </c>
      <c r="AH266" s="3" t="str">
        <f>IFERROR(MID(VLOOKUP($B266,Seqs!$A:$B,2,0),AI266,1),"")</f>
        <v>F</v>
      </c>
      <c r="AI266" s="3">
        <v>179</v>
      </c>
      <c r="AJ266" s="3" t="str">
        <f>IFERROR(MID(VLOOKUP($B266,Seqs!$A:$B,2,0),AK266,1),"")</f>
        <v>S</v>
      </c>
      <c r="AK266" s="3">
        <v>184</v>
      </c>
      <c r="AL266" s="3" t="str">
        <f>IFERROR(MID(VLOOKUP($B266,Seqs!$A:$B,2,0),AM266,1),"")</f>
        <v>R</v>
      </c>
      <c r="AM266" s="3">
        <v>218</v>
      </c>
      <c r="AN266" s="3" t="str">
        <f>IFERROR(MID(VLOOKUP($B266,Seqs!$A:$B,2,0),AO266,1),"")</f>
        <v>R</v>
      </c>
      <c r="AO266" s="3">
        <v>235</v>
      </c>
      <c r="AP266" s="3" t="str">
        <f>IFERROR(MID(VLOOKUP($B266,Seqs!$A:$B,2,0),AQ266,1),"")</f>
        <v>D</v>
      </c>
      <c r="AQ266" s="3">
        <v>264</v>
      </c>
      <c r="AR266" s="3" t="str">
        <f>IFERROR(MID(VLOOKUP($B266,Seqs!$A:$B,2,0),AS266,1),"")</f>
        <v>P</v>
      </c>
      <c r="AS266" s="3">
        <v>273</v>
      </c>
      <c r="AT266" s="3" t="str">
        <f>IFERROR(MID(VLOOKUP($B266,Seqs!$A:$B,2,0),AU266,1),"")</f>
        <v>L</v>
      </c>
      <c r="AU266" s="3">
        <v>298</v>
      </c>
      <c r="AV266" s="3" t="str">
        <f>IFERROR(MID(VLOOKUP($B266,Seqs!$A:$B,2,0),AW266,1),"")</f>
        <v>N</v>
      </c>
      <c r="AW266" s="3">
        <v>299</v>
      </c>
      <c r="AX266" s="3" t="str">
        <f>IFERROR(MID(VLOOKUP($B266,Seqs!$A:$B,2,0),AY266,1),"")</f>
        <v>T</v>
      </c>
      <c r="AY266" s="3">
        <v>315</v>
      </c>
      <c r="AZ266" s="77" t="str">
        <f>VLOOKUP(B266,Classification!A:D,2,0)</f>
        <v>A</v>
      </c>
      <c r="BA266" s="94" t="str">
        <f>VLOOKUP(B266,Classification!A:D,4,0)</f>
        <v>Melatonin</v>
      </c>
      <c r="BB266" s="27" t="b">
        <f t="shared" ref="BB266" si="2266"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23">
        <f t="shared" si="2239"/>
        <v>249</v>
      </c>
      <c r="BD266" s="5" t="s">
        <v>23</v>
      </c>
      <c r="BE266" s="3" t="s">
        <v>1370</v>
      </c>
      <c r="BF266" s="118">
        <v>2.9</v>
      </c>
      <c r="BG266" s="49" t="s">
        <v>1</v>
      </c>
      <c r="BH266" s="49" t="s">
        <v>1</v>
      </c>
      <c r="BI266" s="1"/>
      <c r="BJ266" s="70" t="s">
        <v>1283</v>
      </c>
      <c r="BK266" s="57" t="s">
        <v>1283</v>
      </c>
      <c r="BL266" s="57" t="s">
        <v>1283</v>
      </c>
      <c r="BM266" s="57" t="s">
        <v>1283</v>
      </c>
      <c r="BN266" s="57" t="s">
        <v>1283</v>
      </c>
      <c r="BO266" s="57" t="s">
        <v>1283</v>
      </c>
      <c r="BP266" s="57" t="s">
        <v>1283</v>
      </c>
      <c r="BQ266" s="57" t="s">
        <v>1283</v>
      </c>
      <c r="BR266" s="57" t="s">
        <v>1283</v>
      </c>
      <c r="BS266" s="57" t="s">
        <v>1283</v>
      </c>
      <c r="BT266" s="57" t="s">
        <v>1283</v>
      </c>
      <c r="BU266" s="57" t="s">
        <v>1283</v>
      </c>
      <c r="BV266" s="70">
        <f t="shared" ref="BV266" si="2267">E266</f>
        <v>23</v>
      </c>
      <c r="BW266" s="71">
        <f t="shared" ref="BW266" si="2268">I266</f>
        <v>56</v>
      </c>
      <c r="BX266" s="72">
        <f t="shared" ref="BX266" si="2269">M266</f>
        <v>60</v>
      </c>
      <c r="BY266" s="71">
        <f t="shared" ref="BY266" si="2270">Q266</f>
        <v>92</v>
      </c>
      <c r="BZ266" s="72">
        <f t="shared" ref="BZ266" si="2271">U266</f>
        <v>96</v>
      </c>
      <c r="CA266" s="71" t="str">
        <f t="shared" ref="CA266" si="2272">Y266</f>
        <v>-</v>
      </c>
      <c r="CB266" s="72">
        <f t="shared" ref="CB266" si="2273">AC266</f>
        <v>143</v>
      </c>
      <c r="CC266" s="71">
        <f t="shared" ref="CC266" si="2274">AG266</f>
        <v>177</v>
      </c>
      <c r="CD266" s="72">
        <f t="shared" ref="CD266" si="2275">AK266</f>
        <v>184</v>
      </c>
      <c r="CE266" s="71">
        <f t="shared" ref="CE266" si="2276">AO266</f>
        <v>235</v>
      </c>
      <c r="CF266" s="72">
        <f t="shared" ref="CF266" si="2277">AS266</f>
        <v>273</v>
      </c>
      <c r="CG266" s="71">
        <f t="shared" ref="CG266" si="2278">AW266</f>
        <v>299</v>
      </c>
      <c r="CH266" s="70">
        <f t="shared" ref="CH266" si="2279">G266</f>
        <v>55</v>
      </c>
      <c r="CI266" s="71">
        <f t="shared" ref="CI266" si="2280">K266</f>
        <v>59</v>
      </c>
      <c r="CJ266" s="72">
        <f t="shared" ref="CJ266" si="2281">O266</f>
        <v>91</v>
      </c>
      <c r="CK266" s="72">
        <f t="shared" ref="CK266" si="2282">S266</f>
        <v>95</v>
      </c>
      <c r="CL266" s="72">
        <f t="shared" ref="CL266" si="2283">W266</f>
        <v>135</v>
      </c>
      <c r="CM266" s="72" t="str">
        <f t="shared" ref="CM266" si="2284">AA266</f>
        <v>-</v>
      </c>
      <c r="CN266" s="72">
        <f t="shared" ref="CN266" si="2285">AE266</f>
        <v>166</v>
      </c>
      <c r="CO266" s="72">
        <f t="shared" ref="CO266" si="2286">AI266</f>
        <v>179</v>
      </c>
      <c r="CP266" s="72">
        <f t="shared" ref="CP266" si="2287">AM266</f>
        <v>218</v>
      </c>
      <c r="CQ266" s="72">
        <f t="shared" ref="CQ266" si="2288">AQ266</f>
        <v>264</v>
      </c>
      <c r="CR266" s="72">
        <f t="shared" ref="CR266" si="2289">AU266</f>
        <v>298</v>
      </c>
      <c r="CS266" s="72">
        <f t="shared" ref="CS266" si="2290">AY266</f>
        <v>315</v>
      </c>
      <c r="CT266" s="23">
        <f t="shared" ref="CT266" si="2291">M266-K266</f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ref="A267" si="2292">CONCATENATE(B267,"_",C267)</f>
        <v>mtr1a_human_6ME4</v>
      </c>
      <c r="B267" s="3" t="s">
        <v>310</v>
      </c>
      <c r="C267" s="3" t="s">
        <v>1562</v>
      </c>
      <c r="D267" s="3" t="str">
        <f>IFERROR(MID(VLOOKUP($B267,Seqs!$A:$B,2,0),E267,1),"")</f>
        <v>P</v>
      </c>
      <c r="E267" s="3">
        <v>23</v>
      </c>
      <c r="F267" s="3" t="str">
        <f>IFERROR(MID(VLOOKUP($B267,Seqs!$A:$B,2,0),G267,1),"")</f>
        <v>N</v>
      </c>
      <c r="G267" s="3">
        <v>55</v>
      </c>
      <c r="H267" s="3" t="str">
        <f>IFERROR(MID(VLOOKUP($B267,Seqs!$A:$B,2,0),I267,1),"")</f>
        <v>K</v>
      </c>
      <c r="I267" s="23">
        <v>56</v>
      </c>
      <c r="J267" s="3" t="str">
        <f>IFERROR(MID(VLOOKUP($B267,Seqs!$A:$B,2,0),K267,1),"")</f>
        <v>R</v>
      </c>
      <c r="K267" s="23">
        <v>59</v>
      </c>
      <c r="L267" s="3" t="str">
        <f>IFERROR(MID(VLOOKUP($B267,Seqs!$A:$B,2,0),M267,1),"")</f>
        <v>N</v>
      </c>
      <c r="M267" s="3">
        <v>60</v>
      </c>
      <c r="N267" s="3" t="str">
        <f>IFERROR(MID(VLOOKUP($B267,Seqs!$A:$B,2,0),O267,1),"")</f>
        <v>N</v>
      </c>
      <c r="O267" s="3">
        <v>91</v>
      </c>
      <c r="P267" s="3" t="str">
        <f>IFERROR(MID(VLOOKUP($B267,Seqs!$A:$B,2,0),Q267,1),"")</f>
        <v>G</v>
      </c>
      <c r="Q267" s="3">
        <v>92</v>
      </c>
      <c r="R267" s="3" t="str">
        <f>IFERROR(MID(VLOOKUP($B267,Seqs!$A:$B,2,0),S267,1),"")</f>
        <v>L</v>
      </c>
      <c r="S267" s="3">
        <v>95</v>
      </c>
      <c r="T267" s="3" t="str">
        <f>IFERROR(MID(VLOOKUP($B267,Seqs!$A:$B,2,0),U267,1),"")</f>
        <v>G</v>
      </c>
      <c r="U267" s="3">
        <v>96</v>
      </c>
      <c r="V267" s="3" t="str">
        <f>IFERROR(MID(VLOOKUP($B267,Seqs!$A:$B,2,0),W267,1),"")</f>
        <v>Y</v>
      </c>
      <c r="W267" s="3">
        <v>135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N</v>
      </c>
      <c r="AC267" s="3">
        <v>143</v>
      </c>
      <c r="AD267" s="3" t="str">
        <f>IFERROR(MID(VLOOKUP($B267,Seqs!$A:$B,2,0),AE267,1),"")</f>
        <v>G</v>
      </c>
      <c r="AE267" s="3">
        <v>166</v>
      </c>
      <c r="AF267" s="3" t="str">
        <f>IFERROR(MID(VLOOKUP($B267,Seqs!$A:$B,2,0),AG267,1),"")</f>
        <v>C</v>
      </c>
      <c r="AG267" s="3">
        <v>177</v>
      </c>
      <c r="AH267" s="3" t="str">
        <f>IFERROR(MID(VLOOKUP($B267,Seqs!$A:$B,2,0),AI267,1),"")</f>
        <v>F</v>
      </c>
      <c r="AI267" s="3">
        <v>179</v>
      </c>
      <c r="AJ267" s="3" t="str">
        <f>IFERROR(MID(VLOOKUP($B267,Seqs!$A:$B,2,0),AK267,1),"")</f>
        <v>S</v>
      </c>
      <c r="AK267" s="3">
        <v>184</v>
      </c>
      <c r="AL267" s="3" t="str">
        <f>IFERROR(MID(VLOOKUP($B267,Seqs!$A:$B,2,0),AM267,1),"")</f>
        <v>R</v>
      </c>
      <c r="AM267" s="3">
        <v>218</v>
      </c>
      <c r="AN267" s="3" t="str">
        <f>IFERROR(MID(VLOOKUP($B267,Seqs!$A:$B,2,0),AO267,1),"")</f>
        <v>R</v>
      </c>
      <c r="AO267" s="3">
        <v>235</v>
      </c>
      <c r="AP267" s="3" t="str">
        <f>IFERROR(MID(VLOOKUP($B267,Seqs!$A:$B,2,0),AQ267,1),"")</f>
        <v>D</v>
      </c>
      <c r="AQ267" s="3">
        <v>264</v>
      </c>
      <c r="AR267" s="3" t="str">
        <f>IFERROR(MID(VLOOKUP($B267,Seqs!$A:$B,2,0),AS267,1),"")</f>
        <v>P</v>
      </c>
      <c r="AS267" s="3">
        <v>273</v>
      </c>
      <c r="AT267" s="3" t="str">
        <f>IFERROR(MID(VLOOKUP($B267,Seqs!$A:$B,2,0),AU267,1),"")</f>
        <v>L</v>
      </c>
      <c r="AU267" s="3">
        <v>298</v>
      </c>
      <c r="AV267" s="3" t="str">
        <f>IFERROR(MID(VLOOKUP($B267,Seqs!$A:$B,2,0),AW267,1),"")</f>
        <v>N</v>
      </c>
      <c r="AW267" s="3">
        <v>299</v>
      </c>
      <c r="AX267" s="3" t="str">
        <f>IFERROR(MID(VLOOKUP($B267,Seqs!$A:$B,2,0),AY267,1),"")</f>
        <v>T</v>
      </c>
      <c r="AY267" s="3">
        <v>315</v>
      </c>
      <c r="AZ267" s="77" t="str">
        <f>VLOOKUP(B267,Classification!A:D,2,0)</f>
        <v>A</v>
      </c>
      <c r="BA267" s="94" t="str">
        <f>VLOOKUP(B267,Classification!A:D,4,0)</f>
        <v>Melatonin</v>
      </c>
      <c r="BB267" s="27" t="b">
        <f t="shared" ref="BB267" si="2293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 t="shared" ref="BC267" si="2294">_xlfn.AGGREGATE(9,6,CH267:CS267)-_xlfn.AGGREGATE(9,6,BV267:CG267)+12</f>
        <v>249</v>
      </c>
      <c r="BD267" s="5" t="s">
        <v>23</v>
      </c>
      <c r="BE267" s="3" t="s">
        <v>1370</v>
      </c>
      <c r="BF267" s="118">
        <v>3.2</v>
      </c>
      <c r="BG267" s="49" t="s">
        <v>1</v>
      </c>
      <c r="BH267" s="49" t="s">
        <v>1</v>
      </c>
      <c r="BI267" s="1"/>
      <c r="BJ267" s="70" t="s">
        <v>1283</v>
      </c>
      <c r="BK267" s="57" t="s">
        <v>1283</v>
      </c>
      <c r="BL267" s="57" t="s">
        <v>1283</v>
      </c>
      <c r="BM267" s="57" t="s">
        <v>1283</v>
      </c>
      <c r="BN267" s="57" t="s">
        <v>1283</v>
      </c>
      <c r="BO267" s="57" t="s">
        <v>1283</v>
      </c>
      <c r="BP267" s="57" t="s">
        <v>1283</v>
      </c>
      <c r="BQ267" s="57" t="s">
        <v>1283</v>
      </c>
      <c r="BR267" s="57" t="s">
        <v>1283</v>
      </c>
      <c r="BS267" s="57" t="s">
        <v>1283</v>
      </c>
      <c r="BT267" s="57" t="s">
        <v>1283</v>
      </c>
      <c r="BU267" s="57" t="s">
        <v>1283</v>
      </c>
      <c r="BV267" s="70">
        <f t="shared" ref="BV267" si="2295">E267</f>
        <v>23</v>
      </c>
      <c r="BW267" s="71">
        <f t="shared" ref="BW267" si="2296">I267</f>
        <v>56</v>
      </c>
      <c r="BX267" s="72">
        <f t="shared" ref="BX267" si="2297">M267</f>
        <v>60</v>
      </c>
      <c r="BY267" s="71">
        <f t="shared" ref="BY267" si="2298">Q267</f>
        <v>92</v>
      </c>
      <c r="BZ267" s="72">
        <f t="shared" ref="BZ267" si="2299">U267</f>
        <v>96</v>
      </c>
      <c r="CA267" s="71" t="str">
        <f t="shared" ref="CA267" si="2300">Y267</f>
        <v>-</v>
      </c>
      <c r="CB267" s="72">
        <f t="shared" ref="CB267" si="2301">AC267</f>
        <v>143</v>
      </c>
      <c r="CC267" s="71">
        <f t="shared" ref="CC267" si="2302">AG267</f>
        <v>177</v>
      </c>
      <c r="CD267" s="72">
        <f t="shared" ref="CD267" si="2303">AK267</f>
        <v>184</v>
      </c>
      <c r="CE267" s="71">
        <f t="shared" ref="CE267" si="2304">AO267</f>
        <v>235</v>
      </c>
      <c r="CF267" s="72">
        <f t="shared" ref="CF267" si="2305">AS267</f>
        <v>273</v>
      </c>
      <c r="CG267" s="71">
        <f t="shared" ref="CG267" si="2306">AW267</f>
        <v>299</v>
      </c>
      <c r="CH267" s="70">
        <f t="shared" ref="CH267" si="2307">G267</f>
        <v>55</v>
      </c>
      <c r="CI267" s="71">
        <f t="shared" ref="CI267" si="2308">K267</f>
        <v>59</v>
      </c>
      <c r="CJ267" s="72">
        <f t="shared" ref="CJ267" si="2309">O267</f>
        <v>91</v>
      </c>
      <c r="CK267" s="72">
        <f t="shared" ref="CK267" si="2310">S267</f>
        <v>95</v>
      </c>
      <c r="CL267" s="72">
        <f t="shared" ref="CL267" si="2311">W267</f>
        <v>135</v>
      </c>
      <c r="CM267" s="72" t="str">
        <f t="shared" ref="CM267" si="2312">AA267</f>
        <v>-</v>
      </c>
      <c r="CN267" s="72">
        <f t="shared" ref="CN267" si="2313">AE267</f>
        <v>166</v>
      </c>
      <c r="CO267" s="72">
        <f t="shared" ref="CO267" si="2314">AI267</f>
        <v>179</v>
      </c>
      <c r="CP267" s="72">
        <f t="shared" ref="CP267" si="2315">AM267</f>
        <v>218</v>
      </c>
      <c r="CQ267" s="72">
        <f t="shared" ref="CQ267" si="2316">AQ267</f>
        <v>264</v>
      </c>
      <c r="CR267" s="72">
        <f t="shared" ref="CR267" si="2317">AU267</f>
        <v>298</v>
      </c>
      <c r="CS267" s="72">
        <f t="shared" ref="CS267" si="2318">AY267</f>
        <v>315</v>
      </c>
      <c r="CT267" s="23">
        <f t="shared" ref="CT267" si="2319">M267-K267</f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ref="A268" si="2320">CONCATENATE(B268,"_",C268)</f>
        <v>mtr1a_human_6ME5</v>
      </c>
      <c r="B268" s="3" t="s">
        <v>310</v>
      </c>
      <c r="C268" s="3" t="s">
        <v>1563</v>
      </c>
      <c r="D268" s="3" t="str">
        <f>IFERROR(MID(VLOOKUP($B268,Seqs!$A:$B,2,0),E268,1),"")</f>
        <v>P</v>
      </c>
      <c r="E268" s="3">
        <v>23</v>
      </c>
      <c r="F268" s="3" t="str">
        <f>IFERROR(MID(VLOOKUP($B268,Seqs!$A:$B,2,0),G268,1),"")</f>
        <v>N</v>
      </c>
      <c r="G268" s="3">
        <v>55</v>
      </c>
      <c r="H268" s="3" t="str">
        <f>IFERROR(MID(VLOOKUP($B268,Seqs!$A:$B,2,0),I268,1),"")</f>
        <v>K</v>
      </c>
      <c r="I268" s="23">
        <v>56</v>
      </c>
      <c r="J268" s="3" t="str">
        <f>IFERROR(MID(VLOOKUP($B268,Seqs!$A:$B,2,0),K268,1),"")</f>
        <v>R</v>
      </c>
      <c r="K268" s="23">
        <v>59</v>
      </c>
      <c r="L268" s="3" t="str">
        <f>IFERROR(MID(VLOOKUP($B268,Seqs!$A:$B,2,0),M268,1),"")</f>
        <v>N</v>
      </c>
      <c r="M268" s="3">
        <v>60</v>
      </c>
      <c r="N268" s="3" t="str">
        <f>IFERROR(MID(VLOOKUP($B268,Seqs!$A:$B,2,0),O268,1),"")</f>
        <v>N</v>
      </c>
      <c r="O268" s="3">
        <v>91</v>
      </c>
      <c r="P268" s="3" t="str">
        <f>IFERROR(MID(VLOOKUP($B268,Seqs!$A:$B,2,0),Q268,1),"")</f>
        <v>G</v>
      </c>
      <c r="Q268" s="3">
        <v>92</v>
      </c>
      <c r="R268" s="3" t="str">
        <f>IFERROR(MID(VLOOKUP($B268,Seqs!$A:$B,2,0),S268,1),"")</f>
        <v>L</v>
      </c>
      <c r="S268" s="3">
        <v>95</v>
      </c>
      <c r="T268" s="3" t="str">
        <f>IFERROR(MID(VLOOKUP($B268,Seqs!$A:$B,2,0),U268,1),"")</f>
        <v>G</v>
      </c>
      <c r="U268" s="3">
        <v>96</v>
      </c>
      <c r="V268" s="3" t="str">
        <f>IFERROR(MID(VLOOKUP($B268,Seqs!$A:$B,2,0),W268,1),"")</f>
        <v>Y</v>
      </c>
      <c r="W268" s="3">
        <v>135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N</v>
      </c>
      <c r="AC268" s="3">
        <v>143</v>
      </c>
      <c r="AD268" s="3" t="str">
        <f>IFERROR(MID(VLOOKUP($B268,Seqs!$A:$B,2,0),AE268,1),"")</f>
        <v>G</v>
      </c>
      <c r="AE268" s="3">
        <v>166</v>
      </c>
      <c r="AF268" s="3" t="str">
        <f>IFERROR(MID(VLOOKUP($B268,Seqs!$A:$B,2,0),AG268,1),"")</f>
        <v>C</v>
      </c>
      <c r="AG268" s="3">
        <v>177</v>
      </c>
      <c r="AH268" s="3" t="str">
        <f>IFERROR(MID(VLOOKUP($B268,Seqs!$A:$B,2,0),AI268,1),"")</f>
        <v>F</v>
      </c>
      <c r="AI268" s="3">
        <v>179</v>
      </c>
      <c r="AJ268" s="3" t="str">
        <f>IFERROR(MID(VLOOKUP($B268,Seqs!$A:$B,2,0),AK268,1),"")</f>
        <v>S</v>
      </c>
      <c r="AK268" s="3">
        <v>184</v>
      </c>
      <c r="AL268" s="3" t="str">
        <f>IFERROR(MID(VLOOKUP($B268,Seqs!$A:$B,2,0),AM268,1),"")</f>
        <v>R</v>
      </c>
      <c r="AM268" s="3">
        <v>218</v>
      </c>
      <c r="AN268" s="3" t="str">
        <f>IFERROR(MID(VLOOKUP($B268,Seqs!$A:$B,2,0),AO268,1),"")</f>
        <v>R</v>
      </c>
      <c r="AO268" s="3">
        <v>235</v>
      </c>
      <c r="AP268" s="3" t="str">
        <f>IFERROR(MID(VLOOKUP($B268,Seqs!$A:$B,2,0),AQ268,1),"")</f>
        <v>D</v>
      </c>
      <c r="AQ268" s="3">
        <v>264</v>
      </c>
      <c r="AR268" s="3" t="str">
        <f>IFERROR(MID(VLOOKUP($B268,Seqs!$A:$B,2,0),AS268,1),"")</f>
        <v>P</v>
      </c>
      <c r="AS268" s="3">
        <v>273</v>
      </c>
      <c r="AT268" s="3" t="str">
        <f>IFERROR(MID(VLOOKUP($B268,Seqs!$A:$B,2,0),AU268,1),"")</f>
        <v>L</v>
      </c>
      <c r="AU268" s="3">
        <v>298</v>
      </c>
      <c r="AV268" s="3" t="str">
        <f>IFERROR(MID(VLOOKUP($B268,Seqs!$A:$B,2,0),AW268,1),"")</f>
        <v>N</v>
      </c>
      <c r="AW268" s="3">
        <v>299</v>
      </c>
      <c r="AX268" s="3" t="str">
        <f>IFERROR(MID(VLOOKUP($B268,Seqs!$A:$B,2,0),AY268,1),"")</f>
        <v>T</v>
      </c>
      <c r="AY268" s="3">
        <v>315</v>
      </c>
      <c r="AZ268" s="77" t="str">
        <f>VLOOKUP(B268,Classification!A:D,2,0)</f>
        <v>A</v>
      </c>
      <c r="BA268" s="94" t="str">
        <f>VLOOKUP(B268,Classification!A:D,4,0)</f>
        <v>Melatonin</v>
      </c>
      <c r="BB268" s="27" t="b">
        <f t="shared" ref="BB268" si="2321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23">
        <f t="shared" ref="BC268" si="2322">_xlfn.AGGREGATE(9,6,CH268:CS268)-_xlfn.AGGREGATE(9,6,BV268:CG268)+12</f>
        <v>249</v>
      </c>
      <c r="BD268" s="5" t="s">
        <v>23</v>
      </c>
      <c r="BE268" s="3" t="s">
        <v>1370</v>
      </c>
      <c r="BF268" s="118">
        <v>3.2</v>
      </c>
      <c r="BG268" s="49" t="s">
        <v>1</v>
      </c>
      <c r="BH268" s="49" t="s">
        <v>1</v>
      </c>
      <c r="BI268" s="1"/>
      <c r="BJ268" s="70" t="s">
        <v>1283</v>
      </c>
      <c r="BK268" s="57" t="s">
        <v>1283</v>
      </c>
      <c r="BL268" s="57" t="s">
        <v>1283</v>
      </c>
      <c r="BM268" s="57" t="s">
        <v>1283</v>
      </c>
      <c r="BN268" s="57" t="s">
        <v>1283</v>
      </c>
      <c r="BO268" s="57" t="s">
        <v>1283</v>
      </c>
      <c r="BP268" s="57" t="s">
        <v>1283</v>
      </c>
      <c r="BQ268" s="57" t="s">
        <v>1283</v>
      </c>
      <c r="BR268" s="57" t="s">
        <v>1283</v>
      </c>
      <c r="BS268" s="57" t="s">
        <v>1283</v>
      </c>
      <c r="BT268" s="57" t="s">
        <v>1283</v>
      </c>
      <c r="BU268" s="57" t="s">
        <v>1283</v>
      </c>
      <c r="BV268" s="70">
        <f t="shared" ref="BV268" si="2323">E268</f>
        <v>23</v>
      </c>
      <c r="BW268" s="71">
        <f t="shared" ref="BW268" si="2324">I268</f>
        <v>56</v>
      </c>
      <c r="BX268" s="72">
        <f t="shared" ref="BX268" si="2325">M268</f>
        <v>60</v>
      </c>
      <c r="BY268" s="71">
        <f t="shared" ref="BY268" si="2326">Q268</f>
        <v>92</v>
      </c>
      <c r="BZ268" s="72">
        <f t="shared" ref="BZ268" si="2327">U268</f>
        <v>96</v>
      </c>
      <c r="CA268" s="71" t="str">
        <f t="shared" ref="CA268" si="2328">Y268</f>
        <v>-</v>
      </c>
      <c r="CB268" s="72">
        <f t="shared" ref="CB268" si="2329">AC268</f>
        <v>143</v>
      </c>
      <c r="CC268" s="71">
        <f t="shared" ref="CC268" si="2330">AG268</f>
        <v>177</v>
      </c>
      <c r="CD268" s="72">
        <f t="shared" ref="CD268" si="2331">AK268</f>
        <v>184</v>
      </c>
      <c r="CE268" s="71">
        <f t="shared" ref="CE268" si="2332">AO268</f>
        <v>235</v>
      </c>
      <c r="CF268" s="72">
        <f t="shared" ref="CF268" si="2333">AS268</f>
        <v>273</v>
      </c>
      <c r="CG268" s="71">
        <f t="shared" ref="CG268" si="2334">AW268</f>
        <v>299</v>
      </c>
      <c r="CH268" s="70">
        <f t="shared" ref="CH268" si="2335">G268</f>
        <v>55</v>
      </c>
      <c r="CI268" s="71">
        <f t="shared" ref="CI268" si="2336">K268</f>
        <v>59</v>
      </c>
      <c r="CJ268" s="72">
        <f t="shared" ref="CJ268" si="2337">O268</f>
        <v>91</v>
      </c>
      <c r="CK268" s="72">
        <f t="shared" ref="CK268" si="2338">S268</f>
        <v>95</v>
      </c>
      <c r="CL268" s="72">
        <f t="shared" ref="CL268" si="2339">W268</f>
        <v>135</v>
      </c>
      <c r="CM268" s="72" t="str">
        <f t="shared" ref="CM268" si="2340">AA268</f>
        <v>-</v>
      </c>
      <c r="CN268" s="72">
        <f t="shared" ref="CN268" si="2341">AE268</f>
        <v>166</v>
      </c>
      <c r="CO268" s="72">
        <f t="shared" ref="CO268" si="2342">AI268</f>
        <v>179</v>
      </c>
      <c r="CP268" s="72">
        <f t="shared" ref="CP268" si="2343">AM268</f>
        <v>218</v>
      </c>
      <c r="CQ268" s="72">
        <f t="shared" ref="CQ268" si="2344">AQ268</f>
        <v>264</v>
      </c>
      <c r="CR268" s="72">
        <f t="shared" ref="CR268" si="2345">AU268</f>
        <v>298</v>
      </c>
      <c r="CS268" s="72">
        <f t="shared" ref="CS268" si="2346">AY268</f>
        <v>315</v>
      </c>
      <c r="CT268" s="23">
        <f t="shared" ref="CT268" si="2347">M268-K268</f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>CONCATENATE(B269,"_",C269)</f>
        <v>mtr1a_human_6PS8</v>
      </c>
      <c r="B269" s="3" t="s">
        <v>310</v>
      </c>
      <c r="C269" s="3" t="s">
        <v>1612</v>
      </c>
      <c r="D269" s="3" t="str">
        <f>IFERROR(MID(VLOOKUP($B269,Seqs!$A:$B,2,0),E269,1),"")</f>
        <v>S</v>
      </c>
      <c r="E269" s="3">
        <v>24</v>
      </c>
      <c r="F269" s="3" t="str">
        <f>IFERROR(MID(VLOOKUP($B269,Seqs!$A:$B,2,0),G269,1),"")</f>
        <v>N</v>
      </c>
      <c r="G269" s="3">
        <v>55</v>
      </c>
      <c r="H269" s="3" t="str">
        <f>IFERROR(MID(VLOOKUP($B269,Seqs!$A:$B,2,0),I269,1),"")</f>
        <v>K</v>
      </c>
      <c r="I269" s="23">
        <v>56</v>
      </c>
      <c r="J269" s="3" t="str">
        <f>IFERROR(MID(VLOOKUP($B269,Seqs!$A:$B,2,0),K269,1),"")</f>
        <v>R</v>
      </c>
      <c r="K269" s="23">
        <v>59</v>
      </c>
      <c r="L269" s="3" t="str">
        <f>IFERROR(MID(VLOOKUP($B269,Seqs!$A:$B,2,0),M269,1),"")</f>
        <v>N</v>
      </c>
      <c r="M269" s="3">
        <v>60</v>
      </c>
      <c r="N269" s="3" t="str">
        <f>IFERROR(MID(VLOOKUP($B269,Seqs!$A:$B,2,0),O269,1),"")</f>
        <v>N</v>
      </c>
      <c r="O269" s="3">
        <v>91</v>
      </c>
      <c r="P269" s="3" t="str">
        <f>IFERROR(MID(VLOOKUP($B269,Seqs!$A:$B,2,0),Q269,1),"")</f>
        <v>G</v>
      </c>
      <c r="Q269" s="3">
        <v>92</v>
      </c>
      <c r="R269" s="3" t="str">
        <f>IFERROR(MID(VLOOKUP($B269,Seqs!$A:$B,2,0),S269,1),"")</f>
        <v>L</v>
      </c>
      <c r="S269" s="3">
        <v>95</v>
      </c>
      <c r="T269" s="3" t="str">
        <f>IFERROR(MID(VLOOKUP($B269,Seqs!$A:$B,2,0),U269,1),"")</f>
        <v>G</v>
      </c>
      <c r="U269" s="3">
        <v>96</v>
      </c>
      <c r="V269" s="3" t="str">
        <f>IFERROR(MID(VLOOKUP($B269,Seqs!$A:$B,2,0),W269,1),"")</f>
        <v>Y</v>
      </c>
      <c r="W269" s="3">
        <v>135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N</v>
      </c>
      <c r="AC269" s="3">
        <v>143</v>
      </c>
      <c r="AD269" s="3" t="str">
        <f>IFERROR(MID(VLOOKUP($B269,Seqs!$A:$B,2,0),AE269,1),"")</f>
        <v>G</v>
      </c>
      <c r="AE269" s="3">
        <v>166</v>
      </c>
      <c r="AF269" s="3" t="str">
        <f>IFERROR(MID(VLOOKUP($B269,Seqs!$A:$B,2,0),AG269,1),"")</f>
        <v>C</v>
      </c>
      <c r="AG269" s="3">
        <v>177</v>
      </c>
      <c r="AH269" s="3" t="str">
        <f>IFERROR(MID(VLOOKUP($B269,Seqs!$A:$B,2,0),AI269,1),"")</f>
        <v>F</v>
      </c>
      <c r="AI269" s="3">
        <v>179</v>
      </c>
      <c r="AJ269" s="3" t="str">
        <f>IFERROR(MID(VLOOKUP($B269,Seqs!$A:$B,2,0),AK269,1),"")</f>
        <v>S</v>
      </c>
      <c r="AK269" s="3">
        <v>184</v>
      </c>
      <c r="AL269" s="3" t="str">
        <f>IFERROR(MID(VLOOKUP($B269,Seqs!$A:$B,2,0),AM269,1),"")</f>
        <v>R</v>
      </c>
      <c r="AM269" s="3">
        <v>218</v>
      </c>
      <c r="AN269" s="3" t="str">
        <f>IFERROR(MID(VLOOKUP($B269,Seqs!$A:$B,2,0),AO269,1),"")</f>
        <v>F</v>
      </c>
      <c r="AO269" s="3">
        <v>234</v>
      </c>
      <c r="AP269" s="3" t="str">
        <f>IFERROR(MID(VLOOKUP($B269,Seqs!$A:$B,2,0),AQ269,1),"")</f>
        <v>S</v>
      </c>
      <c r="AQ269" s="3">
        <v>263</v>
      </c>
      <c r="AR269" s="3" t="str">
        <f>IFERROR(MID(VLOOKUP($B269,Seqs!$A:$B,2,0),AS269,1),"")</f>
        <v>P</v>
      </c>
      <c r="AS269" s="3">
        <v>273</v>
      </c>
      <c r="AT269" s="3" t="str">
        <f>IFERROR(MID(VLOOKUP($B269,Seqs!$A:$B,2,0),AU269,1),"")</f>
        <v>L</v>
      </c>
      <c r="AU269" s="3">
        <v>298</v>
      </c>
      <c r="AV269" s="3" t="str">
        <f>IFERROR(MID(VLOOKUP($B269,Seqs!$A:$B,2,0),AW269,1),"")</f>
        <v>N</v>
      </c>
      <c r="AW269" s="3">
        <v>299</v>
      </c>
      <c r="AX269" s="3" t="str">
        <f>IFERROR(MID(VLOOKUP($B269,Seqs!$A:$B,2,0),AY269,1),"")</f>
        <v>T</v>
      </c>
      <c r="AY269" s="3">
        <v>315</v>
      </c>
      <c r="AZ269" s="77" t="str">
        <f>VLOOKUP(B269,Classification!A:D,2,0)</f>
        <v>A</v>
      </c>
      <c r="BA269" s="94" t="str">
        <f>VLOOKUP(B269,Classification!A:D,4,0)</f>
        <v>Melatonin</v>
      </c>
      <c r="BB269" s="27" t="b">
        <f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>_xlfn.AGGREGATE(9,6,CH269:CS269)-_xlfn.AGGREGATE(9,6,BV269:CG269)+12</f>
        <v>248</v>
      </c>
      <c r="BD269" s="74" t="s">
        <v>23</v>
      </c>
      <c r="BE269" s="3" t="s">
        <v>1370</v>
      </c>
      <c r="BF269" s="118">
        <v>3.3</v>
      </c>
      <c r="BG269" s="49" t="s">
        <v>1</v>
      </c>
      <c r="BH269" s="49" t="s">
        <v>1</v>
      </c>
      <c r="BI269" s="1"/>
      <c r="BJ269" s="70" t="s">
        <v>1283</v>
      </c>
      <c r="BK269" s="57" t="s">
        <v>1283</v>
      </c>
      <c r="BL269" s="57" t="s">
        <v>1283</v>
      </c>
      <c r="BM269" s="57" t="s">
        <v>1283</v>
      </c>
      <c r="BN269" s="57" t="s">
        <v>1283</v>
      </c>
      <c r="BO269" s="57" t="s">
        <v>1283</v>
      </c>
      <c r="BP269" s="57" t="s">
        <v>1283</v>
      </c>
      <c r="BQ269" s="57" t="s">
        <v>1283</v>
      </c>
      <c r="BR269" s="57" t="s">
        <v>1283</v>
      </c>
      <c r="BS269" s="57" t="s">
        <v>1283</v>
      </c>
      <c r="BT269" s="57" t="s">
        <v>1283</v>
      </c>
      <c r="BU269" s="57" t="s">
        <v>1283</v>
      </c>
      <c r="BV269" s="70">
        <f>E269</f>
        <v>24</v>
      </c>
      <c r="BW269" s="71">
        <f>I269</f>
        <v>56</v>
      </c>
      <c r="BX269" s="72">
        <f>M269</f>
        <v>60</v>
      </c>
      <c r="BY269" s="71">
        <f>Q269</f>
        <v>92</v>
      </c>
      <c r="BZ269" s="72">
        <f>U269</f>
        <v>96</v>
      </c>
      <c r="CA269" s="71" t="str">
        <f>Y269</f>
        <v>-</v>
      </c>
      <c r="CB269" s="72">
        <f>AC269</f>
        <v>143</v>
      </c>
      <c r="CC269" s="71">
        <f>AG269</f>
        <v>177</v>
      </c>
      <c r="CD269" s="72">
        <f>AK269</f>
        <v>184</v>
      </c>
      <c r="CE269" s="71">
        <f>AO269</f>
        <v>234</v>
      </c>
      <c r="CF269" s="72">
        <f>AS269</f>
        <v>273</v>
      </c>
      <c r="CG269" s="71">
        <f>AW269</f>
        <v>299</v>
      </c>
      <c r="CH269" s="70">
        <f>G269</f>
        <v>55</v>
      </c>
      <c r="CI269" s="71">
        <f>K269</f>
        <v>59</v>
      </c>
      <c r="CJ269" s="72">
        <f>O269</f>
        <v>91</v>
      </c>
      <c r="CK269" s="72">
        <f>S269</f>
        <v>95</v>
      </c>
      <c r="CL269" s="72">
        <f>W269</f>
        <v>135</v>
      </c>
      <c r="CM269" s="72" t="str">
        <f>AA269</f>
        <v>-</v>
      </c>
      <c r="CN269" s="72">
        <f>AE269</f>
        <v>166</v>
      </c>
      <c r="CO269" s="72">
        <f>AI269</f>
        <v>179</v>
      </c>
      <c r="CP269" s="72">
        <f>AM269</f>
        <v>218</v>
      </c>
      <c r="CQ269" s="72">
        <f>AQ269</f>
        <v>263</v>
      </c>
      <c r="CR269" s="72">
        <f>AU269</f>
        <v>298</v>
      </c>
      <c r="CS269" s="72">
        <f>AY269</f>
        <v>315</v>
      </c>
      <c r="CT269" s="23">
        <f>M269-K269</f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ref="A270:A271" si="2348">CONCATENATE(B270,"_",C270)</f>
        <v>mtr1b_human__wt</v>
      </c>
      <c r="B270" s="3" t="s">
        <v>311</v>
      </c>
      <c r="C270" s="3" t="s">
        <v>100</v>
      </c>
      <c r="D270" s="3" t="str">
        <f>IFERROR(MID(VLOOKUP($B270,Seqs!$A:$B,2,0),E270,1),"")</f>
        <v>W</v>
      </c>
      <c r="E270" s="3">
        <v>38</v>
      </c>
      <c r="F270" s="3" t="str">
        <f>IFERROR(MID(VLOOKUP($B270,Seqs!$A:$B,2,0),G270,1),"")</f>
        <v>N</v>
      </c>
      <c r="G270" s="3">
        <v>68</v>
      </c>
      <c r="H270" s="3" t="str">
        <f>IFERROR(MID(VLOOKUP($B270,Seqs!$A:$B,2,0),I270,1),"")</f>
        <v>R</v>
      </c>
      <c r="I270" s="23">
        <v>69</v>
      </c>
      <c r="J270" s="3" t="str">
        <f>IFERROR(MID(VLOOKUP($B270,Seqs!$A:$B,2,0),K270,1),"")</f>
        <v>R</v>
      </c>
      <c r="K270" s="23">
        <v>72</v>
      </c>
      <c r="L270" s="3" t="str">
        <f>IFERROR(MID(VLOOKUP($B270,Seqs!$A:$B,2,0),M270,1),"")</f>
        <v>N</v>
      </c>
      <c r="M270" s="3">
        <v>73</v>
      </c>
      <c r="N270" s="3" t="str">
        <f>IFERROR(MID(VLOOKUP($B270,Seqs!$A:$B,2,0),O270,1),"")</f>
        <v>D</v>
      </c>
      <c r="O270" s="3">
        <v>104</v>
      </c>
      <c r="P270" s="3" t="str">
        <f>IFERROR(MID(VLOOKUP($B270,Seqs!$A:$B,2,0),Q270,1),"")</f>
        <v>G</v>
      </c>
      <c r="Q270" s="3">
        <v>105</v>
      </c>
      <c r="R270" s="3" t="str">
        <f>IFERROR(MID(VLOOKUP($B270,Seqs!$A:$B,2,0),S270,1),"")</f>
        <v>L</v>
      </c>
      <c r="S270" s="3">
        <v>108</v>
      </c>
      <c r="T270" s="3" t="str">
        <f>IFERROR(MID(VLOOKUP($B270,Seqs!$A:$B,2,0),U270,1),"")</f>
        <v>G</v>
      </c>
      <c r="U270" s="3">
        <v>109</v>
      </c>
      <c r="V270" s="3" t="str">
        <f>IFERROR(MID(VLOOKUP($B270,Seqs!$A:$B,2,0),W270,1),"")</f>
        <v>H</v>
      </c>
      <c r="W270" s="3">
        <v>144</v>
      </c>
      <c r="X270" s="3" t="str">
        <f>IFERROR(MID(VLOOKUP($B270,Seqs!$A:$B,2,0),Y270,1),"")</f>
        <v>S</v>
      </c>
      <c r="Y270" s="3">
        <v>145</v>
      </c>
      <c r="Z270" s="3" t="str">
        <f>IFERROR(MID(VLOOKUP($B270,Seqs!$A:$B,2,0),AA270,1),"")</f>
        <v>Y</v>
      </c>
      <c r="AA270" s="3">
        <v>152</v>
      </c>
      <c r="AB270" s="3" t="str">
        <f>IFERROR(MID(VLOOKUP($B270,Seqs!$A:$B,2,0),AC270,1),"")</f>
        <v>R</v>
      </c>
      <c r="AC270" s="3">
        <v>153</v>
      </c>
      <c r="AD270" s="3" t="str">
        <f>IFERROR(MID(VLOOKUP($B270,Seqs!$A:$B,2,0),AE270,1),"")</f>
        <v>G</v>
      </c>
      <c r="AE270" s="3">
        <v>179</v>
      </c>
      <c r="AF270" s="3" t="str">
        <f>IFERROR(MID(VLOOKUP($B270,Seqs!$A:$B,2,0),AG270,1),"")</f>
        <v>C</v>
      </c>
      <c r="AG270" s="3">
        <v>190</v>
      </c>
      <c r="AH270" s="3" t="str">
        <f>IFERROR(MID(VLOOKUP($B270,Seqs!$A:$B,2,0),AI270,1),"")</f>
        <v>F</v>
      </c>
      <c r="AI270" s="3">
        <v>192</v>
      </c>
      <c r="AJ270" s="3" t="str">
        <f>IFERROR(MID(VLOOKUP($B270,Seqs!$A:$B,2,0),AK270,1),"")</f>
        <v>S</v>
      </c>
      <c r="AK270" s="3">
        <v>197</v>
      </c>
      <c r="AL270" s="3" t="str">
        <f>IFERROR(MID(VLOOKUP($B270,Seqs!$A:$B,2,0),AM270,1),"")</f>
        <v>A</v>
      </c>
      <c r="AM270" s="3">
        <v>234</v>
      </c>
      <c r="AN270" s="3" t="str">
        <f>IFERROR(MID(VLOOKUP($B270,Seqs!$A:$B,2,0),AO270,1),"")</f>
        <v>L</v>
      </c>
      <c r="AO270" s="3">
        <v>240</v>
      </c>
      <c r="AP270" s="3" t="str">
        <f>IFERROR(MID(VLOOKUP($B270,Seqs!$A:$B,2,0),AQ270,1),"")</f>
        <v>N</v>
      </c>
      <c r="AQ270" s="3">
        <v>277</v>
      </c>
      <c r="AR270" s="3" t="str">
        <f>IFERROR(MID(VLOOKUP($B270,Seqs!$A:$B,2,0),AS270,1),"")</f>
        <v>P</v>
      </c>
      <c r="AS270" s="3">
        <v>286</v>
      </c>
      <c r="AT270" s="3" t="str">
        <f>IFERROR(MID(VLOOKUP($B270,Seqs!$A:$B,2,0),AU270,1),"")</f>
        <v>L</v>
      </c>
      <c r="AU270" s="3">
        <v>311</v>
      </c>
      <c r="AV270" s="3" t="str">
        <f>IFERROR(MID(VLOOKUP($B270,Seqs!$A:$B,2,0),AW270,1),"")</f>
        <v>N</v>
      </c>
      <c r="AW270" s="3">
        <v>312</v>
      </c>
      <c r="AX270" s="3" t="str">
        <f>IFERROR(MID(VLOOKUP($B270,Seqs!$A:$B,2,0),AY270,1),"")</f>
        <v>N</v>
      </c>
      <c r="AY270" s="3">
        <v>328</v>
      </c>
      <c r="AZ270" s="77" t="str">
        <f>VLOOKUP(B270,Classification!A:D,2,0)</f>
        <v>A</v>
      </c>
      <c r="BA270" s="94" t="str">
        <f>VLOOKUP(B270,Classification!A:D,4,0)</f>
        <v>Melatonin</v>
      </c>
      <c r="BB270" s="27" t="b">
        <f t="shared" ref="BB270:BB271" si="2349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 t="shared" ref="BC270:BC271" si="2350">_xlfn.AGGREGATE(9,6,CH270:CS270)-_xlfn.AGGREGATE(9,6,BV270:CG270)+12</f>
        <v>264</v>
      </c>
      <c r="BD270" s="5" t="s">
        <v>23</v>
      </c>
      <c r="BE270" s="3" t="s">
        <v>23</v>
      </c>
      <c r="BF270" s="118" t="s">
        <v>23</v>
      </c>
      <c r="BI270" s="1"/>
      <c r="BJ270" s="70" t="s">
        <v>1283</v>
      </c>
      <c r="BK270" s="57" t="s">
        <v>1283</v>
      </c>
      <c r="BL270" s="57" t="s">
        <v>1283</v>
      </c>
      <c r="BM270" s="57" t="s">
        <v>1283</v>
      </c>
      <c r="BN270" s="57" t="s">
        <v>1283</v>
      </c>
      <c r="BO270" s="57" t="s">
        <v>1283</v>
      </c>
      <c r="BP270" s="57" t="s">
        <v>1283</v>
      </c>
      <c r="BQ270" s="57" t="s">
        <v>1283</v>
      </c>
      <c r="BR270" s="57" t="s">
        <v>1283</v>
      </c>
      <c r="BS270" s="57" t="s">
        <v>1283</v>
      </c>
      <c r="BT270" s="57" t="s">
        <v>1283</v>
      </c>
      <c r="BU270" s="57" t="s">
        <v>1283</v>
      </c>
      <c r="BV270" s="70">
        <f t="shared" ref="BV270:BV271" si="2351">E270</f>
        <v>38</v>
      </c>
      <c r="BW270" s="71">
        <f t="shared" ref="BW270:BW271" si="2352">I270</f>
        <v>69</v>
      </c>
      <c r="BX270" s="72">
        <f t="shared" ref="BX270:BX271" si="2353">M270</f>
        <v>73</v>
      </c>
      <c r="BY270" s="71">
        <f t="shared" ref="BY270:BY271" si="2354">Q270</f>
        <v>105</v>
      </c>
      <c r="BZ270" s="72">
        <f t="shared" ref="BZ270:BZ271" si="2355">U270</f>
        <v>109</v>
      </c>
      <c r="CA270" s="71">
        <f t="shared" ref="CA270:CA271" si="2356">Y270</f>
        <v>145</v>
      </c>
      <c r="CB270" s="72">
        <f t="shared" ref="CB270:CB271" si="2357">AC270</f>
        <v>153</v>
      </c>
      <c r="CC270" s="71">
        <f t="shared" ref="CC270:CC271" si="2358">AG270</f>
        <v>190</v>
      </c>
      <c r="CD270" s="72">
        <f t="shared" ref="CD270:CD271" si="2359">AK270</f>
        <v>197</v>
      </c>
      <c r="CE270" s="71">
        <f t="shared" ref="CE270:CE271" si="2360">AO270</f>
        <v>240</v>
      </c>
      <c r="CF270" s="72">
        <f t="shared" ref="CF270:CF271" si="2361">AS270</f>
        <v>286</v>
      </c>
      <c r="CG270" s="71">
        <f t="shared" ref="CG270:CG271" si="2362">AW270</f>
        <v>312</v>
      </c>
      <c r="CH270" s="70">
        <f t="shared" ref="CH270:CH271" si="2363">G270</f>
        <v>68</v>
      </c>
      <c r="CI270" s="71">
        <f t="shared" ref="CI270:CI271" si="2364">K270</f>
        <v>72</v>
      </c>
      <c r="CJ270" s="72">
        <f t="shared" ref="CJ270:CJ271" si="2365">O270</f>
        <v>104</v>
      </c>
      <c r="CK270" s="72">
        <f t="shared" ref="CK270:CK271" si="2366">S270</f>
        <v>108</v>
      </c>
      <c r="CL270" s="72">
        <f t="shared" ref="CL270:CL271" si="2367">W270</f>
        <v>144</v>
      </c>
      <c r="CM270" s="72">
        <f t="shared" ref="CM270:CM271" si="2368">AA270</f>
        <v>152</v>
      </c>
      <c r="CN270" s="72">
        <f t="shared" ref="CN270:CN271" si="2369">AE270</f>
        <v>179</v>
      </c>
      <c r="CO270" s="72">
        <f t="shared" ref="CO270:CO271" si="2370">AI270</f>
        <v>192</v>
      </c>
      <c r="CP270" s="72">
        <f t="shared" ref="CP270:CP271" si="2371">AM270</f>
        <v>234</v>
      </c>
      <c r="CQ270" s="72">
        <f t="shared" ref="CQ270:CQ271" si="2372">AQ270</f>
        <v>277</v>
      </c>
      <c r="CR270" s="72">
        <f t="shared" ref="CR270:CR271" si="2373">AU270</f>
        <v>311</v>
      </c>
      <c r="CS270" s="72">
        <f t="shared" ref="CS270:CS271" si="2374">AY270</f>
        <v>328</v>
      </c>
      <c r="CT270" s="23">
        <f t="shared" ref="CT270:CT271" si="2375">M270-K270</f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si="2348"/>
        <v>mtr1b_human_6ME6</v>
      </c>
      <c r="B271" s="3" t="s">
        <v>311</v>
      </c>
      <c r="C271" s="3" t="s">
        <v>1564</v>
      </c>
      <c r="D271" s="3" t="str">
        <f>IFERROR(MID(VLOOKUP($B271,Seqs!$A:$B,2,0),E271,1),"")</f>
        <v>W</v>
      </c>
      <c r="E271" s="3">
        <v>38</v>
      </c>
      <c r="F271" s="3" t="str">
        <f>IFERROR(MID(VLOOKUP($B271,Seqs!$A:$B,2,0),G271,1),"")</f>
        <v>R</v>
      </c>
      <c r="G271" s="3">
        <v>67</v>
      </c>
      <c r="H271" s="3" t="str">
        <f>IFERROR(MID(VLOOKUP($B271,Seqs!$A:$B,2,0),I271,1),"")</f>
        <v>R</v>
      </c>
      <c r="I271" s="23">
        <v>69</v>
      </c>
      <c r="J271" s="3" t="str">
        <f>IFERROR(MID(VLOOKUP($B271,Seqs!$A:$B,2,0),K271,1),"")</f>
        <v>R</v>
      </c>
      <c r="K271" s="23">
        <v>72</v>
      </c>
      <c r="L271" s="3" t="str">
        <f>IFERROR(MID(VLOOKUP($B271,Seqs!$A:$B,2,0),M271,1),"")</f>
        <v>N</v>
      </c>
      <c r="M271" s="3">
        <v>73</v>
      </c>
      <c r="N271" s="3" t="str">
        <f>IFERROR(MID(VLOOKUP($B271,Seqs!$A:$B,2,0),O271,1),"")</f>
        <v>D</v>
      </c>
      <c r="O271" s="3">
        <v>104</v>
      </c>
      <c r="P271" s="3" t="str">
        <f>IFERROR(MID(VLOOKUP($B271,Seqs!$A:$B,2,0),Q271,1),"")</f>
        <v>G</v>
      </c>
      <c r="Q271" s="3">
        <v>105</v>
      </c>
      <c r="R271" s="3" t="str">
        <f>IFERROR(MID(VLOOKUP($B271,Seqs!$A:$B,2,0),S271,1),"")</f>
        <v>L</v>
      </c>
      <c r="S271" s="3">
        <v>108</v>
      </c>
      <c r="T271" s="3" t="str">
        <f>IFERROR(MID(VLOOKUP($B271,Seqs!$A:$B,2,0),U271,1),"")</f>
        <v>E</v>
      </c>
      <c r="U271" s="3">
        <v>110</v>
      </c>
      <c r="V271" s="3" t="str">
        <f>IFERROR(MID(VLOOKUP($B271,Seqs!$A:$B,2,0),W271,1),"")</f>
        <v>H</v>
      </c>
      <c r="W271" s="3">
        <v>144</v>
      </c>
      <c r="X271" s="3" t="str">
        <f>IFERROR(MID(VLOOKUP($B271,Seqs!$A:$B,2,0),Y271,1),"")</f>
        <v>S</v>
      </c>
      <c r="Y271" s="3">
        <v>145</v>
      </c>
      <c r="Z271" s="3" t="str">
        <f>IFERROR(MID(VLOOKUP($B271,Seqs!$A:$B,2,0),AA271,1),"")</f>
        <v>Y</v>
      </c>
      <c r="AA271" s="3">
        <v>152</v>
      </c>
      <c r="AB271" s="3" t="str">
        <f>IFERROR(MID(VLOOKUP($B271,Seqs!$A:$B,2,0),AC271,1),"")</f>
        <v>R</v>
      </c>
      <c r="AC271" s="3">
        <v>153</v>
      </c>
      <c r="AD271" s="3" t="str">
        <f>IFERROR(MID(VLOOKUP($B271,Seqs!$A:$B,2,0),AE271,1),"")</f>
        <v>V</v>
      </c>
      <c r="AE271" s="3">
        <v>178</v>
      </c>
      <c r="AF271" s="3" t="str">
        <f>IFERROR(MID(VLOOKUP($B271,Seqs!$A:$B,2,0),AG271,1),"")</f>
        <v>C</v>
      </c>
      <c r="AG271" s="3">
        <v>190</v>
      </c>
      <c r="AH271" s="3" t="str">
        <f>IFERROR(MID(VLOOKUP($B271,Seqs!$A:$B,2,0),AI271,1),"")</f>
        <v>F</v>
      </c>
      <c r="AI271" s="3">
        <v>192</v>
      </c>
      <c r="AJ271" s="3" t="str">
        <f>IFERROR(MID(VLOOKUP($B271,Seqs!$A:$B,2,0),AK271,1),"")</f>
        <v>S</v>
      </c>
      <c r="AK271" s="3">
        <v>197</v>
      </c>
      <c r="AL271" s="3" t="str">
        <f>IFERROR(MID(VLOOKUP($B271,Seqs!$A:$B,2,0),AM271,1),"")</f>
        <v>R</v>
      </c>
      <c r="AM271" s="3">
        <v>231</v>
      </c>
      <c r="AN271" s="3" t="str">
        <f>IFERROR(MID(VLOOKUP($B271,Seqs!$A:$B,2,0),AO271,1),"")</f>
        <v>F</v>
      </c>
      <c r="AO271" s="3">
        <v>250</v>
      </c>
      <c r="AP271" s="3" t="str">
        <f>IFERROR(MID(VLOOKUP($B271,Seqs!$A:$B,2,0),AQ271,1),"")</f>
        <v>N</v>
      </c>
      <c r="AQ271" s="3">
        <v>277</v>
      </c>
      <c r="AR271" s="3" t="str">
        <f>IFERROR(MID(VLOOKUP($B271,Seqs!$A:$B,2,0),AS271,1),"")</f>
        <v>P</v>
      </c>
      <c r="AS271" s="3">
        <v>286</v>
      </c>
      <c r="AT271" s="3" t="str">
        <f>IFERROR(MID(VLOOKUP($B271,Seqs!$A:$B,2,0),AU271,1),"")</f>
        <v>L</v>
      </c>
      <c r="AU271" s="3">
        <v>311</v>
      </c>
      <c r="AV271" s="3" t="str">
        <f>IFERROR(MID(VLOOKUP($B271,Seqs!$A:$B,2,0),AW271,1),"")</f>
        <v>N</v>
      </c>
      <c r="AW271" s="3">
        <v>312</v>
      </c>
      <c r="AX271" s="3" t="str">
        <f>IFERROR(MID(VLOOKUP($B271,Seqs!$A:$B,2,0),AY271,1),"")</f>
        <v>N</v>
      </c>
      <c r="AY271" s="3">
        <v>328</v>
      </c>
      <c r="AZ271" s="77" t="str">
        <f>VLOOKUP(B271,Classification!A:D,2,0)</f>
        <v>A</v>
      </c>
      <c r="BA271" s="94" t="str">
        <f>VLOOKUP(B271,Classification!A:D,4,0)</f>
        <v>Melatonin</v>
      </c>
      <c r="BB271" s="27" t="b">
        <f t="shared" si="2349"/>
        <v>1</v>
      </c>
      <c r="BC271" s="23">
        <f t="shared" si="2350"/>
        <v>248</v>
      </c>
      <c r="BD271" s="5" t="s">
        <v>23</v>
      </c>
      <c r="BE271" s="3" t="s">
        <v>1370</v>
      </c>
      <c r="BF271" s="118">
        <v>2.8</v>
      </c>
      <c r="BG271" s="49" t="s">
        <v>1277</v>
      </c>
      <c r="BH271" s="49" t="s">
        <v>1277</v>
      </c>
      <c r="BI271" s="1"/>
      <c r="BJ271" s="70" t="s">
        <v>1283</v>
      </c>
      <c r="BK271" s="57" t="s">
        <v>1283</v>
      </c>
      <c r="BL271" s="57" t="s">
        <v>1283</v>
      </c>
      <c r="BM271" s="57" t="s">
        <v>1283</v>
      </c>
      <c r="BN271" s="57" t="s">
        <v>1283</v>
      </c>
      <c r="BO271" s="57" t="s">
        <v>1283</v>
      </c>
      <c r="BP271" s="57" t="s">
        <v>1283</v>
      </c>
      <c r="BQ271" s="57" t="s">
        <v>1283</v>
      </c>
      <c r="BR271" s="57" t="s">
        <v>1283</v>
      </c>
      <c r="BS271" s="57" t="s">
        <v>1283</v>
      </c>
      <c r="BT271" s="57" t="s">
        <v>1283</v>
      </c>
      <c r="BU271" s="57" t="s">
        <v>1283</v>
      </c>
      <c r="BV271" s="70">
        <f t="shared" si="2351"/>
        <v>38</v>
      </c>
      <c r="BW271" s="71">
        <f t="shared" si="2352"/>
        <v>69</v>
      </c>
      <c r="BX271" s="72">
        <f t="shared" si="2353"/>
        <v>73</v>
      </c>
      <c r="BY271" s="71">
        <f t="shared" si="2354"/>
        <v>105</v>
      </c>
      <c r="BZ271" s="72">
        <f t="shared" si="2355"/>
        <v>110</v>
      </c>
      <c r="CA271" s="71">
        <f t="shared" si="2356"/>
        <v>145</v>
      </c>
      <c r="CB271" s="72">
        <f t="shared" si="2357"/>
        <v>153</v>
      </c>
      <c r="CC271" s="71">
        <f t="shared" si="2358"/>
        <v>190</v>
      </c>
      <c r="CD271" s="72">
        <f t="shared" si="2359"/>
        <v>197</v>
      </c>
      <c r="CE271" s="71">
        <f t="shared" si="2360"/>
        <v>250</v>
      </c>
      <c r="CF271" s="72">
        <f t="shared" si="2361"/>
        <v>286</v>
      </c>
      <c r="CG271" s="71">
        <f t="shared" si="2362"/>
        <v>312</v>
      </c>
      <c r="CH271" s="70">
        <f t="shared" si="2363"/>
        <v>67</v>
      </c>
      <c r="CI271" s="71">
        <f t="shared" si="2364"/>
        <v>72</v>
      </c>
      <c r="CJ271" s="72">
        <f t="shared" si="2365"/>
        <v>104</v>
      </c>
      <c r="CK271" s="72">
        <f t="shared" si="2366"/>
        <v>108</v>
      </c>
      <c r="CL271" s="72">
        <f t="shared" si="2367"/>
        <v>144</v>
      </c>
      <c r="CM271" s="72">
        <f t="shared" si="2368"/>
        <v>152</v>
      </c>
      <c r="CN271" s="72">
        <f t="shared" si="2369"/>
        <v>178</v>
      </c>
      <c r="CO271" s="72">
        <f t="shared" si="2370"/>
        <v>192</v>
      </c>
      <c r="CP271" s="72">
        <f t="shared" si="2371"/>
        <v>231</v>
      </c>
      <c r="CQ271" s="72">
        <f t="shared" si="2372"/>
        <v>277</v>
      </c>
      <c r="CR271" s="72">
        <f t="shared" si="2373"/>
        <v>311</v>
      </c>
      <c r="CS271" s="72">
        <f t="shared" si="2374"/>
        <v>328</v>
      </c>
      <c r="CT271" s="23">
        <f t="shared" si="2375"/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ref="A272" si="2376">CONCATENATE(B272,"_",C272)</f>
        <v>mtr1b_human_6ME7</v>
      </c>
      <c r="B272" s="3" t="s">
        <v>311</v>
      </c>
      <c r="C272" s="3" t="s">
        <v>1565</v>
      </c>
      <c r="D272" s="3" t="str">
        <f>IFERROR(MID(VLOOKUP($B272,Seqs!$A:$B,2,0),E272,1),"")</f>
        <v>W</v>
      </c>
      <c r="E272" s="3">
        <v>38</v>
      </c>
      <c r="F272" s="3" t="str">
        <f>IFERROR(MID(VLOOKUP($B272,Seqs!$A:$B,2,0),G272,1),"")</f>
        <v>N</v>
      </c>
      <c r="G272" s="3">
        <v>68</v>
      </c>
      <c r="H272" s="3" t="str">
        <f>IFERROR(MID(VLOOKUP($B272,Seqs!$A:$B,2,0),I272,1),"")</f>
        <v>R</v>
      </c>
      <c r="I272" s="23">
        <v>69</v>
      </c>
      <c r="J272" s="3" t="str">
        <f>IFERROR(MID(VLOOKUP($B272,Seqs!$A:$B,2,0),K272,1),"")</f>
        <v>R</v>
      </c>
      <c r="K272" s="23">
        <v>72</v>
      </c>
      <c r="L272" s="3" t="str">
        <f>IFERROR(MID(VLOOKUP($B272,Seqs!$A:$B,2,0),M272,1),"")</f>
        <v>G</v>
      </c>
      <c r="M272" s="3">
        <v>75</v>
      </c>
      <c r="N272" s="3" t="str">
        <f>IFERROR(MID(VLOOKUP($B272,Seqs!$A:$B,2,0),O272,1),"")</f>
        <v>D</v>
      </c>
      <c r="O272" s="3">
        <v>104</v>
      </c>
      <c r="P272" s="3" t="str">
        <f>IFERROR(MID(VLOOKUP($B272,Seqs!$A:$B,2,0),Q272,1),"")</f>
        <v>G</v>
      </c>
      <c r="Q272" s="3">
        <v>105</v>
      </c>
      <c r="R272" s="3" t="str">
        <f>IFERROR(MID(VLOOKUP($B272,Seqs!$A:$B,2,0),S272,1),"")</f>
        <v>L</v>
      </c>
      <c r="S272" s="3">
        <v>108</v>
      </c>
      <c r="T272" s="3" t="str">
        <f>IFERROR(MID(VLOOKUP($B272,Seqs!$A:$B,2,0),U272,1),"")</f>
        <v>G</v>
      </c>
      <c r="U272" s="3">
        <v>109</v>
      </c>
      <c r="V272" s="3" t="str">
        <f>IFERROR(MID(VLOOKUP($B272,Seqs!$A:$B,2,0),W272,1),"")</f>
        <v>H</v>
      </c>
      <c r="W272" s="3">
        <v>144</v>
      </c>
      <c r="X272" s="3" t="str">
        <f>IFERROR(MID(VLOOKUP($B272,Seqs!$A:$B,2,0),Y272,1),"")</f>
        <v>S</v>
      </c>
      <c r="Y272" s="3">
        <v>145</v>
      </c>
      <c r="Z272" s="3" t="str">
        <f>IFERROR(MID(VLOOKUP($B272,Seqs!$A:$B,2,0),AA272,1),"")</f>
        <v>Y</v>
      </c>
      <c r="AA272" s="3">
        <v>152</v>
      </c>
      <c r="AB272" s="3" t="str">
        <f>IFERROR(MID(VLOOKUP($B272,Seqs!$A:$B,2,0),AC272,1),"")</f>
        <v>R</v>
      </c>
      <c r="AC272" s="3">
        <v>153</v>
      </c>
      <c r="AD272" s="3" t="str">
        <f>IFERROR(MID(VLOOKUP($B272,Seqs!$A:$B,2,0),AE272,1),"")</f>
        <v>G</v>
      </c>
      <c r="AE272" s="3">
        <v>179</v>
      </c>
      <c r="AF272" s="3" t="str">
        <f>IFERROR(MID(VLOOKUP($B272,Seqs!$A:$B,2,0),AG272,1),"")</f>
        <v>C</v>
      </c>
      <c r="AG272" s="3">
        <v>190</v>
      </c>
      <c r="AH272" s="3" t="str">
        <f>IFERROR(MID(VLOOKUP($B272,Seqs!$A:$B,2,0),AI272,1),"")</f>
        <v>F</v>
      </c>
      <c r="AI272" s="3">
        <v>192</v>
      </c>
      <c r="AJ272" s="3" t="str">
        <f>IFERROR(MID(VLOOKUP($B272,Seqs!$A:$B,2,0),AK272,1),"")</f>
        <v>S</v>
      </c>
      <c r="AK272" s="3">
        <v>197</v>
      </c>
      <c r="AL272" s="3" t="str">
        <f>IFERROR(MID(VLOOKUP($B272,Seqs!$A:$B,2,0),AM272,1),"")</f>
        <v>A</v>
      </c>
      <c r="AM272" s="3">
        <v>230</v>
      </c>
      <c r="AN272" s="3" t="str">
        <f>IFERROR(MID(VLOOKUP($B272,Seqs!$A:$B,2,0),AO272,1),"")</f>
        <v>S</v>
      </c>
      <c r="AO272" s="3">
        <v>249</v>
      </c>
      <c r="AP272" s="3" t="str">
        <f>IFERROR(MID(VLOOKUP($B272,Seqs!$A:$B,2,0),AQ272,1),"")</f>
        <v>N</v>
      </c>
      <c r="AQ272" s="3">
        <v>277</v>
      </c>
      <c r="AR272" s="3" t="str">
        <f>IFERROR(MID(VLOOKUP($B272,Seqs!$A:$B,2,0),AS272,1),"")</f>
        <v>P</v>
      </c>
      <c r="AS272" s="3">
        <v>286</v>
      </c>
      <c r="AT272" s="3" t="str">
        <f>IFERROR(MID(VLOOKUP($B272,Seqs!$A:$B,2,0),AU272,1),"")</f>
        <v>L</v>
      </c>
      <c r="AU272" s="3">
        <v>311</v>
      </c>
      <c r="AV272" s="3" t="str">
        <f>IFERROR(MID(VLOOKUP($B272,Seqs!$A:$B,2,0),AW272,1),"")</f>
        <v>N</v>
      </c>
      <c r="AW272" s="3">
        <v>312</v>
      </c>
      <c r="AX272" s="3" t="str">
        <f>IFERROR(MID(VLOOKUP($B272,Seqs!$A:$B,2,0),AY272,1),"")</f>
        <v>N</v>
      </c>
      <c r="AY272" s="3">
        <v>328</v>
      </c>
      <c r="AZ272" s="77" t="str">
        <f>VLOOKUP(B272,Classification!A:D,2,0)</f>
        <v>A</v>
      </c>
      <c r="BA272" s="94" t="str">
        <f>VLOOKUP(B272,Classification!A:D,4,0)</f>
        <v>Melatonin</v>
      </c>
      <c r="BB272" s="27" t="b">
        <f t="shared" ref="BB272" si="2377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2378">_xlfn.AGGREGATE(9,6,CH272:CS272)-_xlfn.AGGREGATE(9,6,BV272:CG272)+12</f>
        <v>249</v>
      </c>
      <c r="BD272" s="5" t="s">
        <v>1372</v>
      </c>
      <c r="BE272" s="3" t="s">
        <v>1370</v>
      </c>
      <c r="BF272" s="118">
        <v>3.2</v>
      </c>
      <c r="BG272" s="49" t="s">
        <v>1</v>
      </c>
      <c r="BH272" s="49" t="s">
        <v>1</v>
      </c>
      <c r="BI272" s="1"/>
      <c r="BJ272" s="70" t="s">
        <v>1283</v>
      </c>
      <c r="BK272" s="57" t="s">
        <v>1283</v>
      </c>
      <c r="BL272" s="57" t="s">
        <v>1283</v>
      </c>
      <c r="BM272" s="57" t="s">
        <v>1283</v>
      </c>
      <c r="BN272" s="57" t="s">
        <v>1283</v>
      </c>
      <c r="BO272" s="57" t="s">
        <v>1283</v>
      </c>
      <c r="BP272" s="57" t="s">
        <v>1283</v>
      </c>
      <c r="BQ272" s="57" t="s">
        <v>1283</v>
      </c>
      <c r="BR272" s="57" t="s">
        <v>1283</v>
      </c>
      <c r="BS272" s="57" t="s">
        <v>1283</v>
      </c>
      <c r="BT272" s="57" t="s">
        <v>1283</v>
      </c>
      <c r="BU272" s="57" t="s">
        <v>1283</v>
      </c>
      <c r="BV272" s="70">
        <f t="shared" ref="BV272" si="2379">E272</f>
        <v>38</v>
      </c>
      <c r="BW272" s="71">
        <f t="shared" ref="BW272" si="2380">I272</f>
        <v>69</v>
      </c>
      <c r="BX272" s="72">
        <f t="shared" ref="BX272" si="2381">M272</f>
        <v>75</v>
      </c>
      <c r="BY272" s="71">
        <f t="shared" ref="BY272" si="2382">Q272</f>
        <v>105</v>
      </c>
      <c r="BZ272" s="72">
        <f t="shared" ref="BZ272" si="2383">U272</f>
        <v>109</v>
      </c>
      <c r="CA272" s="71">
        <f t="shared" ref="CA272" si="2384">Y272</f>
        <v>145</v>
      </c>
      <c r="CB272" s="72">
        <f t="shared" ref="CB272" si="2385">AC272</f>
        <v>153</v>
      </c>
      <c r="CC272" s="71">
        <f t="shared" ref="CC272" si="2386">AG272</f>
        <v>190</v>
      </c>
      <c r="CD272" s="72">
        <f t="shared" ref="CD272" si="2387">AK272</f>
        <v>197</v>
      </c>
      <c r="CE272" s="71">
        <f t="shared" ref="CE272" si="2388">AO272</f>
        <v>249</v>
      </c>
      <c r="CF272" s="72">
        <f t="shared" ref="CF272" si="2389">AS272</f>
        <v>286</v>
      </c>
      <c r="CG272" s="71">
        <f t="shared" ref="CG272" si="2390">AW272</f>
        <v>312</v>
      </c>
      <c r="CH272" s="70">
        <f t="shared" ref="CH272" si="2391">G272</f>
        <v>68</v>
      </c>
      <c r="CI272" s="71">
        <f t="shared" ref="CI272" si="2392">K272</f>
        <v>72</v>
      </c>
      <c r="CJ272" s="72">
        <f t="shared" ref="CJ272" si="2393">O272</f>
        <v>104</v>
      </c>
      <c r="CK272" s="72">
        <f t="shared" ref="CK272" si="2394">S272</f>
        <v>108</v>
      </c>
      <c r="CL272" s="72">
        <f t="shared" ref="CL272" si="2395">W272</f>
        <v>144</v>
      </c>
      <c r="CM272" s="72">
        <f t="shared" ref="CM272" si="2396">AA272</f>
        <v>152</v>
      </c>
      <c r="CN272" s="72">
        <f t="shared" ref="CN272" si="2397">AE272</f>
        <v>179</v>
      </c>
      <c r="CO272" s="72">
        <f t="shared" ref="CO272" si="2398">AI272</f>
        <v>192</v>
      </c>
      <c r="CP272" s="72">
        <f t="shared" ref="CP272" si="2399">AM272</f>
        <v>230</v>
      </c>
      <c r="CQ272" s="72">
        <f t="shared" ref="CQ272" si="2400">AQ272</f>
        <v>277</v>
      </c>
      <c r="CR272" s="72">
        <f t="shared" ref="CR272" si="2401">AU272</f>
        <v>311</v>
      </c>
      <c r="CS272" s="72">
        <f t="shared" ref="CS272" si="2402">AY272</f>
        <v>328</v>
      </c>
      <c r="CT272" s="23">
        <f t="shared" ref="CT272" si="2403">M272-K272</f>
        <v>3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 t="shared" ref="A273" si="2404">CONCATENATE(B273,"_",C273)</f>
        <v>mtr1b_human_6ME8</v>
      </c>
      <c r="B273" s="3" t="s">
        <v>311</v>
      </c>
      <c r="C273" s="3" t="s">
        <v>1566</v>
      </c>
      <c r="D273" s="3" t="str">
        <f>IFERROR(MID(VLOOKUP($B273,Seqs!$A:$B,2,0),E273,1),"")</f>
        <v>W</v>
      </c>
      <c r="E273" s="3">
        <v>38</v>
      </c>
      <c r="F273" s="3" t="str">
        <f>IFERROR(MID(VLOOKUP($B273,Seqs!$A:$B,2,0),G273,1),"")</f>
        <v>R</v>
      </c>
      <c r="G273" s="3">
        <v>67</v>
      </c>
      <c r="H273" s="3" t="str">
        <f>IFERROR(MID(VLOOKUP($B273,Seqs!$A:$B,2,0),I273,1),"")</f>
        <v>R</v>
      </c>
      <c r="I273" s="23">
        <v>69</v>
      </c>
      <c r="J273" s="3" t="str">
        <f>IFERROR(MID(VLOOKUP($B273,Seqs!$A:$B,2,0),K273,1),"")</f>
        <v>R</v>
      </c>
      <c r="K273" s="23">
        <v>72</v>
      </c>
      <c r="L273" s="3" t="str">
        <f>IFERROR(MID(VLOOKUP($B273,Seqs!$A:$B,2,0),M273,1),"")</f>
        <v>N</v>
      </c>
      <c r="M273" s="3">
        <v>73</v>
      </c>
      <c r="N273" s="3" t="str">
        <f>IFERROR(MID(VLOOKUP($B273,Seqs!$A:$B,2,0),O273,1),"")</f>
        <v>D</v>
      </c>
      <c r="O273" s="3">
        <v>104</v>
      </c>
      <c r="P273" s="3" t="str">
        <f>IFERROR(MID(VLOOKUP($B273,Seqs!$A:$B,2,0),Q273,1),"")</f>
        <v>G</v>
      </c>
      <c r="Q273" s="3">
        <v>105</v>
      </c>
      <c r="R273" s="3" t="str">
        <f>IFERROR(MID(VLOOKUP($B273,Seqs!$A:$B,2,0),S273,1),"")</f>
        <v>L</v>
      </c>
      <c r="S273" s="3">
        <v>108</v>
      </c>
      <c r="T273" s="3" t="str">
        <f>IFERROR(MID(VLOOKUP($B273,Seqs!$A:$B,2,0),U273,1),"")</f>
        <v>G</v>
      </c>
      <c r="U273" s="3">
        <v>109</v>
      </c>
      <c r="V273" s="3" t="str">
        <f>IFERROR(MID(VLOOKUP($B273,Seqs!$A:$B,2,0),W273,1),"")</f>
        <v>C</v>
      </c>
      <c r="W273" s="3">
        <v>143</v>
      </c>
      <c r="X273" s="3" t="str">
        <f>IFERROR(MID(VLOOKUP($B273,Seqs!$A:$B,2,0),Y273,1),"")</f>
        <v>S</v>
      </c>
      <c r="Y273" s="3">
        <v>145</v>
      </c>
      <c r="Z273" s="3" t="str">
        <f>IFERROR(MID(VLOOKUP($B273,Seqs!$A:$B,2,0),AA273,1),"")</f>
        <v>Y</v>
      </c>
      <c r="AA273" s="3">
        <v>152</v>
      </c>
      <c r="AB273" s="3" t="str">
        <f>IFERROR(MID(VLOOKUP($B273,Seqs!$A:$B,2,0),AC273,1),"")</f>
        <v>H</v>
      </c>
      <c r="AC273" s="3">
        <v>156</v>
      </c>
      <c r="AD273" s="3" t="str">
        <f>IFERROR(MID(VLOOKUP($B273,Seqs!$A:$B,2,0),AE273,1),"")</f>
        <v>G</v>
      </c>
      <c r="AE273" s="3">
        <v>179</v>
      </c>
      <c r="AF273" s="3" t="str">
        <f>IFERROR(MID(VLOOKUP($B273,Seqs!$A:$B,2,0),AG273,1),"")</f>
        <v>C</v>
      </c>
      <c r="AG273" s="3">
        <v>190</v>
      </c>
      <c r="AH273" s="3" t="str">
        <f>IFERROR(MID(VLOOKUP($B273,Seqs!$A:$B,2,0),AI273,1),"")</f>
        <v>F</v>
      </c>
      <c r="AI273" s="3">
        <v>192</v>
      </c>
      <c r="AJ273" s="3" t="str">
        <f>IFERROR(MID(VLOOKUP($B273,Seqs!$A:$B,2,0),AK273,1),"")</f>
        <v>S</v>
      </c>
      <c r="AK273" s="3">
        <v>197</v>
      </c>
      <c r="AL273" s="3" t="str">
        <f>IFERROR(MID(VLOOKUP($B273,Seqs!$A:$B,2,0),AM273,1),"")</f>
        <v>A</v>
      </c>
      <c r="AM273" s="3">
        <v>230</v>
      </c>
      <c r="AN273" s="3" t="str">
        <f>IFERROR(MID(VLOOKUP($B273,Seqs!$A:$B,2,0),AO273,1),"")</f>
        <v>F</v>
      </c>
      <c r="AO273" s="3">
        <v>250</v>
      </c>
      <c r="AP273" s="3" t="str">
        <f>IFERROR(MID(VLOOKUP($B273,Seqs!$A:$B,2,0),AQ273,1),"")</f>
        <v>N</v>
      </c>
      <c r="AQ273" s="3">
        <v>277</v>
      </c>
      <c r="AR273" s="3" t="str">
        <f>IFERROR(MID(VLOOKUP($B273,Seqs!$A:$B,2,0),AS273,1),"")</f>
        <v>P</v>
      </c>
      <c r="AS273" s="3">
        <v>286</v>
      </c>
      <c r="AT273" s="3" t="str">
        <f>IFERROR(MID(VLOOKUP($B273,Seqs!$A:$B,2,0),AU273,1),"")</f>
        <v>L</v>
      </c>
      <c r="AU273" s="3">
        <v>311</v>
      </c>
      <c r="AV273" s="3" t="str">
        <f>IFERROR(MID(VLOOKUP($B273,Seqs!$A:$B,2,0),AW273,1),"")</f>
        <v>N</v>
      </c>
      <c r="AW273" s="3">
        <v>312</v>
      </c>
      <c r="AX273" s="3" t="str">
        <f>IFERROR(MID(VLOOKUP($B273,Seqs!$A:$B,2,0),AY273,1),"")</f>
        <v>N</v>
      </c>
      <c r="AY273" s="3">
        <v>328</v>
      </c>
      <c r="AZ273" s="77" t="str">
        <f>VLOOKUP(B273,Classification!A:D,2,0)</f>
        <v>A</v>
      </c>
      <c r="BA273" s="94" t="str">
        <f>VLOOKUP(B273,Classification!A:D,4,0)</f>
        <v>Melatonin</v>
      </c>
      <c r="BB273" s="27" t="b">
        <f t="shared" ref="BB273" si="2405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2406">_xlfn.AGGREGATE(9,6,CH273:CS273)-_xlfn.AGGREGATE(9,6,BV273:CG273)+12</f>
        <v>245</v>
      </c>
      <c r="BD273" s="5" t="s">
        <v>23</v>
      </c>
      <c r="BE273" s="3" t="s">
        <v>1370</v>
      </c>
      <c r="BF273" s="118">
        <v>3.1</v>
      </c>
      <c r="BG273" s="49" t="s">
        <v>1277</v>
      </c>
      <c r="BH273" s="49" t="s">
        <v>1277</v>
      </c>
      <c r="BI273" s="1"/>
      <c r="BJ273" s="70" t="s">
        <v>1283</v>
      </c>
      <c r="BK273" s="57" t="s">
        <v>1283</v>
      </c>
      <c r="BL273" s="57" t="s">
        <v>1283</v>
      </c>
      <c r="BM273" s="57" t="s">
        <v>1283</v>
      </c>
      <c r="BN273" s="57" t="s">
        <v>1283</v>
      </c>
      <c r="BO273" s="57" t="s">
        <v>1283</v>
      </c>
      <c r="BP273" s="57" t="s">
        <v>1283</v>
      </c>
      <c r="BQ273" s="57" t="s">
        <v>1283</v>
      </c>
      <c r="BR273" s="57" t="s">
        <v>1283</v>
      </c>
      <c r="BS273" s="57" t="s">
        <v>1283</v>
      </c>
      <c r="BT273" s="57" t="s">
        <v>1283</v>
      </c>
      <c r="BU273" s="57" t="s">
        <v>1283</v>
      </c>
      <c r="BV273" s="70">
        <f t="shared" ref="BV273" si="2407">E273</f>
        <v>38</v>
      </c>
      <c r="BW273" s="71">
        <f t="shared" ref="BW273" si="2408">I273</f>
        <v>69</v>
      </c>
      <c r="BX273" s="72">
        <f t="shared" ref="BX273" si="2409">M273</f>
        <v>73</v>
      </c>
      <c r="BY273" s="71">
        <f t="shared" ref="BY273" si="2410">Q273</f>
        <v>105</v>
      </c>
      <c r="BZ273" s="72">
        <f t="shared" ref="BZ273" si="2411">U273</f>
        <v>109</v>
      </c>
      <c r="CA273" s="71">
        <f t="shared" ref="CA273" si="2412">Y273</f>
        <v>145</v>
      </c>
      <c r="CB273" s="72">
        <f t="shared" ref="CB273" si="2413">AC273</f>
        <v>156</v>
      </c>
      <c r="CC273" s="71">
        <f t="shared" ref="CC273" si="2414">AG273</f>
        <v>190</v>
      </c>
      <c r="CD273" s="72">
        <f t="shared" ref="CD273" si="2415">AK273</f>
        <v>197</v>
      </c>
      <c r="CE273" s="71">
        <f t="shared" ref="CE273" si="2416">AO273</f>
        <v>250</v>
      </c>
      <c r="CF273" s="72">
        <f t="shared" ref="CF273" si="2417">AS273</f>
        <v>286</v>
      </c>
      <c r="CG273" s="71">
        <f t="shared" ref="CG273" si="2418">AW273</f>
        <v>312</v>
      </c>
      <c r="CH273" s="70">
        <f t="shared" ref="CH273" si="2419">G273</f>
        <v>67</v>
      </c>
      <c r="CI273" s="71">
        <f t="shared" ref="CI273" si="2420">K273</f>
        <v>72</v>
      </c>
      <c r="CJ273" s="72">
        <f t="shared" ref="CJ273" si="2421">O273</f>
        <v>104</v>
      </c>
      <c r="CK273" s="72">
        <f t="shared" ref="CK273" si="2422">S273</f>
        <v>108</v>
      </c>
      <c r="CL273" s="72">
        <f t="shared" ref="CL273" si="2423">W273</f>
        <v>143</v>
      </c>
      <c r="CM273" s="72">
        <f t="shared" ref="CM273" si="2424">AA273</f>
        <v>152</v>
      </c>
      <c r="CN273" s="72">
        <f t="shared" ref="CN273" si="2425">AE273</f>
        <v>179</v>
      </c>
      <c r="CO273" s="72">
        <f t="shared" ref="CO273" si="2426">AI273</f>
        <v>192</v>
      </c>
      <c r="CP273" s="72">
        <f t="shared" ref="CP273" si="2427">AM273</f>
        <v>230</v>
      </c>
      <c r="CQ273" s="72">
        <f t="shared" ref="CQ273" si="2428">AQ273</f>
        <v>277</v>
      </c>
      <c r="CR273" s="72">
        <f t="shared" ref="CR273" si="2429">AU273</f>
        <v>311</v>
      </c>
      <c r="CS273" s="72">
        <f t="shared" ref="CS273" si="2430">AY273</f>
        <v>328</v>
      </c>
      <c r="CT273" s="23">
        <f t="shared" ref="CT273" si="2431">M273-K273</f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 t="shared" ref="A274" si="2432">CONCATENATE(B274,"_",C274)</f>
        <v>mtr1b_human_6ME9</v>
      </c>
      <c r="B274" s="3" t="s">
        <v>311</v>
      </c>
      <c r="C274" s="3" t="s">
        <v>1567</v>
      </c>
      <c r="D274" s="3" t="str">
        <f>IFERROR(MID(VLOOKUP($B274,Seqs!$A:$B,2,0),E274,1),"")</f>
        <v>W</v>
      </c>
      <c r="E274" s="3">
        <v>38</v>
      </c>
      <c r="F274" s="3" t="str">
        <f>IFERROR(MID(VLOOKUP($B274,Seqs!$A:$B,2,0),G274,1),"")</f>
        <v>R</v>
      </c>
      <c r="G274" s="3">
        <v>67</v>
      </c>
      <c r="H274" s="3" t="str">
        <f>IFERROR(MID(VLOOKUP($B274,Seqs!$A:$B,2,0),I274,1),"")</f>
        <v>R</v>
      </c>
      <c r="I274" s="23">
        <v>69</v>
      </c>
      <c r="J274" s="3" t="str">
        <f>IFERROR(MID(VLOOKUP($B274,Seqs!$A:$B,2,0),K274,1),"")</f>
        <v>R</v>
      </c>
      <c r="K274" s="23">
        <v>72</v>
      </c>
      <c r="L274" s="3" t="str">
        <f>IFERROR(MID(VLOOKUP($B274,Seqs!$A:$B,2,0),M274,1),"")</f>
        <v>N</v>
      </c>
      <c r="M274" s="3">
        <v>73</v>
      </c>
      <c r="N274" s="3" t="str">
        <f>IFERROR(MID(VLOOKUP($B274,Seqs!$A:$B,2,0),O274,1),"")</f>
        <v>D</v>
      </c>
      <c r="O274" s="3">
        <v>104</v>
      </c>
      <c r="P274" s="3" t="str">
        <f>IFERROR(MID(VLOOKUP($B274,Seqs!$A:$B,2,0),Q274,1),"")</f>
        <v>G</v>
      </c>
      <c r="Q274" s="3">
        <v>105</v>
      </c>
      <c r="R274" s="3" t="str">
        <f>IFERROR(MID(VLOOKUP($B274,Seqs!$A:$B,2,0),S274,1),"")</f>
        <v>L</v>
      </c>
      <c r="S274" s="3">
        <v>108</v>
      </c>
      <c r="T274" s="3" t="str">
        <f>IFERROR(MID(VLOOKUP($B274,Seqs!$A:$B,2,0),U274,1),"")</f>
        <v>G</v>
      </c>
      <c r="U274" s="3">
        <v>109</v>
      </c>
      <c r="V274" s="3" t="str">
        <f>IFERROR(MID(VLOOKUP($B274,Seqs!$A:$B,2,0),W274,1),"")</f>
        <v>C</v>
      </c>
      <c r="W274" s="3">
        <v>143</v>
      </c>
      <c r="X274" s="3" t="str">
        <f>IFERROR(MID(VLOOKUP($B274,Seqs!$A:$B,2,0),Y274,1),"")</f>
        <v>S</v>
      </c>
      <c r="Y274" s="3">
        <v>145</v>
      </c>
      <c r="Z274" s="3" t="str">
        <f>IFERROR(MID(VLOOKUP($B274,Seqs!$A:$B,2,0),AA274,1),"")</f>
        <v>Y</v>
      </c>
      <c r="AA274" s="3">
        <v>152</v>
      </c>
      <c r="AB274" s="3" t="str">
        <f>IFERROR(MID(VLOOKUP($B274,Seqs!$A:$B,2,0),AC274,1),"")</f>
        <v>H</v>
      </c>
      <c r="AC274" s="3">
        <v>156</v>
      </c>
      <c r="AD274" s="3" t="str">
        <f>IFERROR(MID(VLOOKUP($B274,Seqs!$A:$B,2,0),AE274,1),"")</f>
        <v>G</v>
      </c>
      <c r="AE274" s="3">
        <v>179</v>
      </c>
      <c r="AF274" s="3" t="str">
        <f>IFERROR(MID(VLOOKUP($B274,Seqs!$A:$B,2,0),AG274,1),"")</f>
        <v>C</v>
      </c>
      <c r="AG274" s="3">
        <v>190</v>
      </c>
      <c r="AH274" s="3" t="str">
        <f>IFERROR(MID(VLOOKUP($B274,Seqs!$A:$B,2,0),AI274,1),"")</f>
        <v>F</v>
      </c>
      <c r="AI274" s="3">
        <v>192</v>
      </c>
      <c r="AJ274" s="3" t="str">
        <f>IFERROR(MID(VLOOKUP($B274,Seqs!$A:$B,2,0),AK274,1),"")</f>
        <v>S</v>
      </c>
      <c r="AK274" s="3">
        <v>197</v>
      </c>
      <c r="AL274" s="3" t="str">
        <f>IFERROR(MID(VLOOKUP($B274,Seqs!$A:$B,2,0),AM274,1),"")</f>
        <v>A</v>
      </c>
      <c r="AM274" s="3">
        <v>230</v>
      </c>
      <c r="AN274" s="3" t="str">
        <f>IFERROR(MID(VLOOKUP($B274,Seqs!$A:$B,2,0),AO274,1),"")</f>
        <v>F</v>
      </c>
      <c r="AO274" s="3">
        <v>250</v>
      </c>
      <c r="AP274" s="3" t="str">
        <f>IFERROR(MID(VLOOKUP($B274,Seqs!$A:$B,2,0),AQ274,1),"")</f>
        <v>N</v>
      </c>
      <c r="AQ274" s="3">
        <v>277</v>
      </c>
      <c r="AR274" s="3" t="str">
        <f>IFERROR(MID(VLOOKUP($B274,Seqs!$A:$B,2,0),AS274,1),"")</f>
        <v>P</v>
      </c>
      <c r="AS274" s="3">
        <v>286</v>
      </c>
      <c r="AT274" s="3" t="str">
        <f>IFERROR(MID(VLOOKUP($B274,Seqs!$A:$B,2,0),AU274,1),"")</f>
        <v>L</v>
      </c>
      <c r="AU274" s="3">
        <v>311</v>
      </c>
      <c r="AV274" s="3" t="str">
        <f>IFERROR(MID(VLOOKUP($B274,Seqs!$A:$B,2,0),AW274,1),"")</f>
        <v>N</v>
      </c>
      <c r="AW274" s="3">
        <v>312</v>
      </c>
      <c r="AX274" s="3" t="str">
        <f>IFERROR(MID(VLOOKUP($B274,Seqs!$A:$B,2,0),AY274,1),"")</f>
        <v>N</v>
      </c>
      <c r="AY274" s="3">
        <v>328</v>
      </c>
      <c r="AZ274" s="77" t="str">
        <f>VLOOKUP(B274,Classification!A:D,2,0)</f>
        <v>A</v>
      </c>
      <c r="BA274" s="94" t="str">
        <f>VLOOKUP(B274,Classification!A:D,4,0)</f>
        <v>Melatonin</v>
      </c>
      <c r="BB274" s="27" t="b">
        <f t="shared" ref="BB274" si="2433"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 t="shared" ref="BC274" si="2434">_xlfn.AGGREGATE(9,6,CH274:CS274)-_xlfn.AGGREGATE(9,6,BV274:CG274)+12</f>
        <v>245</v>
      </c>
      <c r="BD274" s="5" t="s">
        <v>23</v>
      </c>
      <c r="BE274" s="3" t="s">
        <v>1370</v>
      </c>
      <c r="BF274" s="118">
        <v>3.3</v>
      </c>
      <c r="BG274" s="49" t="s">
        <v>1277</v>
      </c>
      <c r="BH274" s="49" t="s">
        <v>1277</v>
      </c>
      <c r="BI274" s="1"/>
      <c r="BJ274" s="70" t="s">
        <v>1283</v>
      </c>
      <c r="BK274" s="57" t="s">
        <v>1283</v>
      </c>
      <c r="BL274" s="57" t="s">
        <v>1283</v>
      </c>
      <c r="BM274" s="57" t="s">
        <v>1283</v>
      </c>
      <c r="BN274" s="57" t="s">
        <v>1283</v>
      </c>
      <c r="BO274" s="57" t="s">
        <v>1283</v>
      </c>
      <c r="BP274" s="57" t="s">
        <v>1283</v>
      </c>
      <c r="BQ274" s="57" t="s">
        <v>1283</v>
      </c>
      <c r="BR274" s="57" t="s">
        <v>1283</v>
      </c>
      <c r="BS274" s="57" t="s">
        <v>1283</v>
      </c>
      <c r="BT274" s="57" t="s">
        <v>1283</v>
      </c>
      <c r="BU274" s="57" t="s">
        <v>1283</v>
      </c>
      <c r="BV274" s="70">
        <f t="shared" ref="BV274" si="2435">E274</f>
        <v>38</v>
      </c>
      <c r="BW274" s="71">
        <f t="shared" ref="BW274" si="2436">I274</f>
        <v>69</v>
      </c>
      <c r="BX274" s="72">
        <f t="shared" ref="BX274" si="2437">M274</f>
        <v>73</v>
      </c>
      <c r="BY274" s="71">
        <f t="shared" ref="BY274" si="2438">Q274</f>
        <v>105</v>
      </c>
      <c r="BZ274" s="72">
        <f t="shared" ref="BZ274" si="2439">U274</f>
        <v>109</v>
      </c>
      <c r="CA274" s="71">
        <f t="shared" ref="CA274" si="2440">Y274</f>
        <v>145</v>
      </c>
      <c r="CB274" s="72">
        <f t="shared" ref="CB274" si="2441">AC274</f>
        <v>156</v>
      </c>
      <c r="CC274" s="71">
        <f t="shared" ref="CC274" si="2442">AG274</f>
        <v>190</v>
      </c>
      <c r="CD274" s="72">
        <f t="shared" ref="CD274" si="2443">AK274</f>
        <v>197</v>
      </c>
      <c r="CE274" s="71">
        <f t="shared" ref="CE274" si="2444">AO274</f>
        <v>250</v>
      </c>
      <c r="CF274" s="72">
        <f t="shared" ref="CF274" si="2445">AS274</f>
        <v>286</v>
      </c>
      <c r="CG274" s="71">
        <f t="shared" ref="CG274" si="2446">AW274</f>
        <v>312</v>
      </c>
      <c r="CH274" s="70">
        <f t="shared" ref="CH274" si="2447">G274</f>
        <v>67</v>
      </c>
      <c r="CI274" s="71">
        <f t="shared" ref="CI274" si="2448">K274</f>
        <v>72</v>
      </c>
      <c r="CJ274" s="72">
        <f t="shared" ref="CJ274" si="2449">O274</f>
        <v>104</v>
      </c>
      <c r="CK274" s="72">
        <f t="shared" ref="CK274" si="2450">S274</f>
        <v>108</v>
      </c>
      <c r="CL274" s="72">
        <f t="shared" ref="CL274" si="2451">W274</f>
        <v>143</v>
      </c>
      <c r="CM274" s="72">
        <f t="shared" ref="CM274" si="2452">AA274</f>
        <v>152</v>
      </c>
      <c r="CN274" s="72">
        <f t="shared" ref="CN274" si="2453">AE274</f>
        <v>179</v>
      </c>
      <c r="CO274" s="72">
        <f t="shared" ref="CO274" si="2454">AI274</f>
        <v>192</v>
      </c>
      <c r="CP274" s="72">
        <f t="shared" ref="CP274" si="2455">AM274</f>
        <v>230</v>
      </c>
      <c r="CQ274" s="72">
        <f t="shared" ref="CQ274" si="2456">AQ274</f>
        <v>277</v>
      </c>
      <c r="CR274" s="72">
        <f t="shared" ref="CR274" si="2457">AU274</f>
        <v>311</v>
      </c>
      <c r="CS274" s="72">
        <f t="shared" ref="CS274" si="2458">AY274</f>
        <v>328</v>
      </c>
      <c r="CT274" s="23">
        <f t="shared" ref="CT274" si="2459">M274-K274</f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ref="A275" si="2460">CONCATENATE(B275,"_",C275)</f>
        <v>nk1r_human__wt</v>
      </c>
      <c r="B275" s="3" t="s">
        <v>313</v>
      </c>
      <c r="C275" s="129" t="s">
        <v>100</v>
      </c>
      <c r="D275" s="3" t="str">
        <f>IFERROR(MID(VLOOKUP($B275,Seqs!$A:$B,2,0),E275,1),"")</f>
        <v>P</v>
      </c>
      <c r="E275" s="3">
        <v>28</v>
      </c>
      <c r="F275" s="3" t="str">
        <f>IFERROR(MID(VLOOKUP($B275,Seqs!$A:$B,2,0),G275,1),"")</f>
        <v>H</v>
      </c>
      <c r="G275" s="3">
        <v>60</v>
      </c>
      <c r="H275" s="3" t="str">
        <f>IFERROR(MID(VLOOKUP($B275,Seqs!$A:$B,2,0),I275,1),"")</f>
        <v>K</v>
      </c>
      <c r="I275" s="23">
        <v>61</v>
      </c>
      <c r="J275" s="3" t="str">
        <f>IFERROR(MID(VLOOKUP($B275,Seqs!$A:$B,2,0),K275,1),"")</f>
        <v>R</v>
      </c>
      <c r="K275" s="23">
        <v>64</v>
      </c>
      <c r="L275" s="3" t="str">
        <f>IFERROR(MID(VLOOKUP($B275,Seqs!$A:$B,2,0),M275,1),"")</f>
        <v>T</v>
      </c>
      <c r="M275" s="3">
        <v>65</v>
      </c>
      <c r="N275" s="3" t="str">
        <f>IFERROR(MID(VLOOKUP($B275,Seqs!$A:$B,2,0),O275,1),"")</f>
        <v>N</v>
      </c>
      <c r="O275" s="3">
        <v>96</v>
      </c>
      <c r="P275" s="3" t="str">
        <f>IFERROR(MID(VLOOKUP($B275,Seqs!$A:$B,2,0),Q275,1),"")</f>
        <v>E</v>
      </c>
      <c r="Q275" s="3">
        <v>97</v>
      </c>
      <c r="R275" s="3" t="str">
        <f>IFERROR(MID(VLOOKUP($B275,Seqs!$A:$B,2,0),S275,1),"")</f>
        <v>Y</v>
      </c>
      <c r="S275" s="3">
        <v>100</v>
      </c>
      <c r="T275" s="3" t="str">
        <f>IFERROR(MID(VLOOKUP($B275,Seqs!$A:$B,2,0),U275,1),"")</f>
        <v>G</v>
      </c>
      <c r="U275" s="3">
        <v>101</v>
      </c>
      <c r="V275" s="3" t="str">
        <f>IFERROR(MID(VLOOKUP($B275,Seqs!$A:$B,2,0),W275,1),"")</f>
        <v>H</v>
      </c>
      <c r="W275" s="3">
        <v>136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S</v>
      </c>
      <c r="AC275" s="3">
        <v>143</v>
      </c>
      <c r="AD275" s="3" t="str">
        <f>IFERROR(MID(VLOOKUP($B275,Seqs!$A:$B,2,0),AE275,1),"")</f>
        <v>S</v>
      </c>
      <c r="AE275" s="3">
        <v>169</v>
      </c>
      <c r="AF275" s="3" t="str">
        <f>IFERROR(MID(VLOOKUP($B275,Seqs!$A:$B,2,0),AG275,1),"")</f>
        <v>C</v>
      </c>
      <c r="AG275" s="3">
        <v>180</v>
      </c>
      <c r="AH275" s="3" t="str">
        <f>IFERROR(MID(VLOOKUP($B275,Seqs!$A:$B,2,0),AI275,1),"")</f>
        <v>I</v>
      </c>
      <c r="AI275" s="3">
        <v>182</v>
      </c>
      <c r="AJ275" s="3" t="str">
        <f>IFERROR(MID(VLOOKUP($B275,Seqs!$A:$B,2,0),AK275,1),"")</f>
        <v>P</v>
      </c>
      <c r="AK275" s="3">
        <v>188</v>
      </c>
      <c r="AL275" s="3" t="str">
        <f>IFERROR(MID(VLOOKUP($B275,Seqs!$A:$B,2,0),AM275,1),"")</f>
        <v>D</v>
      </c>
      <c r="AM275" s="3">
        <v>231</v>
      </c>
      <c r="AN275" s="3" t="str">
        <f>IFERROR(MID(VLOOKUP($B275,Seqs!$A:$B,2,0),AO275,1),"")</f>
        <v>R</v>
      </c>
      <c r="AO275" s="3">
        <v>235</v>
      </c>
      <c r="AP275" s="3" t="str">
        <f>IFERROR(MID(VLOOKUP($B275,Seqs!$A:$B,2,0),AQ275,1),"")</f>
        <v>N</v>
      </c>
      <c r="AQ275" s="3">
        <v>274</v>
      </c>
      <c r="AR275" s="3" t="str">
        <f>IFERROR(MID(VLOOKUP($B275,Seqs!$A:$B,2,0),AS275,1),"")</f>
        <v>F</v>
      </c>
      <c r="AS275" s="3">
        <v>282</v>
      </c>
      <c r="AT275" s="3" t="str">
        <f>IFERROR(MID(VLOOKUP($B275,Seqs!$A:$B,2,0),AU275,1),"")</f>
        <v>L</v>
      </c>
      <c r="AU275" s="3">
        <v>308</v>
      </c>
      <c r="AV275" s="3" t="str">
        <f>IFERROR(MID(VLOOKUP($B275,Seqs!$A:$B,2,0),AW275,1),"")</f>
        <v>N</v>
      </c>
      <c r="AW275" s="3">
        <v>309</v>
      </c>
      <c r="AX275" s="3" t="str">
        <f>IFERROR(MID(VLOOKUP($B275,Seqs!$A:$B,2,0),AY275,1),"")</f>
        <v>F</v>
      </c>
      <c r="AY275" s="3">
        <v>320</v>
      </c>
      <c r="AZ275" s="77" t="str">
        <f>VLOOKUP(B275,Classification!A:D,2,0)</f>
        <v>A</v>
      </c>
      <c r="BA275" s="94" t="str">
        <f>VLOOKUP(B275,Classification!A:D,4,0)</f>
        <v>Tachykinin</v>
      </c>
      <c r="BB275" s="27" t="b">
        <f t="shared" ref="BB275" si="2461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 t="shared" ref="BC275" si="2462">_xlfn.AGGREGATE(9,6,CH275:CS275)-_xlfn.AGGREGATE(9,6,BV275:CG275)+12</f>
        <v>263</v>
      </c>
      <c r="BD275" s="5" t="s">
        <v>23</v>
      </c>
      <c r="BE275" s="3" t="s">
        <v>23</v>
      </c>
      <c r="BF275" s="118" t="s">
        <v>23</v>
      </c>
      <c r="BG275" s="49" t="s">
        <v>1373</v>
      </c>
      <c r="BH275" s="49" t="s">
        <v>1373</v>
      </c>
      <c r="BI275" s="1"/>
      <c r="BJ275" s="70" t="s">
        <v>1283</v>
      </c>
      <c r="BK275" s="57" t="s">
        <v>1283</v>
      </c>
      <c r="BL275" s="57" t="s">
        <v>1283</v>
      </c>
      <c r="BM275" s="57" t="s">
        <v>1283</v>
      </c>
      <c r="BN275" s="57" t="s">
        <v>1283</v>
      </c>
      <c r="BO275" s="57" t="s">
        <v>1283</v>
      </c>
      <c r="BP275" s="57" t="s">
        <v>1283</v>
      </c>
      <c r="BQ275" s="57" t="s">
        <v>1283</v>
      </c>
      <c r="BR275" s="57" t="s">
        <v>1283</v>
      </c>
      <c r="BS275" s="57" t="s">
        <v>1283</v>
      </c>
      <c r="BT275" s="57" t="s">
        <v>1283</v>
      </c>
      <c r="BU275" s="57" t="s">
        <v>1283</v>
      </c>
      <c r="BV275" s="70">
        <f t="shared" ref="BV275" si="2463">E275</f>
        <v>28</v>
      </c>
      <c r="BW275" s="71">
        <f t="shared" ref="BW275" si="2464">I275</f>
        <v>61</v>
      </c>
      <c r="BX275" s="72">
        <f t="shared" ref="BX275" si="2465">M275</f>
        <v>65</v>
      </c>
      <c r="BY275" s="71">
        <f t="shared" ref="BY275" si="2466">Q275</f>
        <v>97</v>
      </c>
      <c r="BZ275" s="72">
        <f t="shared" ref="BZ275" si="2467">U275</f>
        <v>101</v>
      </c>
      <c r="CA275" s="71" t="str">
        <f t="shared" ref="CA275" si="2468">Y275</f>
        <v>-</v>
      </c>
      <c r="CB275" s="72">
        <f t="shared" ref="CB275" si="2469">AC275</f>
        <v>143</v>
      </c>
      <c r="CC275" s="71">
        <f t="shared" ref="CC275" si="2470">AG275</f>
        <v>180</v>
      </c>
      <c r="CD275" s="72">
        <f t="shared" ref="CD275" si="2471">AK275</f>
        <v>188</v>
      </c>
      <c r="CE275" s="71">
        <f t="shared" ref="CE275" si="2472">AO275</f>
        <v>235</v>
      </c>
      <c r="CF275" s="72">
        <f t="shared" ref="CF275" si="2473">AS275</f>
        <v>282</v>
      </c>
      <c r="CG275" s="71">
        <f t="shared" ref="CG275" si="2474">AW275</f>
        <v>309</v>
      </c>
      <c r="CH275" s="70">
        <f t="shared" ref="CH275" si="2475">G275</f>
        <v>60</v>
      </c>
      <c r="CI275" s="71">
        <f t="shared" ref="CI275" si="2476">K275</f>
        <v>64</v>
      </c>
      <c r="CJ275" s="72">
        <f t="shared" ref="CJ275" si="2477">O275</f>
        <v>96</v>
      </c>
      <c r="CK275" s="72">
        <f t="shared" ref="CK275" si="2478">S275</f>
        <v>100</v>
      </c>
      <c r="CL275" s="72">
        <f t="shared" ref="CL275" si="2479">W275</f>
        <v>136</v>
      </c>
      <c r="CM275" s="72" t="str">
        <f t="shared" ref="CM275" si="2480">AA275</f>
        <v>-</v>
      </c>
      <c r="CN275" s="72">
        <f t="shared" ref="CN275" si="2481">AE275</f>
        <v>169</v>
      </c>
      <c r="CO275" s="72">
        <f t="shared" ref="CO275" si="2482">AI275</f>
        <v>182</v>
      </c>
      <c r="CP275" s="72">
        <f t="shared" ref="CP275" si="2483">AM275</f>
        <v>231</v>
      </c>
      <c r="CQ275" s="72">
        <f t="shared" ref="CQ275" si="2484">AQ275</f>
        <v>274</v>
      </c>
      <c r="CR275" s="72">
        <f t="shared" ref="CR275" si="2485">AU275</f>
        <v>308</v>
      </c>
      <c r="CS275" s="72">
        <f t="shared" ref="CS275" si="2486">AY275</f>
        <v>320</v>
      </c>
      <c r="CT275" s="23">
        <f t="shared" ref="CT275" si="2487">M275-K275</f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ref="A276" si="2488">CONCATENATE(B276,"_",C276)</f>
        <v>nk1r_human_6E59</v>
      </c>
      <c r="B276" s="3" t="s">
        <v>313</v>
      </c>
      <c r="C276" s="130" t="s">
        <v>1531</v>
      </c>
      <c r="D276" s="3" t="str">
        <f>IFERROR(MID(VLOOKUP($B276,Seqs!$A:$B,2,0),E276,1),"")</f>
        <v>V</v>
      </c>
      <c r="E276" s="3">
        <v>33</v>
      </c>
      <c r="F276" s="3" t="str">
        <f>IFERROR(MID(VLOOKUP($B276,Seqs!$A:$B,2,0),G276,1),"")</f>
        <v>H</v>
      </c>
      <c r="G276" s="3">
        <v>60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T</v>
      </c>
      <c r="M276" s="3">
        <v>65</v>
      </c>
      <c r="N276" s="3" t="str">
        <f>IFERROR(MID(VLOOKUP($B276,Seqs!$A:$B,2,0),O276,1),"")</f>
        <v>V</v>
      </c>
      <c r="O276" s="3">
        <v>94</v>
      </c>
      <c r="P276" s="3" t="str">
        <f>IFERROR(MID(VLOOKUP($B276,Seqs!$A:$B,2,0),Q276,1),"")</f>
        <v>E</v>
      </c>
      <c r="Q276" s="3">
        <v>97</v>
      </c>
      <c r="R276" s="3" t="str">
        <f>IFERROR(MID(VLOOKUP($B276,Seqs!$A:$B,2,0),S276,1),"")</f>
        <v>Y</v>
      </c>
      <c r="S276" s="3">
        <v>100</v>
      </c>
      <c r="T276" s="3" t="str">
        <f>IFERROR(MID(VLOOKUP($B276,Seqs!$A:$B,2,0),U276,1),"")</f>
        <v>F</v>
      </c>
      <c r="U276" s="3">
        <v>103</v>
      </c>
      <c r="V276" s="3" t="str">
        <f>IFERROR(MID(VLOOKUP($B276,Seqs!$A:$B,2,0),W276,1),"")</f>
        <v>H</v>
      </c>
      <c r="W276" s="3">
        <v>136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S</v>
      </c>
      <c r="AC276" s="3">
        <v>143</v>
      </c>
      <c r="AD276" s="3" t="str">
        <f>IFERROR(MID(VLOOKUP($B276,Seqs!$A:$B,2,0),AE276,1),"")</f>
        <v>S</v>
      </c>
      <c r="AE276" s="3">
        <v>169</v>
      </c>
      <c r="AF276" s="3" t="str">
        <f>IFERROR(MID(VLOOKUP($B276,Seqs!$A:$B,2,0),AG276,1),"")</f>
        <v>C</v>
      </c>
      <c r="AG276" s="3">
        <v>180</v>
      </c>
      <c r="AH276" s="3" t="str">
        <f>IFERROR(MID(VLOOKUP($B276,Seqs!$A:$B,2,0),AI276,1),"")</f>
        <v>I</v>
      </c>
      <c r="AI276" s="3">
        <v>182</v>
      </c>
      <c r="AJ276" s="3" t="str">
        <f>IFERROR(MID(VLOOKUP($B276,Seqs!$A:$B,2,0),AK276,1),"")</f>
        <v>P</v>
      </c>
      <c r="AK276" s="3">
        <v>188</v>
      </c>
      <c r="AL276" s="3" t="str">
        <f>IFERROR(MID(VLOOKUP($B276,Seqs!$A:$B,2,0),AM276,1),"")</f>
        <v>W</v>
      </c>
      <c r="AM276" s="3">
        <v>224</v>
      </c>
      <c r="AN276" s="3" t="str">
        <f>IFERROR(MID(VLOOKUP($B276,Seqs!$A:$B,2,0),AO276,1),"")</f>
        <v>E</v>
      </c>
      <c r="AO276" s="3">
        <v>238</v>
      </c>
      <c r="AP276" s="3" t="str">
        <f>IFERROR(MID(VLOOKUP($B276,Seqs!$A:$B,2,0),AQ276,1),"")</f>
        <v>N</v>
      </c>
      <c r="AQ276" s="3">
        <v>274</v>
      </c>
      <c r="AR276" s="3" t="str">
        <f>IFERROR(MID(VLOOKUP($B276,Seqs!$A:$B,2,0),AS276,1),"")</f>
        <v>I</v>
      </c>
      <c r="AS276" s="3">
        <v>283</v>
      </c>
      <c r="AT276" s="3" t="str">
        <f>IFERROR(MID(VLOOKUP($B276,Seqs!$A:$B,2,0),AU276,1),"")</f>
        <v>L</v>
      </c>
      <c r="AU276" s="3">
        <v>308</v>
      </c>
      <c r="AV276" s="3" t="str">
        <f>IFERROR(MID(VLOOKUP($B276,Seqs!$A:$B,2,0),AW276,1),"")</f>
        <v>N</v>
      </c>
      <c r="AW276" s="3">
        <v>309</v>
      </c>
      <c r="AX276" s="3" t="str">
        <f>IFERROR(MID(VLOOKUP($B276,Seqs!$A:$B,2,0),AY276,1),"")</f>
        <v>H</v>
      </c>
      <c r="AY276" s="3">
        <v>318</v>
      </c>
      <c r="AZ276" s="77" t="str">
        <f>VLOOKUP(B276,Classification!A:D,2,0)</f>
        <v>A</v>
      </c>
      <c r="BA276" s="94" t="str">
        <f>VLOOKUP(B276,Classification!A:D,4,0)</f>
        <v>Tachykinin</v>
      </c>
      <c r="BB276" s="27" t="b">
        <f t="shared" ref="BB276" si="2489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 t="shared" ref="BC276" si="2490">_xlfn.AGGREGATE(9,6,CH276:CS276)-_xlfn.AGGREGATE(9,6,BV276:CG276)+12</f>
        <v>238</v>
      </c>
      <c r="BD276" s="5" t="s">
        <v>23</v>
      </c>
      <c r="BE276" s="3" t="s">
        <v>1370</v>
      </c>
      <c r="BF276" s="118">
        <v>3.4</v>
      </c>
      <c r="BG276" s="49" t="s">
        <v>1</v>
      </c>
      <c r="BH276" s="49" t="s">
        <v>1</v>
      </c>
      <c r="BI276" s="1"/>
      <c r="BJ276" s="70" t="s">
        <v>1283</v>
      </c>
      <c r="BK276" s="57" t="s">
        <v>1283</v>
      </c>
      <c r="BL276" s="57" t="s">
        <v>1283</v>
      </c>
      <c r="BM276" s="57" t="s">
        <v>1283</v>
      </c>
      <c r="BN276" s="57" t="s">
        <v>1283</v>
      </c>
      <c r="BO276" s="57" t="s">
        <v>1283</v>
      </c>
      <c r="BP276" s="57" t="s">
        <v>1283</v>
      </c>
      <c r="BQ276" s="57" t="s">
        <v>1283</v>
      </c>
      <c r="BR276" s="57" t="s">
        <v>1283</v>
      </c>
      <c r="BS276" s="57" t="s">
        <v>1283</v>
      </c>
      <c r="BT276" s="57" t="s">
        <v>1283</v>
      </c>
      <c r="BU276" s="57" t="s">
        <v>1283</v>
      </c>
      <c r="BV276" s="70">
        <f t="shared" ref="BV276" si="2491">E276</f>
        <v>33</v>
      </c>
      <c r="BW276" s="71" t="str">
        <f t="shared" ref="BW276" si="2492">I276</f>
        <v>-</v>
      </c>
      <c r="BX276" s="72">
        <f t="shared" ref="BX276" si="2493">M276</f>
        <v>65</v>
      </c>
      <c r="BY276" s="71">
        <f t="shared" ref="BY276" si="2494">Q276</f>
        <v>97</v>
      </c>
      <c r="BZ276" s="72">
        <f t="shared" ref="BZ276" si="2495">U276</f>
        <v>103</v>
      </c>
      <c r="CA276" s="71" t="str">
        <f t="shared" ref="CA276" si="2496">Y276</f>
        <v>-</v>
      </c>
      <c r="CB276" s="72">
        <f t="shared" ref="CB276" si="2497">AC276</f>
        <v>143</v>
      </c>
      <c r="CC276" s="71">
        <f t="shared" ref="CC276" si="2498">AG276</f>
        <v>180</v>
      </c>
      <c r="CD276" s="72">
        <f t="shared" ref="CD276" si="2499">AK276</f>
        <v>188</v>
      </c>
      <c r="CE276" s="71">
        <f t="shared" ref="CE276" si="2500">AO276</f>
        <v>238</v>
      </c>
      <c r="CF276" s="72">
        <f t="shared" ref="CF276" si="2501">AS276</f>
        <v>283</v>
      </c>
      <c r="CG276" s="71">
        <f t="shared" ref="CG276" si="2502">AW276</f>
        <v>309</v>
      </c>
      <c r="CH276" s="70">
        <f t="shared" ref="CH276" si="2503">G276</f>
        <v>60</v>
      </c>
      <c r="CI276" s="71" t="str">
        <f t="shared" ref="CI276" si="2504">K276</f>
        <v>-</v>
      </c>
      <c r="CJ276" s="72">
        <f t="shared" ref="CJ276" si="2505">O276</f>
        <v>94</v>
      </c>
      <c r="CK276" s="72">
        <f t="shared" ref="CK276" si="2506">S276</f>
        <v>100</v>
      </c>
      <c r="CL276" s="72">
        <f t="shared" ref="CL276" si="2507">W276</f>
        <v>136</v>
      </c>
      <c r="CM276" s="72" t="str">
        <f t="shared" ref="CM276" si="2508">AA276</f>
        <v>-</v>
      </c>
      <c r="CN276" s="72">
        <f t="shared" ref="CN276" si="2509">AE276</f>
        <v>169</v>
      </c>
      <c r="CO276" s="72">
        <f t="shared" ref="CO276" si="2510">AI276</f>
        <v>182</v>
      </c>
      <c r="CP276" s="72">
        <f t="shared" ref="CP276" si="2511">AM276</f>
        <v>224</v>
      </c>
      <c r="CQ276" s="72">
        <f t="shared" ref="CQ276" si="2512">AQ276</f>
        <v>274</v>
      </c>
      <c r="CR276" s="72">
        <f t="shared" ref="CR276" si="2513">AU276</f>
        <v>308</v>
      </c>
      <c r="CS276" s="72">
        <f t="shared" ref="CS276" si="2514">AY276</f>
        <v>318</v>
      </c>
      <c r="CT276" s="23" t="e">
        <f t="shared" ref="CT276" si="2515">M276-K276</f>
        <v>#VALUE!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ref="A277" si="2516">CONCATENATE(B277,"_",C277)</f>
        <v>nk1r_human_6HLL</v>
      </c>
      <c r="B277" s="3" t="s">
        <v>313</v>
      </c>
      <c r="C277" s="130" t="s">
        <v>1539</v>
      </c>
      <c r="D277" s="3" t="str">
        <f>IFERROR(MID(VLOOKUP($B277,Seqs!$A:$B,2,0),E277,1),"")</f>
        <v>P</v>
      </c>
      <c r="E277" s="3">
        <v>28</v>
      </c>
      <c r="F277" s="3" t="str">
        <f>IFERROR(MID(VLOOKUP($B277,Seqs!$A:$B,2,0),G277,1),"")</f>
        <v>A</v>
      </c>
      <c r="G277" s="3">
        <v>59</v>
      </c>
      <c r="H277" s="3" t="str">
        <f>IFERROR(MID(VLOOKUP($B277,Seqs!$A:$B,2,0),I277,1),"")</f>
        <v>K</v>
      </c>
      <c r="I277" s="23">
        <v>61</v>
      </c>
      <c r="J277" s="3" t="str">
        <f>IFERROR(MID(VLOOKUP($B277,Seqs!$A:$B,2,0),K277,1),"")</f>
        <v>R</v>
      </c>
      <c r="K277" s="23">
        <v>64</v>
      </c>
      <c r="L277" s="3" t="str">
        <f>IFERROR(MID(VLOOKUP($B277,Seqs!$A:$B,2,0),M277,1),"")</f>
        <v>T</v>
      </c>
      <c r="M277" s="3">
        <v>65</v>
      </c>
      <c r="N277" s="3" t="str">
        <f>IFERROR(MID(VLOOKUP($B277,Seqs!$A:$B,2,0),O277,1),"")</f>
        <v>N</v>
      </c>
      <c r="O277" s="3">
        <v>96</v>
      </c>
      <c r="P277" s="3" t="str">
        <f>IFERROR(MID(VLOOKUP($B277,Seqs!$A:$B,2,0),Q277,1),"")</f>
        <v>E</v>
      </c>
      <c r="Q277" s="3">
        <v>97</v>
      </c>
      <c r="R277" s="3" t="str">
        <f>IFERROR(MID(VLOOKUP($B277,Seqs!$A:$B,2,0),S277,1),"")</f>
        <v>Y</v>
      </c>
      <c r="S277" s="3">
        <v>100</v>
      </c>
      <c r="T277" s="3" t="str">
        <f>IFERROR(MID(VLOOKUP($B277,Seqs!$A:$B,2,0),U277,1),"")</f>
        <v>G</v>
      </c>
      <c r="U277" s="3">
        <v>101</v>
      </c>
      <c r="V277" s="3" t="str">
        <f>IFERROR(MID(VLOOKUP($B277,Seqs!$A:$B,2,0),W277,1),"")</f>
        <v>H</v>
      </c>
      <c r="W277" s="3">
        <v>136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S</v>
      </c>
      <c r="AC277" s="3">
        <v>143</v>
      </c>
      <c r="AD277" s="3" t="str">
        <f>IFERROR(MID(VLOOKUP($B277,Seqs!$A:$B,2,0),AE277,1),"")</f>
        <v>S</v>
      </c>
      <c r="AE277" s="3">
        <v>169</v>
      </c>
      <c r="AF277" s="3" t="str">
        <f>IFERROR(MID(VLOOKUP($B277,Seqs!$A:$B,2,0),AG277,1),"")</f>
        <v>C</v>
      </c>
      <c r="AG277" s="3">
        <v>180</v>
      </c>
      <c r="AH277" s="3" t="str">
        <f>IFERROR(MID(VLOOKUP($B277,Seqs!$A:$B,2,0),AI277,1),"")</f>
        <v>I</v>
      </c>
      <c r="AI277" s="3">
        <v>182</v>
      </c>
      <c r="AJ277" s="3" t="str">
        <f>IFERROR(MID(VLOOKUP($B277,Seqs!$A:$B,2,0),AK277,1),"")</f>
        <v>K</v>
      </c>
      <c r="AK277" s="3">
        <v>190</v>
      </c>
      <c r="AL277" s="3" t="str">
        <f>IFERROR(MID(VLOOKUP($B277,Seqs!$A:$B,2,0),AM277,1),"")</f>
        <v>S</v>
      </c>
      <c r="AM277" s="3">
        <v>226</v>
      </c>
      <c r="AN277" s="3" t="str">
        <f>IFERROR(MID(VLOOKUP($B277,Seqs!$A:$B,2,0),AO277,1),"")</f>
        <v>E</v>
      </c>
      <c r="AO277" s="3">
        <v>238</v>
      </c>
      <c r="AP277" s="3" t="str">
        <f>IFERROR(MID(VLOOKUP($B277,Seqs!$A:$B,2,0),AQ277,1),"")</f>
        <v>L</v>
      </c>
      <c r="AQ277" s="3">
        <v>270</v>
      </c>
      <c r="AR277" s="3" t="str">
        <f>IFERROR(MID(VLOOKUP($B277,Seqs!$A:$B,2,0),AS277,1),"")</f>
        <v>I</v>
      </c>
      <c r="AS277" s="3">
        <v>283</v>
      </c>
      <c r="AT277" s="3" t="str">
        <f>IFERROR(MID(VLOOKUP($B277,Seqs!$A:$B,2,0),AU277,1),"")</f>
        <v>L</v>
      </c>
      <c r="AU277" s="3">
        <v>308</v>
      </c>
      <c r="AV277" s="3" t="str">
        <f>IFERROR(MID(VLOOKUP($B277,Seqs!$A:$B,2,0),AW277,1),"")</f>
        <v>N</v>
      </c>
      <c r="AW277" s="3">
        <v>309</v>
      </c>
      <c r="AX277" s="3" t="str">
        <f>IFERROR(MID(VLOOKUP($B277,Seqs!$A:$B,2,0),AY277,1),"")</f>
        <v>F</v>
      </c>
      <c r="AY277" s="3">
        <v>320</v>
      </c>
      <c r="AZ277" s="77" t="str">
        <f>VLOOKUP(B277,Classification!A:D,2,0)</f>
        <v>A</v>
      </c>
      <c r="BA277" s="94" t="str">
        <f>VLOOKUP(B277,Classification!A:D,4,0)</f>
        <v>Tachykinin</v>
      </c>
      <c r="BB277" s="27" t="b">
        <f t="shared" ref="BB277" si="2517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 t="shared" ref="BC277" si="2518">_xlfn.AGGREGATE(9,6,CH277:CS277)-_xlfn.AGGREGATE(9,6,BV277:CG277)+12</f>
        <v>247</v>
      </c>
      <c r="BD277" s="5" t="s">
        <v>23</v>
      </c>
      <c r="BE277" s="3" t="s">
        <v>1370</v>
      </c>
      <c r="BF277" s="118">
        <v>3.27</v>
      </c>
      <c r="BG277" s="49" t="s">
        <v>1</v>
      </c>
      <c r="BH277" s="49" t="s">
        <v>1</v>
      </c>
      <c r="BI277" s="1"/>
      <c r="BJ277" s="70" t="s">
        <v>1283</v>
      </c>
      <c r="BK277" s="57" t="s">
        <v>1283</v>
      </c>
      <c r="BL277" s="57" t="s">
        <v>1283</v>
      </c>
      <c r="BM277" s="57" t="s">
        <v>1283</v>
      </c>
      <c r="BN277" s="57" t="s">
        <v>1283</v>
      </c>
      <c r="BO277" s="57" t="s">
        <v>1283</v>
      </c>
      <c r="BP277" s="57" t="s">
        <v>1283</v>
      </c>
      <c r="BQ277" s="57" t="s">
        <v>1283</v>
      </c>
      <c r="BR277" s="57" t="s">
        <v>1283</v>
      </c>
      <c r="BS277" s="57" t="s">
        <v>1283</v>
      </c>
      <c r="BT277" s="57" t="s">
        <v>1283</v>
      </c>
      <c r="BU277" s="57" t="s">
        <v>1283</v>
      </c>
      <c r="BV277" s="70">
        <f t="shared" ref="BV277" si="2519">E277</f>
        <v>28</v>
      </c>
      <c r="BW277" s="71">
        <f t="shared" ref="BW277" si="2520">I277</f>
        <v>61</v>
      </c>
      <c r="BX277" s="72">
        <f t="shared" ref="BX277" si="2521">M277</f>
        <v>65</v>
      </c>
      <c r="BY277" s="71">
        <f t="shared" ref="BY277" si="2522">Q277</f>
        <v>97</v>
      </c>
      <c r="BZ277" s="72">
        <f t="shared" ref="BZ277" si="2523">U277</f>
        <v>101</v>
      </c>
      <c r="CA277" s="71" t="str">
        <f t="shared" ref="CA277" si="2524">Y277</f>
        <v>-</v>
      </c>
      <c r="CB277" s="72">
        <f t="shared" ref="CB277" si="2525">AC277</f>
        <v>143</v>
      </c>
      <c r="CC277" s="71">
        <f t="shared" ref="CC277" si="2526">AG277</f>
        <v>180</v>
      </c>
      <c r="CD277" s="72">
        <f t="shared" ref="CD277" si="2527">AK277</f>
        <v>190</v>
      </c>
      <c r="CE277" s="71">
        <f t="shared" ref="CE277" si="2528">AO277</f>
        <v>238</v>
      </c>
      <c r="CF277" s="72">
        <f t="shared" ref="CF277" si="2529">AS277</f>
        <v>283</v>
      </c>
      <c r="CG277" s="71">
        <f t="shared" ref="CG277" si="2530">AW277</f>
        <v>309</v>
      </c>
      <c r="CH277" s="70">
        <f t="shared" ref="CH277" si="2531">G277</f>
        <v>59</v>
      </c>
      <c r="CI277" s="71">
        <f t="shared" ref="CI277" si="2532">K277</f>
        <v>64</v>
      </c>
      <c r="CJ277" s="72">
        <f t="shared" ref="CJ277" si="2533">O277</f>
        <v>96</v>
      </c>
      <c r="CK277" s="72">
        <f t="shared" ref="CK277" si="2534">S277</f>
        <v>100</v>
      </c>
      <c r="CL277" s="72">
        <f t="shared" ref="CL277" si="2535">W277</f>
        <v>136</v>
      </c>
      <c r="CM277" s="72" t="str">
        <f t="shared" ref="CM277" si="2536">AA277</f>
        <v>-</v>
      </c>
      <c r="CN277" s="72">
        <f t="shared" ref="CN277" si="2537">AE277</f>
        <v>169</v>
      </c>
      <c r="CO277" s="72">
        <f t="shared" ref="CO277" si="2538">AI277</f>
        <v>182</v>
      </c>
      <c r="CP277" s="72">
        <f t="shared" ref="CP277" si="2539">AM277</f>
        <v>226</v>
      </c>
      <c r="CQ277" s="72">
        <f t="shared" ref="CQ277" si="2540">AQ277</f>
        <v>270</v>
      </c>
      <c r="CR277" s="72">
        <f t="shared" ref="CR277" si="2541">AU277</f>
        <v>308</v>
      </c>
      <c r="CS277" s="72">
        <f t="shared" ref="CS277" si="2542">AY277</f>
        <v>320</v>
      </c>
      <c r="CT277" s="23">
        <f t="shared" ref="CT277" si="2543">M277-K277</f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ref="A278" si="2544">CONCATENATE(B278,"_",C278)</f>
        <v>nk1r_human_6HLO</v>
      </c>
      <c r="B278" s="3" t="s">
        <v>313</v>
      </c>
      <c r="C278" s="130" t="s">
        <v>1540</v>
      </c>
      <c r="D278" s="3" t="str">
        <f>IFERROR(MID(VLOOKUP($B278,Seqs!$A:$B,2,0),E278,1),"")</f>
        <v>P</v>
      </c>
      <c r="E278" s="3">
        <v>28</v>
      </c>
      <c r="F278" s="3" t="str">
        <f>IFERROR(MID(VLOOKUP($B278,Seqs!$A:$B,2,0),G278,1),"")</f>
        <v>H</v>
      </c>
      <c r="G278" s="3">
        <v>60</v>
      </c>
      <c r="H278" s="3" t="str">
        <f>IFERROR(MID(VLOOKUP($B278,Seqs!$A:$B,2,0),I278,1),"")</f>
        <v>K</v>
      </c>
      <c r="I278" s="23">
        <v>61</v>
      </c>
      <c r="J278" s="3" t="str">
        <f>IFERROR(MID(VLOOKUP($B278,Seqs!$A:$B,2,0),K278,1),"")</f>
        <v>R</v>
      </c>
      <c r="K278" s="23">
        <v>64</v>
      </c>
      <c r="L278" s="3" t="str">
        <f>IFERROR(MID(VLOOKUP($B278,Seqs!$A:$B,2,0),M278,1),"")</f>
        <v>T</v>
      </c>
      <c r="M278" s="3">
        <v>65</v>
      </c>
      <c r="N278" s="3" t="str">
        <f>IFERROR(MID(VLOOKUP($B278,Seqs!$A:$B,2,0),O278,1),"")</f>
        <v>H</v>
      </c>
      <c r="O278" s="3">
        <v>95</v>
      </c>
      <c r="P278" s="3" t="str">
        <f>IFERROR(MID(VLOOKUP($B278,Seqs!$A:$B,2,0),Q278,1),"")</f>
        <v>E</v>
      </c>
      <c r="Q278" s="3">
        <v>97</v>
      </c>
      <c r="R278" s="3" t="str">
        <f>IFERROR(MID(VLOOKUP($B278,Seqs!$A:$B,2,0),S278,1),"")</f>
        <v>Y</v>
      </c>
      <c r="S278" s="3">
        <v>100</v>
      </c>
      <c r="T278" s="3" t="str">
        <f>IFERROR(MID(VLOOKUP($B278,Seqs!$A:$B,2,0),U278,1),"")</f>
        <v>G</v>
      </c>
      <c r="U278" s="3">
        <v>101</v>
      </c>
      <c r="V278" s="3" t="str">
        <f>IFERROR(MID(VLOOKUP($B278,Seqs!$A:$B,2,0),W278,1),"")</f>
        <v>H</v>
      </c>
      <c r="W278" s="3">
        <v>136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S</v>
      </c>
      <c r="AC278" s="3">
        <v>143</v>
      </c>
      <c r="AD278" s="3" t="str">
        <f>IFERROR(MID(VLOOKUP($B278,Seqs!$A:$B,2,0),AE278,1),"")</f>
        <v>S</v>
      </c>
      <c r="AE278" s="3">
        <v>169</v>
      </c>
      <c r="AF278" s="3" t="str">
        <f>IFERROR(MID(VLOOKUP($B278,Seqs!$A:$B,2,0),AG278,1),"")</f>
        <v>C</v>
      </c>
      <c r="AG278" s="3">
        <v>180</v>
      </c>
      <c r="AH278" s="3" t="str">
        <f>IFERROR(MID(VLOOKUP($B278,Seqs!$A:$B,2,0),AI278,1),"")</f>
        <v>I</v>
      </c>
      <c r="AI278" s="3">
        <v>182</v>
      </c>
      <c r="AJ278" s="3" t="str">
        <f>IFERROR(MID(VLOOKUP($B278,Seqs!$A:$B,2,0),AK278,1),"")</f>
        <v>K</v>
      </c>
      <c r="AK278" s="3">
        <v>190</v>
      </c>
      <c r="AL278" s="3" t="str">
        <f>IFERROR(MID(VLOOKUP($B278,Seqs!$A:$B,2,0),AM278,1),"")</f>
        <v>S</v>
      </c>
      <c r="AM278" s="3">
        <v>226</v>
      </c>
      <c r="AN278" s="3" t="str">
        <f>IFERROR(MID(VLOOKUP($B278,Seqs!$A:$B,2,0),AO278,1),"")</f>
        <v>E</v>
      </c>
      <c r="AO278" s="3">
        <v>238</v>
      </c>
      <c r="AP278" s="3" t="str">
        <f>IFERROR(MID(VLOOKUP($B278,Seqs!$A:$B,2,0),AQ278,1),"")</f>
        <v>N</v>
      </c>
      <c r="AQ278" s="3">
        <v>274</v>
      </c>
      <c r="AR278" s="3" t="str">
        <f>IFERROR(MID(VLOOKUP($B278,Seqs!$A:$B,2,0),AS278,1),"")</f>
        <v>F</v>
      </c>
      <c r="AS278" s="3">
        <v>282</v>
      </c>
      <c r="AT278" s="3" t="str">
        <f>IFERROR(MID(VLOOKUP($B278,Seqs!$A:$B,2,0),AU278,1),"")</f>
        <v>L</v>
      </c>
      <c r="AU278" s="3">
        <v>308</v>
      </c>
      <c r="AV278" s="3" t="str">
        <f>IFERROR(MID(VLOOKUP($B278,Seqs!$A:$B,2,0),AW278,1),"")</f>
        <v>N</v>
      </c>
      <c r="AW278" s="3">
        <v>309</v>
      </c>
      <c r="AX278" s="3" t="str">
        <f>IFERROR(MID(VLOOKUP($B278,Seqs!$A:$B,2,0),AY278,1),"")</f>
        <v>F</v>
      </c>
      <c r="AY278" s="3">
        <v>320</v>
      </c>
      <c r="AZ278" s="77" t="str">
        <f>VLOOKUP(B278,Classification!A:D,2,0)</f>
        <v>A</v>
      </c>
      <c r="BA278" s="94" t="str">
        <f>VLOOKUP(B278,Classification!A:D,4,0)</f>
        <v>Tachykinin</v>
      </c>
      <c r="BB278" s="27" t="b">
        <f t="shared" ref="BB278" si="2545"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23">
        <f t="shared" ref="BC278" si="2546">_xlfn.AGGREGATE(9,6,CH278:CS278)-_xlfn.AGGREGATE(9,6,BV278:CG278)+12</f>
        <v>252</v>
      </c>
      <c r="BD278" s="5" t="s">
        <v>23</v>
      </c>
      <c r="BE278" s="3" t="s">
        <v>1370</v>
      </c>
      <c r="BF278" s="118">
        <v>2.4</v>
      </c>
      <c r="BG278" s="49" t="s">
        <v>1</v>
      </c>
      <c r="BH278" s="49" t="s">
        <v>1</v>
      </c>
      <c r="BI278" s="1"/>
      <c r="BJ278" s="70" t="s">
        <v>1283</v>
      </c>
      <c r="BK278" s="57" t="s">
        <v>1283</v>
      </c>
      <c r="BL278" s="57" t="s">
        <v>1283</v>
      </c>
      <c r="BM278" s="57" t="s">
        <v>1283</v>
      </c>
      <c r="BN278" s="57" t="s">
        <v>1283</v>
      </c>
      <c r="BO278" s="57" t="s">
        <v>1283</v>
      </c>
      <c r="BP278" s="57" t="s">
        <v>1283</v>
      </c>
      <c r="BQ278" s="57" t="s">
        <v>1283</v>
      </c>
      <c r="BR278" s="57" t="s">
        <v>1283</v>
      </c>
      <c r="BS278" s="57" t="s">
        <v>1283</v>
      </c>
      <c r="BT278" s="57" t="s">
        <v>1283</v>
      </c>
      <c r="BU278" s="57" t="s">
        <v>1283</v>
      </c>
      <c r="BV278" s="70">
        <f t="shared" ref="BV278" si="2547">E278</f>
        <v>28</v>
      </c>
      <c r="BW278" s="71">
        <f t="shared" ref="BW278" si="2548">I278</f>
        <v>61</v>
      </c>
      <c r="BX278" s="72">
        <f t="shared" ref="BX278" si="2549">M278</f>
        <v>65</v>
      </c>
      <c r="BY278" s="71">
        <f t="shared" ref="BY278" si="2550">Q278</f>
        <v>97</v>
      </c>
      <c r="BZ278" s="72">
        <f t="shared" ref="BZ278" si="2551">U278</f>
        <v>101</v>
      </c>
      <c r="CA278" s="71" t="str">
        <f t="shared" ref="CA278" si="2552">Y278</f>
        <v>-</v>
      </c>
      <c r="CB278" s="72">
        <f t="shared" ref="CB278" si="2553">AC278</f>
        <v>143</v>
      </c>
      <c r="CC278" s="71">
        <f t="shared" ref="CC278" si="2554">AG278</f>
        <v>180</v>
      </c>
      <c r="CD278" s="72">
        <f t="shared" ref="CD278" si="2555">AK278</f>
        <v>190</v>
      </c>
      <c r="CE278" s="71">
        <f t="shared" ref="CE278" si="2556">AO278</f>
        <v>238</v>
      </c>
      <c r="CF278" s="72">
        <f t="shared" ref="CF278" si="2557">AS278</f>
        <v>282</v>
      </c>
      <c r="CG278" s="71">
        <f t="shared" ref="CG278" si="2558">AW278</f>
        <v>309</v>
      </c>
      <c r="CH278" s="70">
        <f t="shared" ref="CH278" si="2559">G278</f>
        <v>60</v>
      </c>
      <c r="CI278" s="71">
        <f t="shared" ref="CI278" si="2560">K278</f>
        <v>64</v>
      </c>
      <c r="CJ278" s="72">
        <f t="shared" ref="CJ278" si="2561">O278</f>
        <v>95</v>
      </c>
      <c r="CK278" s="72">
        <f t="shared" ref="CK278" si="2562">S278</f>
        <v>100</v>
      </c>
      <c r="CL278" s="72">
        <f t="shared" ref="CL278" si="2563">W278</f>
        <v>136</v>
      </c>
      <c r="CM278" s="72" t="str">
        <f t="shared" ref="CM278" si="2564">AA278</f>
        <v>-</v>
      </c>
      <c r="CN278" s="72">
        <f t="shared" ref="CN278" si="2565">AE278</f>
        <v>169</v>
      </c>
      <c r="CO278" s="72">
        <f t="shared" ref="CO278" si="2566">AI278</f>
        <v>182</v>
      </c>
      <c r="CP278" s="72">
        <f t="shared" ref="CP278" si="2567">AM278</f>
        <v>226</v>
      </c>
      <c r="CQ278" s="72">
        <f t="shared" ref="CQ278" si="2568">AQ278</f>
        <v>274</v>
      </c>
      <c r="CR278" s="72">
        <f t="shared" ref="CR278" si="2569">AU278</f>
        <v>308</v>
      </c>
      <c r="CS278" s="72">
        <f t="shared" ref="CS278" si="2570">AY278</f>
        <v>320</v>
      </c>
      <c r="CT278" s="23">
        <f t="shared" ref="CT278" si="2571"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ref="A279" si="2572">CONCATENATE(B279,"_",C279)</f>
        <v>nk1r_human_6HLP</v>
      </c>
      <c r="B279" s="3" t="s">
        <v>313</v>
      </c>
      <c r="C279" s="130" t="s">
        <v>1541</v>
      </c>
      <c r="D279" s="3" t="str">
        <f>IFERROR(MID(VLOOKUP($B279,Seqs!$A:$B,2,0),E279,1),"")</f>
        <v>P</v>
      </c>
      <c r="E279" s="3">
        <v>28</v>
      </c>
      <c r="F279" s="3" t="str">
        <f>IFERROR(MID(VLOOKUP($B279,Seqs!$A:$B,2,0),G279,1),"")</f>
        <v>H</v>
      </c>
      <c r="G279" s="3">
        <v>60</v>
      </c>
      <c r="H279" s="3" t="str">
        <f>IFERROR(MID(VLOOKUP($B279,Seqs!$A:$B,2,0),I279,1),"")</f>
        <v>K</v>
      </c>
      <c r="I279" s="23">
        <v>61</v>
      </c>
      <c r="J279" s="3" t="str">
        <f>IFERROR(MID(VLOOKUP($B279,Seqs!$A:$B,2,0),K279,1),"")</f>
        <v>R</v>
      </c>
      <c r="K279" s="23">
        <v>64</v>
      </c>
      <c r="L279" s="3" t="str">
        <f>IFERROR(MID(VLOOKUP($B279,Seqs!$A:$B,2,0),M279,1),"")</f>
        <v>T</v>
      </c>
      <c r="M279" s="3">
        <v>65</v>
      </c>
      <c r="N279" s="3" t="str">
        <f>IFERROR(MID(VLOOKUP($B279,Seqs!$A:$B,2,0),O279,1),"")</f>
        <v>H</v>
      </c>
      <c r="O279" s="3">
        <v>95</v>
      </c>
      <c r="P279" s="3" t="str">
        <f>IFERROR(MID(VLOOKUP($B279,Seqs!$A:$B,2,0),Q279,1),"")</f>
        <v>E</v>
      </c>
      <c r="Q279" s="3">
        <v>97</v>
      </c>
      <c r="R279" s="3" t="str">
        <f>IFERROR(MID(VLOOKUP($B279,Seqs!$A:$B,2,0),S279,1),"")</f>
        <v>Y</v>
      </c>
      <c r="S279" s="3">
        <v>100</v>
      </c>
      <c r="T279" s="3" t="str">
        <f>IFERROR(MID(VLOOKUP($B279,Seqs!$A:$B,2,0),U279,1),"")</f>
        <v>G</v>
      </c>
      <c r="U279" s="3">
        <v>101</v>
      </c>
      <c r="V279" s="3" t="str">
        <f>IFERROR(MID(VLOOKUP($B279,Seqs!$A:$B,2,0),W279,1),"")</f>
        <v>H</v>
      </c>
      <c r="W279" s="3">
        <v>136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S</v>
      </c>
      <c r="AC279" s="3">
        <v>143</v>
      </c>
      <c r="AD279" s="3" t="str">
        <f>IFERROR(MID(VLOOKUP($B279,Seqs!$A:$B,2,0),AE279,1),"")</f>
        <v>S</v>
      </c>
      <c r="AE279" s="3">
        <v>169</v>
      </c>
      <c r="AF279" s="3" t="str">
        <f>IFERROR(MID(VLOOKUP($B279,Seqs!$A:$B,2,0),AG279,1),"")</f>
        <v>C</v>
      </c>
      <c r="AG279" s="3">
        <v>180</v>
      </c>
      <c r="AH279" s="3" t="str">
        <f>IFERROR(MID(VLOOKUP($B279,Seqs!$A:$B,2,0),AI279,1),"")</f>
        <v>I</v>
      </c>
      <c r="AI279" s="3">
        <v>182</v>
      </c>
      <c r="AJ279" s="3" t="str">
        <f>IFERROR(MID(VLOOKUP($B279,Seqs!$A:$B,2,0),AK279,1),"")</f>
        <v>K</v>
      </c>
      <c r="AK279" s="3">
        <v>190</v>
      </c>
      <c r="AL279" s="3" t="str">
        <f>IFERROR(MID(VLOOKUP($B279,Seqs!$A:$B,2,0),AM279,1),"")</f>
        <v>S</v>
      </c>
      <c r="AM279" s="3">
        <v>226</v>
      </c>
      <c r="AN279" s="3" t="str">
        <f>IFERROR(MID(VLOOKUP($B279,Seqs!$A:$B,2,0),AO279,1),"")</f>
        <v>E</v>
      </c>
      <c r="AO279" s="3">
        <v>238</v>
      </c>
      <c r="AP279" s="3" t="str">
        <f>IFERROR(MID(VLOOKUP($B279,Seqs!$A:$B,2,0),AQ279,1),"")</f>
        <v>N</v>
      </c>
      <c r="AQ279" s="3">
        <v>274</v>
      </c>
      <c r="AR279" s="3" t="str">
        <f>IFERROR(MID(VLOOKUP($B279,Seqs!$A:$B,2,0),AS279,1),"")</f>
        <v>F</v>
      </c>
      <c r="AS279" s="3">
        <v>282</v>
      </c>
      <c r="AT279" s="3" t="str">
        <f>IFERROR(MID(VLOOKUP($B279,Seqs!$A:$B,2,0),AU279,1),"")</f>
        <v>L</v>
      </c>
      <c r="AU279" s="3">
        <v>308</v>
      </c>
      <c r="AV279" s="3" t="str">
        <f>IFERROR(MID(VLOOKUP($B279,Seqs!$A:$B,2,0),AW279,1),"")</f>
        <v>N</v>
      </c>
      <c r="AW279" s="3">
        <v>309</v>
      </c>
      <c r="AX279" s="3" t="str">
        <f>IFERROR(MID(VLOOKUP($B279,Seqs!$A:$B,2,0),AY279,1),"")</f>
        <v>F</v>
      </c>
      <c r="AY279" s="3">
        <v>320</v>
      </c>
      <c r="AZ279" s="77" t="str">
        <f>VLOOKUP(B279,Classification!A:D,2,0)</f>
        <v>A</v>
      </c>
      <c r="BA279" s="94" t="str">
        <f>VLOOKUP(B279,Classification!A:D,4,0)</f>
        <v>Tachykinin</v>
      </c>
      <c r="BB279" s="27" t="b">
        <f t="shared" ref="BB279" si="2573"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 t="shared" ref="BC279" si="2574">_xlfn.AGGREGATE(9,6,CH279:CS279)-_xlfn.AGGREGATE(9,6,BV279:CG279)+12</f>
        <v>252</v>
      </c>
      <c r="BD279" s="5" t="s">
        <v>1372</v>
      </c>
      <c r="BE279" s="3" t="s">
        <v>1370</v>
      </c>
      <c r="BF279" s="118">
        <v>2.2000000000000002</v>
      </c>
      <c r="BG279" s="49" t="s">
        <v>1</v>
      </c>
      <c r="BH279" s="49" t="s">
        <v>1</v>
      </c>
      <c r="BI279" s="1"/>
      <c r="BJ279" s="70" t="s">
        <v>1283</v>
      </c>
      <c r="BK279" s="57" t="s">
        <v>1283</v>
      </c>
      <c r="BL279" s="57" t="s">
        <v>1283</v>
      </c>
      <c r="BM279" s="57" t="s">
        <v>1283</v>
      </c>
      <c r="BN279" s="57" t="s">
        <v>1283</v>
      </c>
      <c r="BO279" s="57" t="s">
        <v>1283</v>
      </c>
      <c r="BP279" s="57" t="s">
        <v>1283</v>
      </c>
      <c r="BQ279" s="57" t="s">
        <v>1283</v>
      </c>
      <c r="BR279" s="57" t="s">
        <v>1283</v>
      </c>
      <c r="BS279" s="57" t="s">
        <v>1283</v>
      </c>
      <c r="BT279" s="57" t="s">
        <v>1283</v>
      </c>
      <c r="BU279" s="57" t="s">
        <v>1283</v>
      </c>
      <c r="BV279" s="70">
        <f t="shared" ref="BV279" si="2575">E279</f>
        <v>28</v>
      </c>
      <c r="BW279" s="71">
        <f t="shared" ref="BW279" si="2576">I279</f>
        <v>61</v>
      </c>
      <c r="BX279" s="72">
        <f t="shared" ref="BX279" si="2577">M279</f>
        <v>65</v>
      </c>
      <c r="BY279" s="71">
        <f t="shared" ref="BY279" si="2578">Q279</f>
        <v>97</v>
      </c>
      <c r="BZ279" s="72">
        <f t="shared" ref="BZ279" si="2579">U279</f>
        <v>101</v>
      </c>
      <c r="CA279" s="71" t="str">
        <f t="shared" ref="CA279" si="2580">Y279</f>
        <v>-</v>
      </c>
      <c r="CB279" s="72">
        <f t="shared" ref="CB279" si="2581">AC279</f>
        <v>143</v>
      </c>
      <c r="CC279" s="71">
        <f t="shared" ref="CC279" si="2582">AG279</f>
        <v>180</v>
      </c>
      <c r="CD279" s="72">
        <f t="shared" ref="CD279" si="2583">AK279</f>
        <v>190</v>
      </c>
      <c r="CE279" s="71">
        <f t="shared" ref="CE279" si="2584">AO279</f>
        <v>238</v>
      </c>
      <c r="CF279" s="72">
        <f t="shared" ref="CF279" si="2585">AS279</f>
        <v>282</v>
      </c>
      <c r="CG279" s="71">
        <f t="shared" ref="CG279" si="2586">AW279</f>
        <v>309</v>
      </c>
      <c r="CH279" s="70">
        <f t="shared" ref="CH279" si="2587">G279</f>
        <v>60</v>
      </c>
      <c r="CI279" s="71">
        <f t="shared" ref="CI279" si="2588">K279</f>
        <v>64</v>
      </c>
      <c r="CJ279" s="72">
        <f t="shared" ref="CJ279" si="2589">O279</f>
        <v>95</v>
      </c>
      <c r="CK279" s="72">
        <f t="shared" ref="CK279" si="2590">S279</f>
        <v>100</v>
      </c>
      <c r="CL279" s="72">
        <f t="shared" ref="CL279" si="2591">W279</f>
        <v>136</v>
      </c>
      <c r="CM279" s="72" t="str">
        <f t="shared" ref="CM279" si="2592">AA279</f>
        <v>-</v>
      </c>
      <c r="CN279" s="72">
        <f t="shared" ref="CN279" si="2593">AE279</f>
        <v>169</v>
      </c>
      <c r="CO279" s="72">
        <f t="shared" ref="CO279" si="2594">AI279</f>
        <v>182</v>
      </c>
      <c r="CP279" s="72">
        <f t="shared" ref="CP279" si="2595">AM279</f>
        <v>226</v>
      </c>
      <c r="CQ279" s="72">
        <f t="shared" ref="CQ279" si="2596">AQ279</f>
        <v>274</v>
      </c>
      <c r="CR279" s="72">
        <f t="shared" ref="CR279" si="2597">AU279</f>
        <v>308</v>
      </c>
      <c r="CS279" s="72">
        <f t="shared" ref="CS279" si="2598">AY279</f>
        <v>320</v>
      </c>
      <c r="CT279" s="23">
        <f t="shared" ref="CT279" si="2599"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ref="A280" si="2600">CONCATENATE(B280,"_",C280)</f>
        <v>nk1r_human_6J20</v>
      </c>
      <c r="B280" s="3" t="s">
        <v>313</v>
      </c>
      <c r="C280" s="130" t="s">
        <v>1558</v>
      </c>
      <c r="D280" s="3" t="str">
        <f>IFERROR(MID(VLOOKUP($B280,Seqs!$A:$B,2,0),E280,1),"")</f>
        <v>P</v>
      </c>
      <c r="E280" s="3">
        <v>28</v>
      </c>
      <c r="F280" s="3" t="str">
        <f>IFERROR(MID(VLOOKUP($B280,Seqs!$A:$B,2,0),G280,1),"")</f>
        <v>A</v>
      </c>
      <c r="G280" s="3">
        <v>59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V</v>
      </c>
      <c r="M280" s="3">
        <v>66</v>
      </c>
      <c r="N280" s="3" t="str">
        <f>IFERROR(MID(VLOOKUP($B280,Seqs!$A:$B,2,0),O280,1),"")</f>
        <v>N</v>
      </c>
      <c r="O280" s="3">
        <v>96</v>
      </c>
      <c r="P280" s="3" t="str">
        <f>IFERROR(MID(VLOOKUP($B280,Seqs!$A:$B,2,0),Q280,1),"")</f>
        <v>E</v>
      </c>
      <c r="Q280" s="3">
        <v>97</v>
      </c>
      <c r="R280" s="3" t="str">
        <f>IFERROR(MID(VLOOKUP($B280,Seqs!$A:$B,2,0),S280,1),"")</f>
        <v>Y</v>
      </c>
      <c r="S280" s="3">
        <v>100</v>
      </c>
      <c r="T280" s="3" t="str">
        <f>IFERROR(MID(VLOOKUP($B280,Seqs!$A:$B,2,0),U280,1),"")</f>
        <v>G</v>
      </c>
      <c r="U280" s="3">
        <v>101</v>
      </c>
      <c r="V280" s="3" t="str">
        <f>IFERROR(MID(VLOOKUP($B280,Seqs!$A:$B,2,0),W280,1),"")</f>
        <v>H</v>
      </c>
      <c r="W280" s="3">
        <v>136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S</v>
      </c>
      <c r="AC280" s="3">
        <v>143</v>
      </c>
      <c r="AD280" s="3" t="str">
        <f>IFERROR(MID(VLOOKUP($B280,Seqs!$A:$B,2,0),AE280,1),"")</f>
        <v>S</v>
      </c>
      <c r="AE280" s="3">
        <v>169</v>
      </c>
      <c r="AF280" s="3" t="str">
        <f>IFERROR(MID(VLOOKUP($B280,Seqs!$A:$B,2,0),AG280,1),"")</f>
        <v>C</v>
      </c>
      <c r="AG280" s="3">
        <v>180</v>
      </c>
      <c r="AH280" s="3" t="str">
        <f>IFERROR(MID(VLOOKUP($B280,Seqs!$A:$B,2,0),AI280,1),"")</f>
        <v>I</v>
      </c>
      <c r="AI280" s="3">
        <v>182</v>
      </c>
      <c r="AJ280" s="3" t="str">
        <f>IFERROR(MID(VLOOKUP($B280,Seqs!$A:$B,2,0),AK280,1),"")</f>
        <v>K</v>
      </c>
      <c r="AK280" s="3">
        <v>190</v>
      </c>
      <c r="AL280" s="3" t="str">
        <f>IFERROR(MID(VLOOKUP($B280,Seqs!$A:$B,2,0),AM280,1),"")</f>
        <v>A</v>
      </c>
      <c r="AM280" s="3">
        <v>225</v>
      </c>
      <c r="AN280" s="3" t="str">
        <f>IFERROR(MID(VLOOKUP($B280,Seqs!$A:$B,2,0),AO280,1),"")</f>
        <v>S</v>
      </c>
      <c r="AO280" s="3">
        <v>241</v>
      </c>
      <c r="AP280" s="3" t="str">
        <f>IFERROR(MID(VLOOKUP($B280,Seqs!$A:$B,2,0),AQ280,1),"")</f>
        <v>N</v>
      </c>
      <c r="AQ280" s="3">
        <v>274</v>
      </c>
      <c r="AR280" s="3" t="str">
        <f>IFERROR(MID(VLOOKUP($B280,Seqs!$A:$B,2,0),AS280,1),"")</f>
        <v>I</v>
      </c>
      <c r="AS280" s="3">
        <v>283</v>
      </c>
      <c r="AT280" s="3" t="str">
        <f>IFERROR(MID(VLOOKUP($B280,Seqs!$A:$B,2,0),AU280,1),"")</f>
        <v>L</v>
      </c>
      <c r="AU280" s="3">
        <v>308</v>
      </c>
      <c r="AV280" s="3" t="str">
        <f>IFERROR(MID(VLOOKUP($B280,Seqs!$A:$B,2,0),AW280,1),"")</f>
        <v>N</v>
      </c>
      <c r="AW280" s="3">
        <v>309</v>
      </c>
      <c r="AX280" s="3" t="str">
        <f>IFERROR(MID(VLOOKUP($B280,Seqs!$A:$B,2,0),AY280,1),"")</f>
        <v>A</v>
      </c>
      <c r="AY280" s="3">
        <v>319</v>
      </c>
      <c r="AZ280" s="77" t="str">
        <f>VLOOKUP(B280,Classification!A:D,2,0)</f>
        <v>A</v>
      </c>
      <c r="BA280" s="94" t="str">
        <f>VLOOKUP(B280,Classification!A:D,4,0)</f>
        <v>Tachykinin</v>
      </c>
      <c r="BB280" s="27" t="b">
        <f t="shared" ref="BB280" si="2601"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 t="shared" ref="BC280" si="2602">_xlfn.AGGREGATE(9,6,CH280:CS280)-_xlfn.AGGREGATE(9,6,BV280:CG280)+12</f>
        <v>242</v>
      </c>
      <c r="BD280" s="5" t="s">
        <v>23</v>
      </c>
      <c r="BE280" s="3" t="s">
        <v>1370</v>
      </c>
      <c r="BF280" s="118">
        <v>2.7</v>
      </c>
      <c r="BG280" s="49" t="s">
        <v>1</v>
      </c>
      <c r="BH280" s="49" t="s">
        <v>1</v>
      </c>
      <c r="BI280" s="1"/>
      <c r="BJ280" s="70" t="s">
        <v>1283</v>
      </c>
      <c r="BK280" s="57" t="s">
        <v>1283</v>
      </c>
      <c r="BL280" s="57" t="s">
        <v>1283</v>
      </c>
      <c r="BM280" s="57" t="s">
        <v>1283</v>
      </c>
      <c r="BN280" s="57" t="s">
        <v>1283</v>
      </c>
      <c r="BO280" s="57" t="s">
        <v>1283</v>
      </c>
      <c r="BP280" s="57" t="s">
        <v>1283</v>
      </c>
      <c r="BQ280" s="57" t="s">
        <v>1283</v>
      </c>
      <c r="BR280" s="57" t="s">
        <v>1283</v>
      </c>
      <c r="BS280" s="57" t="s">
        <v>1283</v>
      </c>
      <c r="BT280" s="57" t="s">
        <v>1283</v>
      </c>
      <c r="BU280" s="57" t="s">
        <v>1283</v>
      </c>
      <c r="BV280" s="70">
        <f t="shared" ref="BV280" si="2603">E280</f>
        <v>28</v>
      </c>
      <c r="BW280" s="71" t="str">
        <f t="shared" ref="BW280" si="2604">I280</f>
        <v>-</v>
      </c>
      <c r="BX280" s="72">
        <f t="shared" ref="BX280" si="2605">M280</f>
        <v>66</v>
      </c>
      <c r="BY280" s="71">
        <f t="shared" ref="BY280" si="2606">Q280</f>
        <v>97</v>
      </c>
      <c r="BZ280" s="72">
        <f t="shared" ref="BZ280" si="2607">U280</f>
        <v>101</v>
      </c>
      <c r="CA280" s="71" t="str">
        <f t="shared" ref="CA280" si="2608">Y280</f>
        <v>-</v>
      </c>
      <c r="CB280" s="72">
        <f t="shared" ref="CB280" si="2609">AC280</f>
        <v>143</v>
      </c>
      <c r="CC280" s="71">
        <f t="shared" ref="CC280" si="2610">AG280</f>
        <v>180</v>
      </c>
      <c r="CD280" s="72">
        <f t="shared" ref="CD280" si="2611">AK280</f>
        <v>190</v>
      </c>
      <c r="CE280" s="71">
        <f t="shared" ref="CE280" si="2612">AO280</f>
        <v>241</v>
      </c>
      <c r="CF280" s="72">
        <f t="shared" ref="CF280" si="2613">AS280</f>
        <v>283</v>
      </c>
      <c r="CG280" s="71">
        <f t="shared" ref="CG280" si="2614">AW280</f>
        <v>309</v>
      </c>
      <c r="CH280" s="70">
        <f t="shared" ref="CH280" si="2615">G280</f>
        <v>59</v>
      </c>
      <c r="CI280" s="71" t="str">
        <f t="shared" ref="CI280" si="2616">K280</f>
        <v>-</v>
      </c>
      <c r="CJ280" s="72">
        <f t="shared" ref="CJ280" si="2617">O280</f>
        <v>96</v>
      </c>
      <c r="CK280" s="72">
        <f t="shared" ref="CK280" si="2618">S280</f>
        <v>100</v>
      </c>
      <c r="CL280" s="72">
        <f t="shared" ref="CL280" si="2619">W280</f>
        <v>136</v>
      </c>
      <c r="CM280" s="72" t="str">
        <f t="shared" ref="CM280" si="2620">AA280</f>
        <v>-</v>
      </c>
      <c r="CN280" s="72">
        <f t="shared" ref="CN280" si="2621">AE280</f>
        <v>169</v>
      </c>
      <c r="CO280" s="72">
        <f t="shared" ref="CO280" si="2622">AI280</f>
        <v>182</v>
      </c>
      <c r="CP280" s="72">
        <f t="shared" ref="CP280" si="2623">AM280</f>
        <v>225</v>
      </c>
      <c r="CQ280" s="72">
        <f t="shared" ref="CQ280" si="2624">AQ280</f>
        <v>274</v>
      </c>
      <c r="CR280" s="72">
        <f t="shared" ref="CR280" si="2625">AU280</f>
        <v>308</v>
      </c>
      <c r="CS280" s="72">
        <f t="shared" ref="CS280" si="2626">AY280</f>
        <v>319</v>
      </c>
      <c r="CT280" s="23" t="e">
        <f t="shared" ref="CT280" si="2627">M280-K280</f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ref="A281" si="2628">CONCATENATE(B281,"_",C281)</f>
        <v>nk1r_human_6J21</v>
      </c>
      <c r="B281" s="3" t="s">
        <v>313</v>
      </c>
      <c r="C281" s="130" t="s">
        <v>1559</v>
      </c>
      <c r="D281" s="3" t="str">
        <f>IFERROR(MID(VLOOKUP($B281,Seqs!$A:$B,2,0),E281,1),"")</f>
        <v>P</v>
      </c>
      <c r="E281" s="3">
        <v>28</v>
      </c>
      <c r="F281" s="3" t="str">
        <f>IFERROR(MID(VLOOKUP($B281,Seqs!$A:$B,2,0),G281,1),"")</f>
        <v>A</v>
      </c>
      <c r="G281" s="3">
        <v>59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T</v>
      </c>
      <c r="M281" s="3">
        <v>65</v>
      </c>
      <c r="N281" s="3" t="str">
        <f>IFERROR(MID(VLOOKUP($B281,Seqs!$A:$B,2,0),O281,1),"")</f>
        <v>N</v>
      </c>
      <c r="O281" s="3">
        <v>96</v>
      </c>
      <c r="P281" s="3" t="str">
        <f>IFERROR(MID(VLOOKUP($B281,Seqs!$A:$B,2,0),Q281,1),"")</f>
        <v>E</v>
      </c>
      <c r="Q281" s="3">
        <v>97</v>
      </c>
      <c r="R281" s="3" t="str">
        <f>IFERROR(MID(VLOOKUP($B281,Seqs!$A:$B,2,0),S281,1),"")</f>
        <v>Y</v>
      </c>
      <c r="S281" s="3">
        <v>100</v>
      </c>
      <c r="T281" s="3" t="str">
        <f>IFERROR(MID(VLOOKUP($B281,Seqs!$A:$B,2,0),U281,1),"")</f>
        <v>G</v>
      </c>
      <c r="U281" s="3">
        <v>101</v>
      </c>
      <c r="V281" s="3" t="str">
        <f>IFERROR(MID(VLOOKUP($B281,Seqs!$A:$B,2,0),W281,1),"")</f>
        <v>H</v>
      </c>
      <c r="W281" s="3">
        <v>136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S</v>
      </c>
      <c r="AC281" s="3">
        <v>143</v>
      </c>
      <c r="AD281" s="3" t="str">
        <f>IFERROR(MID(VLOOKUP($B281,Seqs!$A:$B,2,0),AE281,1),"")</f>
        <v>S</v>
      </c>
      <c r="AE281" s="3">
        <v>169</v>
      </c>
      <c r="AF281" s="3" t="str">
        <f>IFERROR(MID(VLOOKUP($B281,Seqs!$A:$B,2,0),AG281,1),"")</f>
        <v>C</v>
      </c>
      <c r="AG281" s="3">
        <v>180</v>
      </c>
      <c r="AH281" s="3" t="str">
        <f>IFERROR(MID(VLOOKUP($B281,Seqs!$A:$B,2,0),AI281,1),"")</f>
        <v>I</v>
      </c>
      <c r="AI281" s="3">
        <v>182</v>
      </c>
      <c r="AJ281" s="3" t="str">
        <f>IFERROR(MID(VLOOKUP($B281,Seqs!$A:$B,2,0),AK281,1),"")</f>
        <v>I</v>
      </c>
      <c r="AK281" s="3">
        <v>191</v>
      </c>
      <c r="AL281" s="3" t="str">
        <f>IFERROR(MID(VLOOKUP($B281,Seqs!$A:$B,2,0),AM281,1),"")</f>
        <v>A</v>
      </c>
      <c r="AM281" s="3">
        <v>225</v>
      </c>
      <c r="AN281" s="3" t="str">
        <f>IFERROR(MID(VLOOKUP($B281,Seqs!$A:$B,2,0),AO281,1),"")</f>
        <v>A</v>
      </c>
      <c r="AO281" s="3">
        <v>242</v>
      </c>
      <c r="AP281" s="3" t="str">
        <f>IFERROR(MID(VLOOKUP($B281,Seqs!$A:$B,2,0),AQ281,1),"")</f>
        <v>N</v>
      </c>
      <c r="AQ281" s="3">
        <v>274</v>
      </c>
      <c r="AR281" s="3" t="str">
        <f>IFERROR(MID(VLOOKUP($B281,Seqs!$A:$B,2,0),AS281,1),"")</f>
        <v>F</v>
      </c>
      <c r="AS281" s="3">
        <v>282</v>
      </c>
      <c r="AT281" s="3" t="str">
        <f>IFERROR(MID(VLOOKUP($B281,Seqs!$A:$B,2,0),AU281,1),"")</f>
        <v>L</v>
      </c>
      <c r="AU281" s="3">
        <v>308</v>
      </c>
      <c r="AV281" s="3" t="str">
        <f>IFERROR(MID(VLOOKUP($B281,Seqs!$A:$B,2,0),AW281,1),"")</f>
        <v>N</v>
      </c>
      <c r="AW281" s="3">
        <v>309</v>
      </c>
      <c r="AX281" s="3" t="str">
        <f>IFERROR(MID(VLOOKUP($B281,Seqs!$A:$B,2,0),AY281,1),"")</f>
        <v>A</v>
      </c>
      <c r="AY281" s="3">
        <v>319</v>
      </c>
      <c r="AZ281" s="77" t="str">
        <f>VLOOKUP(B281,Classification!A:D,2,0)</f>
        <v>A</v>
      </c>
      <c r="BA281" s="94" t="str">
        <f>VLOOKUP(B281,Classification!A:D,4,0)</f>
        <v>Tachykinin</v>
      </c>
      <c r="BB281" s="27" t="b">
        <f t="shared" ref="BB281" si="2629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 t="shared" ref="BC281" si="2630">_xlfn.AGGREGATE(9,6,CH281:CS281)-_xlfn.AGGREGATE(9,6,BV281:CG281)+12</f>
        <v>242</v>
      </c>
      <c r="BD281" s="5" t="s">
        <v>23</v>
      </c>
      <c r="BE281" s="3" t="s">
        <v>1370</v>
      </c>
      <c r="BF281" s="118">
        <v>3.2</v>
      </c>
      <c r="BG281" s="49" t="s">
        <v>1</v>
      </c>
      <c r="BH281" s="49" t="s">
        <v>1</v>
      </c>
      <c r="BI281" s="1"/>
      <c r="BJ281" s="70" t="s">
        <v>1283</v>
      </c>
      <c r="BK281" s="57" t="s">
        <v>1283</v>
      </c>
      <c r="BL281" s="57" t="s">
        <v>1283</v>
      </c>
      <c r="BM281" s="57" t="s">
        <v>1283</v>
      </c>
      <c r="BN281" s="57" t="s">
        <v>1283</v>
      </c>
      <c r="BO281" s="57" t="s">
        <v>1283</v>
      </c>
      <c r="BP281" s="57" t="s">
        <v>1283</v>
      </c>
      <c r="BQ281" s="57" t="s">
        <v>1283</v>
      </c>
      <c r="BR281" s="57" t="s">
        <v>1283</v>
      </c>
      <c r="BS281" s="57" t="s">
        <v>1283</v>
      </c>
      <c r="BT281" s="57" t="s">
        <v>1283</v>
      </c>
      <c r="BU281" s="57" t="s">
        <v>1283</v>
      </c>
      <c r="BV281" s="70">
        <f t="shared" ref="BV281" si="2631">E281</f>
        <v>28</v>
      </c>
      <c r="BW281" s="71" t="str">
        <f t="shared" ref="BW281" si="2632">I281</f>
        <v>-</v>
      </c>
      <c r="BX281" s="72">
        <f t="shared" ref="BX281" si="2633">M281</f>
        <v>65</v>
      </c>
      <c r="BY281" s="71">
        <f t="shared" ref="BY281" si="2634">Q281</f>
        <v>97</v>
      </c>
      <c r="BZ281" s="72">
        <f t="shared" ref="BZ281" si="2635">U281</f>
        <v>101</v>
      </c>
      <c r="CA281" s="71" t="str">
        <f t="shared" ref="CA281" si="2636">Y281</f>
        <v>-</v>
      </c>
      <c r="CB281" s="72">
        <f t="shared" ref="CB281" si="2637">AC281</f>
        <v>143</v>
      </c>
      <c r="CC281" s="71">
        <f t="shared" ref="CC281" si="2638">AG281</f>
        <v>180</v>
      </c>
      <c r="CD281" s="72">
        <f t="shared" ref="CD281" si="2639">AK281</f>
        <v>191</v>
      </c>
      <c r="CE281" s="71">
        <f t="shared" ref="CE281" si="2640">AO281</f>
        <v>242</v>
      </c>
      <c r="CF281" s="72">
        <f t="shared" ref="CF281" si="2641">AS281</f>
        <v>282</v>
      </c>
      <c r="CG281" s="71">
        <f t="shared" ref="CG281" si="2642">AW281</f>
        <v>309</v>
      </c>
      <c r="CH281" s="70">
        <f t="shared" ref="CH281" si="2643">G281</f>
        <v>59</v>
      </c>
      <c r="CI281" s="71" t="str">
        <f t="shared" ref="CI281" si="2644">K281</f>
        <v>-</v>
      </c>
      <c r="CJ281" s="72">
        <f t="shared" ref="CJ281" si="2645">O281</f>
        <v>96</v>
      </c>
      <c r="CK281" s="72">
        <f t="shared" ref="CK281" si="2646">S281</f>
        <v>100</v>
      </c>
      <c r="CL281" s="72">
        <f t="shared" ref="CL281" si="2647">W281</f>
        <v>136</v>
      </c>
      <c r="CM281" s="72" t="str">
        <f t="shared" ref="CM281" si="2648">AA281</f>
        <v>-</v>
      </c>
      <c r="CN281" s="72">
        <f t="shared" ref="CN281" si="2649">AE281</f>
        <v>169</v>
      </c>
      <c r="CO281" s="72">
        <f t="shared" ref="CO281" si="2650">AI281</f>
        <v>182</v>
      </c>
      <c r="CP281" s="72">
        <f t="shared" ref="CP281" si="2651">AM281</f>
        <v>225</v>
      </c>
      <c r="CQ281" s="72">
        <f t="shared" ref="CQ281" si="2652">AQ281</f>
        <v>274</v>
      </c>
      <c r="CR281" s="72">
        <f t="shared" ref="CR281" si="2653">AU281</f>
        <v>308</v>
      </c>
      <c r="CS281" s="72">
        <f t="shared" ref="CS281" si="2654">AY281</f>
        <v>319</v>
      </c>
      <c r="CT281" s="23" t="e">
        <f t="shared" ref="CT281" si="2655">M281-K281</f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>CONCATENATE(B282,"_",C282)</f>
        <v>npy1r_human__wt</v>
      </c>
      <c r="B282" s="3" t="s">
        <v>324</v>
      </c>
      <c r="C282" s="3" t="s">
        <v>100</v>
      </c>
      <c r="D282" s="3" t="str">
        <f>IFERROR(MID(VLOOKUP($B282,Seqs!$A:$B,2,0),E282,1),"")</f>
        <v>P</v>
      </c>
      <c r="E282" s="3">
        <v>36</v>
      </c>
      <c r="F282" s="3" t="str">
        <f>IFERROR(MID(VLOOKUP($B282,Seqs!$A:$B,2,0),G282,1),"")</f>
        <v>Q</v>
      </c>
      <c r="G282" s="3">
        <v>68</v>
      </c>
      <c r="H282" s="3" t="str">
        <f>IFERROR(MID(VLOOKUP($B282,Seqs!$A:$B,2,0),I282,1),"")</f>
        <v>K</v>
      </c>
      <c r="I282" s="23">
        <v>69</v>
      </c>
      <c r="J282" s="3" t="str">
        <f>IFERROR(MID(VLOOKUP($B282,Seqs!$A:$B,2,0),K282,1),"")</f>
        <v>R</v>
      </c>
      <c r="K282" s="23">
        <v>72</v>
      </c>
      <c r="L282" s="3" t="str">
        <f>IFERROR(MID(VLOOKUP($B282,Seqs!$A:$B,2,0),M282,1),"")</f>
        <v>N</v>
      </c>
      <c r="M282" s="3">
        <v>73</v>
      </c>
      <c r="N282" s="3" t="str">
        <f>IFERROR(MID(VLOOKUP($B282,Seqs!$A:$B,2,0),O282,1),"")</f>
        <v>D</v>
      </c>
      <c r="O282" s="3">
        <v>104</v>
      </c>
      <c r="P282" s="3" t="str">
        <f>IFERROR(MID(VLOOKUP($B282,Seqs!$A:$B,2,0),Q282,1),"")</f>
        <v>H</v>
      </c>
      <c r="Q282" s="3">
        <v>105</v>
      </c>
      <c r="R282" s="3" t="str">
        <f>IFERROR(MID(VLOOKUP($B282,Seqs!$A:$B,2,0),S282,1),"")</f>
        <v>F</v>
      </c>
      <c r="S282" s="3">
        <v>108</v>
      </c>
      <c r="T282" s="3" t="str">
        <f>IFERROR(MID(VLOOKUP($B282,Seqs!$A:$B,2,0),U282,1),"")</f>
        <v>G</v>
      </c>
      <c r="U282" s="3">
        <v>109</v>
      </c>
      <c r="V282" s="3" t="str">
        <f>IFERROR(MID(VLOOKUP($B282,Seqs!$A:$B,2,0),W282,1),"")</f>
        <v>N</v>
      </c>
      <c r="W282" s="3">
        <v>144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N</v>
      </c>
      <c r="AC282" s="3">
        <v>151</v>
      </c>
      <c r="AD282" s="3" t="str">
        <f>IFERROR(MID(VLOOKUP($B282,Seqs!$A:$B,2,0),AE282,1),"")</f>
        <v>Q</v>
      </c>
      <c r="AE282" s="3">
        <v>177</v>
      </c>
      <c r="AF282" s="3" t="str">
        <f>IFERROR(MID(VLOOKUP($B282,Seqs!$A:$B,2,0),AG282,1),"")</f>
        <v>C</v>
      </c>
      <c r="AG282" s="3">
        <v>198</v>
      </c>
      <c r="AH282" s="3" t="str">
        <f>IFERROR(MID(VLOOKUP($B282,Seqs!$A:$B,2,0),AI282,1),"")</f>
        <v>D</v>
      </c>
      <c r="AI282" s="3">
        <v>200</v>
      </c>
      <c r="AJ282" s="3" t="str">
        <f>IFERROR(MID(VLOOKUP($B282,Seqs!$A:$B,2,0),AK282,1),"")</f>
        <v>S</v>
      </c>
      <c r="AK282" s="3">
        <v>204</v>
      </c>
      <c r="AL282" s="3" t="str">
        <f>IFERROR(MID(VLOOKUP($B282,Seqs!$A:$B,2,0),AM282,1),"")</f>
        <v>M</v>
      </c>
      <c r="AM282" s="3">
        <v>245</v>
      </c>
      <c r="AN282" s="3" t="str">
        <f>IFERROR(MID(VLOOKUP($B282,Seqs!$A:$B,2,0),AO282,1),"")</f>
        <v>D</v>
      </c>
      <c r="AO282" s="3">
        <v>250</v>
      </c>
      <c r="AP282" s="3" t="str">
        <f>IFERROR(MID(VLOOKUP($B282,Seqs!$A:$B,2,0),AQ282,1),"")</f>
        <v>N</v>
      </c>
      <c r="AQ282" s="3">
        <v>289</v>
      </c>
      <c r="AR282" s="3" t="str">
        <f>IFERROR(MID(VLOOKUP($B282,Seqs!$A:$B,2,0),AS282,1),"")</f>
        <v>T</v>
      </c>
      <c r="AS282" s="3">
        <v>295</v>
      </c>
      <c r="AT282" s="3" t="str">
        <f>IFERROR(MID(VLOOKUP($B282,Seqs!$A:$B,2,0),AU282,1),"")</f>
        <v>L</v>
      </c>
      <c r="AU282" s="3">
        <v>323</v>
      </c>
      <c r="AV282" s="3" t="str">
        <f>IFERROR(MID(VLOOKUP($B282,Seqs!$A:$B,2,0),AW282,1),"")</f>
        <v>N</v>
      </c>
      <c r="AW282" s="3">
        <v>324</v>
      </c>
      <c r="AX282" s="3" t="str">
        <f>IFERROR(MID(VLOOKUP($B282,Seqs!$A:$B,2,0),AY282,1),"")</f>
        <v>F</v>
      </c>
      <c r="AY282" s="3">
        <v>335</v>
      </c>
      <c r="AZ282" s="77" t="str">
        <f>VLOOKUP(B282,Classification!A:D,2,0)</f>
        <v>A</v>
      </c>
      <c r="BA282" s="94" t="str">
        <f>VLOOKUP(B282,Classification!A:D,4,0)</f>
        <v>NeuropeptideY</v>
      </c>
      <c r="BB282" s="27" t="b">
        <f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>_xlfn.AGGREGATE(9,6,CH282:CS282)-_xlfn.AGGREGATE(9,6,BV282:CG282)+12</f>
        <v>263</v>
      </c>
      <c r="BD282" s="5" t="s">
        <v>23</v>
      </c>
      <c r="BE282" s="3" t="s">
        <v>1370</v>
      </c>
      <c r="BF282" s="118" t="s">
        <v>23</v>
      </c>
      <c r="BG282" s="49" t="s">
        <v>1373</v>
      </c>
      <c r="BH282" s="49" t="s">
        <v>1373</v>
      </c>
      <c r="BI282" s="1"/>
      <c r="BJ282" s="70" t="s">
        <v>1283</v>
      </c>
      <c r="BK282" s="57" t="s">
        <v>1283</v>
      </c>
      <c r="BL282" s="57" t="s">
        <v>1283</v>
      </c>
      <c r="BM282" s="57" t="s">
        <v>1283</v>
      </c>
      <c r="BN282" s="57" t="s">
        <v>1283</v>
      </c>
      <c r="BO282" s="57" t="s">
        <v>1283</v>
      </c>
      <c r="BP282" s="57" t="s">
        <v>1283</v>
      </c>
      <c r="BQ282" s="57" t="s">
        <v>1283</v>
      </c>
      <c r="BR282" s="57" t="s">
        <v>1283</v>
      </c>
      <c r="BS282" s="57" t="s">
        <v>1283</v>
      </c>
      <c r="BT282" s="57" t="s">
        <v>1283</v>
      </c>
      <c r="BU282" s="57" t="s">
        <v>1283</v>
      </c>
      <c r="BV282" s="70">
        <f>E282</f>
        <v>36</v>
      </c>
      <c r="BW282" s="71">
        <f>I282</f>
        <v>69</v>
      </c>
      <c r="BX282" s="72">
        <f>M282</f>
        <v>73</v>
      </c>
      <c r="BY282" s="71">
        <f>Q282</f>
        <v>105</v>
      </c>
      <c r="BZ282" s="72">
        <f>U282</f>
        <v>109</v>
      </c>
      <c r="CA282" s="71" t="str">
        <f>Y282</f>
        <v>-</v>
      </c>
      <c r="CB282" s="72">
        <f>AC282</f>
        <v>151</v>
      </c>
      <c r="CC282" s="71">
        <f>AG282</f>
        <v>198</v>
      </c>
      <c r="CD282" s="72">
        <f>AK282</f>
        <v>204</v>
      </c>
      <c r="CE282" s="71">
        <f>AO282</f>
        <v>250</v>
      </c>
      <c r="CF282" s="72">
        <f>AS282</f>
        <v>295</v>
      </c>
      <c r="CG282" s="71">
        <f>AW282</f>
        <v>324</v>
      </c>
      <c r="CH282" s="70">
        <f>G282</f>
        <v>68</v>
      </c>
      <c r="CI282" s="71">
        <f>K282</f>
        <v>72</v>
      </c>
      <c r="CJ282" s="72">
        <f>O282</f>
        <v>104</v>
      </c>
      <c r="CK282" s="72">
        <f>S282</f>
        <v>108</v>
      </c>
      <c r="CL282" s="72">
        <f>W282</f>
        <v>144</v>
      </c>
      <c r="CM282" s="72" t="str">
        <f>AA282</f>
        <v>-</v>
      </c>
      <c r="CN282" s="72">
        <f>AE282</f>
        <v>177</v>
      </c>
      <c r="CO282" s="72">
        <f>AI282</f>
        <v>200</v>
      </c>
      <c r="CP282" s="72">
        <f>AM282</f>
        <v>245</v>
      </c>
      <c r="CQ282" s="72">
        <f>AQ282</f>
        <v>289</v>
      </c>
      <c r="CR282" s="72">
        <f>AU282</f>
        <v>323</v>
      </c>
      <c r="CS282" s="72">
        <f>AY282</f>
        <v>335</v>
      </c>
      <c r="CT282" s="23">
        <f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>CONCATENATE(B283,"_",C283)</f>
        <v>npy1r_human_5ZBH</v>
      </c>
      <c r="B283" s="3" t="s">
        <v>324</v>
      </c>
      <c r="C283" s="3" t="s">
        <v>1486</v>
      </c>
      <c r="D283" s="3" t="str">
        <f>IFERROR(MID(VLOOKUP($B283,Seqs!$A:$B,2,0),E283,1),"")</f>
        <v>P</v>
      </c>
      <c r="E283" s="3">
        <v>36</v>
      </c>
      <c r="F283" s="3" t="str">
        <f>IFERROR(MID(VLOOKUP($B283,Seqs!$A:$B,2,0),G283,1),"")</f>
        <v>Q</v>
      </c>
      <c r="G283" s="3">
        <v>68</v>
      </c>
      <c r="H283" s="3" t="str">
        <f>IFERROR(MID(VLOOKUP($B283,Seqs!$A:$B,2,0),I283,1),"")</f>
        <v>K</v>
      </c>
      <c r="I283" s="23">
        <v>69</v>
      </c>
      <c r="J283" s="3" t="str">
        <f>IFERROR(MID(VLOOKUP($B283,Seqs!$A:$B,2,0),K283,1),"")</f>
        <v>R</v>
      </c>
      <c r="K283" s="23">
        <v>72</v>
      </c>
      <c r="L283" s="3" t="str">
        <f>IFERROR(MID(VLOOKUP($B283,Seqs!$A:$B,2,0),M283,1),"")</f>
        <v>N</v>
      </c>
      <c r="M283" s="3">
        <v>73</v>
      </c>
      <c r="N283" s="3" t="str">
        <f>IFERROR(MID(VLOOKUP($B283,Seqs!$A:$B,2,0),O283,1),"")</f>
        <v>M</v>
      </c>
      <c r="O283" s="3">
        <v>103</v>
      </c>
      <c r="P283" s="3" t="str">
        <f>IFERROR(MID(VLOOKUP($B283,Seqs!$A:$B,2,0),Q283,1),"")</f>
        <v>H</v>
      </c>
      <c r="Q283" s="3">
        <v>105</v>
      </c>
      <c r="R283" s="3" t="str">
        <f>IFERROR(MID(VLOOKUP($B283,Seqs!$A:$B,2,0),S283,1),"")</f>
        <v>F</v>
      </c>
      <c r="S283" s="3">
        <v>108</v>
      </c>
      <c r="T283" s="3" t="str">
        <f>IFERROR(MID(VLOOKUP($B283,Seqs!$A:$B,2,0),U283,1),"")</f>
        <v>G</v>
      </c>
      <c r="U283" s="3">
        <v>109</v>
      </c>
      <c r="V283" s="3" t="str">
        <f>IFERROR(MID(VLOOKUP($B283,Seqs!$A:$B,2,0),W283,1),"")</f>
        <v>N</v>
      </c>
      <c r="W283" s="3">
        <v>144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N</v>
      </c>
      <c r="AC283" s="3">
        <v>151</v>
      </c>
      <c r="AD283" s="3" t="str">
        <f>IFERROR(MID(VLOOKUP($B283,Seqs!$A:$B,2,0),AE283,1),"")</f>
        <v>Y</v>
      </c>
      <c r="AE283" s="3">
        <v>176</v>
      </c>
      <c r="AF283" s="3" t="str">
        <f>IFERROR(MID(VLOOKUP($B283,Seqs!$A:$B,2,0),AG283,1),"")</f>
        <v>C</v>
      </c>
      <c r="AG283" s="3">
        <v>198</v>
      </c>
      <c r="AH283" s="3" t="str">
        <f>IFERROR(MID(VLOOKUP($B283,Seqs!$A:$B,2,0),AI283,1),"")</f>
        <v>D</v>
      </c>
      <c r="AI283" s="3">
        <v>200</v>
      </c>
      <c r="AJ283" s="3" t="str">
        <f>IFERROR(MID(VLOOKUP($B283,Seqs!$A:$B,2,0),AK283,1),"")</f>
        <v>S</v>
      </c>
      <c r="AK283" s="3">
        <v>204</v>
      </c>
      <c r="AL283" s="3" t="str">
        <f>IFERROR(MID(VLOOKUP($B283,Seqs!$A:$B,2,0),AM283,1),"")</f>
        <v>R</v>
      </c>
      <c r="AM283" s="3">
        <v>241</v>
      </c>
      <c r="AN283" s="3" t="str">
        <f>IFERROR(MID(VLOOKUP($B283,Seqs!$A:$B,2,0),AO283,1),"")</f>
        <v>Y</v>
      </c>
      <c r="AO283" s="3">
        <v>253</v>
      </c>
      <c r="AP283" s="3" t="str">
        <f>IFERROR(MID(VLOOKUP($B283,Seqs!$A:$B,2,0),AQ283,1),"")</f>
        <v>N</v>
      </c>
      <c r="AQ283" s="3">
        <v>289</v>
      </c>
      <c r="AR283" s="3" t="str">
        <f>IFERROR(MID(VLOOKUP($B283,Seqs!$A:$B,2,0),AS283,1),"")</f>
        <v>T</v>
      </c>
      <c r="AS283" s="3">
        <v>295</v>
      </c>
      <c r="AT283" s="3" t="str">
        <f>IFERROR(MID(VLOOKUP($B283,Seqs!$A:$B,2,0),AU283,1),"")</f>
        <v>L</v>
      </c>
      <c r="AU283" s="3">
        <v>323</v>
      </c>
      <c r="AV283" s="3" t="str">
        <f>IFERROR(MID(VLOOKUP($B283,Seqs!$A:$B,2,0),AW283,1),"")</f>
        <v>N</v>
      </c>
      <c r="AW283" s="3">
        <v>324</v>
      </c>
      <c r="AX283" s="3" t="str">
        <f>IFERROR(MID(VLOOKUP($B283,Seqs!$A:$B,2,0),AY283,1),"")</f>
        <v>F</v>
      </c>
      <c r="AY283" s="3">
        <v>335</v>
      </c>
      <c r="AZ283" s="77" t="str">
        <f>VLOOKUP(B283,Classification!A:D,2,0)</f>
        <v>A</v>
      </c>
      <c r="BA283" s="94" t="str">
        <f>VLOOKUP(B283,Classification!A:D,4,0)</f>
        <v>NeuropeptideY</v>
      </c>
      <c r="BB283" s="27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254</v>
      </c>
      <c r="BD283" s="5" t="s">
        <v>1372</v>
      </c>
      <c r="BE283" s="3" t="s">
        <v>1370</v>
      </c>
      <c r="BF283" s="118">
        <v>3</v>
      </c>
      <c r="BG283" s="49" t="s">
        <v>1</v>
      </c>
      <c r="BH283" s="49" t="s">
        <v>1</v>
      </c>
      <c r="BI283" s="1"/>
      <c r="BJ283" s="70" t="s">
        <v>1283</v>
      </c>
      <c r="BK283" s="57" t="s">
        <v>1283</v>
      </c>
      <c r="BL283" s="57" t="s">
        <v>1283</v>
      </c>
      <c r="BM283" s="57" t="s">
        <v>1283</v>
      </c>
      <c r="BN283" s="57" t="s">
        <v>1283</v>
      </c>
      <c r="BO283" s="57" t="s">
        <v>1283</v>
      </c>
      <c r="BP283" s="57" t="s">
        <v>1283</v>
      </c>
      <c r="BQ283" s="57" t="s">
        <v>1283</v>
      </c>
      <c r="BR283" s="57" t="s">
        <v>1283</v>
      </c>
      <c r="BS283" s="57" t="s">
        <v>1283</v>
      </c>
      <c r="BT283" s="57" t="s">
        <v>1283</v>
      </c>
      <c r="BU283" s="57" t="s">
        <v>1283</v>
      </c>
      <c r="BV283" s="70">
        <f>E283</f>
        <v>36</v>
      </c>
      <c r="BW283" s="71">
        <f>I283</f>
        <v>69</v>
      </c>
      <c r="BX283" s="72">
        <f>M283</f>
        <v>73</v>
      </c>
      <c r="BY283" s="71">
        <f>Q283</f>
        <v>105</v>
      </c>
      <c r="BZ283" s="72">
        <f>U283</f>
        <v>109</v>
      </c>
      <c r="CA283" s="71" t="str">
        <f>Y283</f>
        <v>-</v>
      </c>
      <c r="CB283" s="72">
        <f>AC283</f>
        <v>151</v>
      </c>
      <c r="CC283" s="71">
        <f>AG283</f>
        <v>198</v>
      </c>
      <c r="CD283" s="72">
        <f>AK283</f>
        <v>204</v>
      </c>
      <c r="CE283" s="71">
        <f>AO283</f>
        <v>253</v>
      </c>
      <c r="CF283" s="72">
        <f>AS283</f>
        <v>295</v>
      </c>
      <c r="CG283" s="71">
        <f>AW283</f>
        <v>324</v>
      </c>
      <c r="CH283" s="70">
        <f>G283</f>
        <v>68</v>
      </c>
      <c r="CI283" s="71">
        <f>K283</f>
        <v>72</v>
      </c>
      <c r="CJ283" s="72">
        <f>O283</f>
        <v>103</v>
      </c>
      <c r="CK283" s="72">
        <f>S283</f>
        <v>108</v>
      </c>
      <c r="CL283" s="72">
        <f>W283</f>
        <v>144</v>
      </c>
      <c r="CM283" s="72" t="str">
        <f>AA283</f>
        <v>-</v>
      </c>
      <c r="CN283" s="72">
        <f>AE283</f>
        <v>176</v>
      </c>
      <c r="CO283" s="72">
        <f>AI283</f>
        <v>200</v>
      </c>
      <c r="CP283" s="72">
        <f>AM283</f>
        <v>241</v>
      </c>
      <c r="CQ283" s="72">
        <f>AQ283</f>
        <v>289</v>
      </c>
      <c r="CR283" s="72">
        <f>AU283</f>
        <v>323</v>
      </c>
      <c r="CS283" s="72">
        <f>AY283</f>
        <v>335</v>
      </c>
      <c r="CT283" s="23">
        <f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>CONCATENATE(B284,"_",C284)</f>
        <v>npy1r_human_5ZBQ</v>
      </c>
      <c r="B284" s="3" t="s">
        <v>324</v>
      </c>
      <c r="C284" s="3" t="s">
        <v>1485</v>
      </c>
      <c r="D284" s="3" t="str">
        <f>IFERROR(MID(VLOOKUP($B284,Seqs!$A:$B,2,0),E284,1),"")</f>
        <v>P</v>
      </c>
      <c r="E284" s="3">
        <v>36</v>
      </c>
      <c r="F284" s="3" t="str">
        <f>IFERROR(MID(VLOOKUP($B284,Seqs!$A:$B,2,0),G284,1),"")</f>
        <v>Q</v>
      </c>
      <c r="G284" s="3">
        <v>68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V</v>
      </c>
      <c r="M284" s="3">
        <v>74</v>
      </c>
      <c r="N284" s="3" t="str">
        <f>IFERROR(MID(VLOOKUP($B284,Seqs!$A:$B,2,0),O284,1),"")</f>
        <v>D</v>
      </c>
      <c r="O284" s="3">
        <v>104</v>
      </c>
      <c r="P284" s="3" t="str">
        <f>IFERROR(MID(VLOOKUP($B284,Seqs!$A:$B,2,0),Q284,1),"")</f>
        <v>W</v>
      </c>
      <c r="Q284" s="3">
        <v>106</v>
      </c>
      <c r="R284" s="3" t="str">
        <f>IFERROR(MID(VLOOKUP($B284,Seqs!$A:$B,2,0),S284,1),"")</f>
        <v>F</v>
      </c>
      <c r="S284" s="3">
        <v>108</v>
      </c>
      <c r="T284" s="3" t="str">
        <f>IFERROR(MID(VLOOKUP($B284,Seqs!$A:$B,2,0),U284,1),"")</f>
        <v>G</v>
      </c>
      <c r="U284" s="3">
        <v>109</v>
      </c>
      <c r="V284" s="3" t="str">
        <f>IFERROR(MID(VLOOKUP($B284,Seqs!$A:$B,2,0),W284,1),"")</f>
        <v>I</v>
      </c>
      <c r="W284" s="3">
        <v>143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N</v>
      </c>
      <c r="AC284" s="3">
        <v>151</v>
      </c>
      <c r="AD284" s="3" t="str">
        <f>IFERROR(MID(VLOOKUP($B284,Seqs!$A:$B,2,0),AE284,1),"")</f>
        <v>Q</v>
      </c>
      <c r="AE284" s="3">
        <v>177</v>
      </c>
      <c r="AF284" s="3" t="str">
        <f>IFERROR(MID(VLOOKUP($B284,Seqs!$A:$B,2,0),AG284,1),"")</f>
        <v>C</v>
      </c>
      <c r="AG284" s="3">
        <v>198</v>
      </c>
      <c r="AH284" s="3" t="str">
        <f>IFERROR(MID(VLOOKUP($B284,Seqs!$A:$B,2,0),AI284,1),"")</f>
        <v>D</v>
      </c>
      <c r="AI284" s="3">
        <v>200</v>
      </c>
      <c r="AJ284" s="3" t="str">
        <f>IFERROR(MID(VLOOKUP($B284,Seqs!$A:$B,2,0),AK284,1),"")</f>
        <v>S</v>
      </c>
      <c r="AK284" s="3">
        <v>204</v>
      </c>
      <c r="AL284" s="3" t="str">
        <f>IFERROR(MID(VLOOKUP($B284,Seqs!$A:$B,2,0),AM284,1),"")</f>
        <v>R</v>
      </c>
      <c r="AM284" s="3">
        <v>241</v>
      </c>
      <c r="AN284" s="3" t="str">
        <f>IFERROR(MID(VLOOKUP($B284,Seqs!$A:$B,2,0),AO284,1),"")</f>
        <v>T</v>
      </c>
      <c r="AO284" s="3">
        <v>258</v>
      </c>
      <c r="AP284" s="3" t="str">
        <f>IFERROR(MID(VLOOKUP($B284,Seqs!$A:$B,2,0),AQ284,1),"")</f>
        <v>N</v>
      </c>
      <c r="AQ284" s="3">
        <v>289</v>
      </c>
      <c r="AR284" s="3" t="str">
        <f>IFERROR(MID(VLOOKUP($B284,Seqs!$A:$B,2,0),AS284,1),"")</f>
        <v>T</v>
      </c>
      <c r="AS284" s="3">
        <v>295</v>
      </c>
      <c r="AT284" s="3" t="str">
        <f>IFERROR(MID(VLOOKUP($B284,Seqs!$A:$B,2,0),AU284,1),"")</f>
        <v>L</v>
      </c>
      <c r="AU284" s="3">
        <v>323</v>
      </c>
      <c r="AV284" s="3" t="str">
        <f>IFERROR(MID(VLOOKUP($B284,Seqs!$A:$B,2,0),AW284,1),"")</f>
        <v>N</v>
      </c>
      <c r="AW284" s="3">
        <v>324</v>
      </c>
      <c r="AX284" s="3" t="str">
        <f>IFERROR(MID(VLOOKUP($B284,Seqs!$A:$B,2,0),AY284,1),"")</f>
        <v>F</v>
      </c>
      <c r="AY284" s="3">
        <v>335</v>
      </c>
      <c r="AZ284" s="77" t="str">
        <f>VLOOKUP(B284,Classification!A:D,2,0)</f>
        <v>A</v>
      </c>
      <c r="BA284" s="94" t="str">
        <f>VLOOKUP(B284,Classification!A:D,4,0)</f>
        <v>NeuropeptideY</v>
      </c>
      <c r="BB284" s="27" t="b">
        <f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>_xlfn.AGGREGATE(9,6,CH284:CS284)-_xlfn.AGGREGATE(9,6,BV284:CG284)+12</f>
        <v>245</v>
      </c>
      <c r="BD284" s="5" t="s">
        <v>23</v>
      </c>
      <c r="BE284" s="3" t="s">
        <v>1370</v>
      </c>
      <c r="BF284" s="118">
        <v>2.7</v>
      </c>
      <c r="BG284" s="49" t="s">
        <v>1</v>
      </c>
      <c r="BH284" s="49" t="s">
        <v>1</v>
      </c>
      <c r="BI284" s="1"/>
      <c r="BJ284" s="70" t="s">
        <v>1283</v>
      </c>
      <c r="BK284" s="57" t="s">
        <v>1283</v>
      </c>
      <c r="BL284" s="57" t="s">
        <v>1283</v>
      </c>
      <c r="BM284" s="57" t="s">
        <v>1283</v>
      </c>
      <c r="BN284" s="57" t="s">
        <v>1283</v>
      </c>
      <c r="BO284" s="57" t="s">
        <v>1283</v>
      </c>
      <c r="BP284" s="57" t="s">
        <v>1283</v>
      </c>
      <c r="BQ284" s="57" t="s">
        <v>1283</v>
      </c>
      <c r="BR284" s="57" t="s">
        <v>1283</v>
      </c>
      <c r="BS284" s="57" t="s">
        <v>1283</v>
      </c>
      <c r="BT284" s="57" t="s">
        <v>1283</v>
      </c>
      <c r="BU284" s="57" t="s">
        <v>1283</v>
      </c>
      <c r="BV284" s="70">
        <f>E284</f>
        <v>36</v>
      </c>
      <c r="BW284" s="71" t="str">
        <f>I284</f>
        <v>-</v>
      </c>
      <c r="BX284" s="72">
        <f>M284</f>
        <v>74</v>
      </c>
      <c r="BY284" s="71">
        <f>Q284</f>
        <v>106</v>
      </c>
      <c r="BZ284" s="72">
        <f>U284</f>
        <v>109</v>
      </c>
      <c r="CA284" s="71" t="str">
        <f>Y284</f>
        <v>-</v>
      </c>
      <c r="CB284" s="72">
        <f>AC284</f>
        <v>151</v>
      </c>
      <c r="CC284" s="71">
        <f>AG284</f>
        <v>198</v>
      </c>
      <c r="CD284" s="72">
        <f>AK284</f>
        <v>204</v>
      </c>
      <c r="CE284" s="71">
        <f>AO284</f>
        <v>258</v>
      </c>
      <c r="CF284" s="72">
        <f>AS284</f>
        <v>295</v>
      </c>
      <c r="CG284" s="71">
        <f>AW284</f>
        <v>324</v>
      </c>
      <c r="CH284" s="70">
        <f>G284</f>
        <v>68</v>
      </c>
      <c r="CI284" s="71" t="str">
        <f>K284</f>
        <v>-</v>
      </c>
      <c r="CJ284" s="72">
        <f>O284</f>
        <v>104</v>
      </c>
      <c r="CK284" s="72">
        <f>S284</f>
        <v>108</v>
      </c>
      <c r="CL284" s="72">
        <f>W284</f>
        <v>143</v>
      </c>
      <c r="CM284" s="72" t="str">
        <f>AA284</f>
        <v>-</v>
      </c>
      <c r="CN284" s="72">
        <f>AE284</f>
        <v>177</v>
      </c>
      <c r="CO284" s="72">
        <f>AI284</f>
        <v>200</v>
      </c>
      <c r="CP284" s="72">
        <f>AM284</f>
        <v>241</v>
      </c>
      <c r="CQ284" s="72">
        <f>AQ284</f>
        <v>289</v>
      </c>
      <c r="CR284" s="72">
        <f>AU284</f>
        <v>323</v>
      </c>
      <c r="CS284" s="72">
        <f>AY284</f>
        <v>335</v>
      </c>
      <c r="CT284" s="23" t="e">
        <f>M284-K284</f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ref="A285" si="2656">CONCATENATE(B285,"_",C285)</f>
        <v>ntr1_human__wt</v>
      </c>
      <c r="B285" s="3" t="s">
        <v>127</v>
      </c>
      <c r="C285" s="3" t="s">
        <v>100</v>
      </c>
      <c r="D285" s="3" t="str">
        <f>IFERROR(MID(VLOOKUP($B285,Seqs!$A:$B,2,0),E285,1),"")</f>
        <v>D</v>
      </c>
      <c r="E285" s="3">
        <v>59</v>
      </c>
      <c r="F285" s="3" t="str">
        <f>IFERROR(MID(VLOOKUP($B285,Seqs!$A:$B,2,0),G285,1),"")</f>
        <v>K</v>
      </c>
      <c r="G285" s="3">
        <v>91</v>
      </c>
      <c r="H285" s="3" t="str">
        <f>IFERROR(MID(VLOOKUP($B285,Seqs!$A:$B,2,0),I285,1),"")</f>
        <v>K</v>
      </c>
      <c r="I285" s="23">
        <v>92</v>
      </c>
      <c r="J285" s="3" t="str">
        <f>IFERROR(MID(VLOOKUP($B285,Seqs!$A:$B,2,0),K285,1),"")</f>
        <v>Q</v>
      </c>
      <c r="K285" s="23">
        <v>95</v>
      </c>
      <c r="L285" s="3" t="str">
        <f>IFERROR(MID(VLOOKUP($B285,Seqs!$A:$B,2,0),M285,1),"")</f>
        <v>S</v>
      </c>
      <c r="M285" s="3">
        <v>96</v>
      </c>
      <c r="N285" s="3" t="str">
        <f>IFERROR(MID(VLOOKUP($B285,Seqs!$A:$B,2,0),O285,1),"")</f>
        <v>V</v>
      </c>
      <c r="O285" s="3">
        <v>130</v>
      </c>
      <c r="P285" s="3" t="str">
        <f>IFERROR(MID(VLOOKUP($B285,Seqs!$A:$B,2,0),Q285,1),"")</f>
        <v>P</v>
      </c>
      <c r="Q285" s="3">
        <v>133</v>
      </c>
      <c r="R285" s="3" t="str">
        <f>IFERROR(MID(VLOOKUP($B285,Seqs!$A:$B,2,0),S285,1),"")</f>
        <v>F</v>
      </c>
      <c r="S285" s="3">
        <v>136</v>
      </c>
      <c r="T285" s="3" t="str">
        <f>IFERROR(MID(VLOOKUP($B285,Seqs!$A:$B,2,0),U285,1),"")</f>
        <v>G</v>
      </c>
      <c r="U285" s="3">
        <v>137</v>
      </c>
      <c r="V285" s="3" t="str">
        <f>IFERROR(MID(VLOOKUP($B285,Seqs!$A:$B,2,0),W285,1),"")</f>
        <v>H</v>
      </c>
      <c r="W285" s="3">
        <v>172</v>
      </c>
      <c r="X285" s="3" t="str">
        <f>IFERROR(MID(VLOOKUP($B285,Seqs!$A:$B,2,0),Y285,1),"")</f>
        <v>P</v>
      </c>
      <c r="Y285" s="3">
        <v>173</v>
      </c>
      <c r="Z285" s="3" t="str">
        <f>IFERROR(MID(VLOOKUP($B285,Seqs!$A:$B,2,0),AA285,1),"")</f>
        <v>M</v>
      </c>
      <c r="AA285" s="3">
        <v>180</v>
      </c>
      <c r="AB285" s="3" t="str">
        <f>IFERROR(MID(VLOOKUP($B285,Seqs!$A:$B,2,0),AC285,1),"")</f>
        <v>S</v>
      </c>
      <c r="AC285" s="3">
        <v>181</v>
      </c>
      <c r="AD285" s="3" t="str">
        <f>IFERROR(MID(VLOOKUP($B285,Seqs!$A:$B,2,0),AE285,1),"")</f>
        <v>M</v>
      </c>
      <c r="AE285" s="3">
        <v>207</v>
      </c>
      <c r="AF285" s="3" t="str">
        <f>IFERROR(MID(VLOOKUP($B285,Seqs!$A:$B,2,0),AG285,1),"")</f>
        <v>C</v>
      </c>
      <c r="AG285" s="3">
        <v>224</v>
      </c>
      <c r="AH285" s="3" t="str">
        <f>IFERROR(MID(VLOOKUP($B285,Seqs!$A:$B,2,0),AI285,1),"")</f>
        <v>P</v>
      </c>
      <c r="AI285" s="3">
        <v>226</v>
      </c>
      <c r="AJ285" s="3" t="str">
        <f>IFERROR(MID(VLOOKUP($B285,Seqs!$A:$B,2,0),AK285,1),"")</f>
        <v>H</v>
      </c>
      <c r="AK285" s="3">
        <v>229</v>
      </c>
      <c r="AL285" s="3" t="str">
        <f>IFERROR(MID(VLOOKUP($B285,Seqs!$A:$B,2,0),AM285,1),"")</f>
        <v>G</v>
      </c>
      <c r="AM285" s="3">
        <v>274</v>
      </c>
      <c r="AN285" s="3" t="str">
        <f>IFERROR(MID(VLOOKUP($B285,Seqs!$A:$B,2,0),AO285,1),"")</f>
        <v>P</v>
      </c>
      <c r="AO285" s="3">
        <v>292</v>
      </c>
      <c r="AP285" s="3" t="str">
        <f>IFERROR(MID(VLOOKUP($B285,Seqs!$A:$B,2,0),AQ285,1),"")</f>
        <v>I</v>
      </c>
      <c r="AQ285" s="3">
        <v>329</v>
      </c>
      <c r="AR285" s="3" t="str">
        <f>IFERROR(MID(VLOOKUP($B285,Seqs!$A:$B,2,0),AS285,1),"")</f>
        <v>T</v>
      </c>
      <c r="AS285" s="3">
        <v>335</v>
      </c>
      <c r="AT285" s="3" t="str">
        <f>IFERROR(MID(VLOOKUP($B285,Seqs!$A:$B,2,0),AU285,1),"")</f>
        <v>V</v>
      </c>
      <c r="AU285" s="3">
        <v>367</v>
      </c>
      <c r="AV285" s="3" t="str">
        <f>IFERROR(MID(VLOOKUP($B285,Seqs!$A:$B,2,0),AW285,1),"")</f>
        <v>S</v>
      </c>
      <c r="AW285" s="3">
        <v>368</v>
      </c>
      <c r="AX285" s="3" t="str">
        <f>IFERROR(MID(VLOOKUP($B285,Seqs!$A:$B,2,0),AY285,1),"")</f>
        <v>C</v>
      </c>
      <c r="AY285" s="3">
        <v>383</v>
      </c>
      <c r="AZ285" s="77" t="str">
        <f>VLOOKUP(B285,Classification!A:D,2,0)</f>
        <v>A</v>
      </c>
      <c r="BA285" s="94" t="str">
        <f>VLOOKUP(B285,Classification!A:D,4,0)</f>
        <v>Neurotensin</v>
      </c>
      <c r="BB285" s="27" t="b">
        <f t="shared" ref="BB285" si="2657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 t="s">
        <v>23</v>
      </c>
      <c r="BD285" s="56" t="s">
        <v>23</v>
      </c>
      <c r="BE285" s="3" t="s">
        <v>23</v>
      </c>
      <c r="BF285" s="118" t="s">
        <v>23</v>
      </c>
      <c r="BG285" s="49" t="s">
        <v>1368</v>
      </c>
      <c r="BH285" s="49" t="s">
        <v>1373</v>
      </c>
      <c r="BJ285" s="70" t="s">
        <v>1283</v>
      </c>
      <c r="BK285" s="57" t="s">
        <v>1283</v>
      </c>
      <c r="BL285" s="57" t="s">
        <v>1283</v>
      </c>
      <c r="BM285" s="57" t="s">
        <v>1283</v>
      </c>
      <c r="BN285" s="57" t="s">
        <v>1283</v>
      </c>
      <c r="BO285" s="57" t="s">
        <v>1283</v>
      </c>
      <c r="BP285" s="57" t="s">
        <v>1283</v>
      </c>
      <c r="BQ285" s="57" t="s">
        <v>1283</v>
      </c>
      <c r="BR285" s="57" t="s">
        <v>1283</v>
      </c>
      <c r="BS285" s="57" t="s">
        <v>1283</v>
      </c>
      <c r="BT285" s="57" t="s">
        <v>1283</v>
      </c>
      <c r="BU285" s="57" t="s">
        <v>1283</v>
      </c>
      <c r="BV285" s="70">
        <f t="shared" ref="BV285" si="2658">E285</f>
        <v>59</v>
      </c>
      <c r="BW285" s="71">
        <f t="shared" ref="BW285" si="2659">I285</f>
        <v>92</v>
      </c>
      <c r="BX285" s="72">
        <f t="shared" ref="BX285" si="2660">M285</f>
        <v>96</v>
      </c>
      <c r="BY285" s="71">
        <f t="shared" ref="BY285" si="2661">Q285</f>
        <v>133</v>
      </c>
      <c r="BZ285" s="72">
        <f t="shared" ref="BZ285" si="2662">U285</f>
        <v>137</v>
      </c>
      <c r="CA285" s="71">
        <f t="shared" ref="CA285" si="2663">Y285</f>
        <v>173</v>
      </c>
      <c r="CB285" s="72">
        <f t="shared" ref="CB285" si="2664">AC285</f>
        <v>181</v>
      </c>
      <c r="CC285" s="71">
        <f t="shared" ref="CC285" si="2665">AG285</f>
        <v>224</v>
      </c>
      <c r="CD285" s="72">
        <f t="shared" ref="CD285" si="2666">AK285</f>
        <v>229</v>
      </c>
      <c r="CE285" s="71">
        <f t="shared" ref="CE285" si="2667">AO285</f>
        <v>292</v>
      </c>
      <c r="CF285" s="72">
        <f t="shared" ref="CF285" si="2668">AS285</f>
        <v>335</v>
      </c>
      <c r="CG285" s="71">
        <f t="shared" ref="CG285" si="2669">AW285</f>
        <v>368</v>
      </c>
      <c r="CH285" s="70">
        <f t="shared" ref="CH285" si="2670">G285</f>
        <v>91</v>
      </c>
      <c r="CI285" s="71">
        <f t="shared" ref="CI285" si="2671">K285</f>
        <v>95</v>
      </c>
      <c r="CJ285" s="72">
        <f t="shared" ref="CJ285" si="2672">O285</f>
        <v>130</v>
      </c>
      <c r="CK285" s="72">
        <f t="shared" ref="CK285" si="2673">S285</f>
        <v>136</v>
      </c>
      <c r="CL285" s="72">
        <f t="shared" ref="CL285" si="2674">W285</f>
        <v>172</v>
      </c>
      <c r="CM285" s="72">
        <f t="shared" ref="CM285" si="2675">AA285</f>
        <v>180</v>
      </c>
      <c r="CN285" s="72">
        <f t="shared" ref="CN285" si="2676">AE285</f>
        <v>207</v>
      </c>
      <c r="CO285" s="72">
        <f t="shared" ref="CO285" si="2677">AI285</f>
        <v>226</v>
      </c>
      <c r="CP285" s="72">
        <f t="shared" ref="CP285" si="2678">AM285</f>
        <v>274</v>
      </c>
      <c r="CQ285" s="72">
        <f t="shared" ref="CQ285" si="2679">AQ285</f>
        <v>329</v>
      </c>
      <c r="CR285" s="72">
        <f t="shared" ref="CR285" si="2680">AU285</f>
        <v>367</v>
      </c>
      <c r="CS285" s="72">
        <f t="shared" ref="CS285" si="2681">AY285</f>
        <v>383</v>
      </c>
      <c r="CT285" s="23">
        <f t="shared" ref="CT285" si="2682">M285-K285</f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ref="A286" si="2683">CONCATENATE(B286,"_",C286)</f>
        <v>ntr1_human_6OS9</v>
      </c>
      <c r="B286" s="3" t="s">
        <v>127</v>
      </c>
      <c r="C286" s="3" t="s">
        <v>1579</v>
      </c>
      <c r="D286" s="3" t="str">
        <f>IFERROR(MID(VLOOKUP($B286,Seqs!$A:$B,2,0),E286,1),"")</f>
        <v>D</v>
      </c>
      <c r="E286" s="3">
        <v>59</v>
      </c>
      <c r="F286" s="3" t="str">
        <f>IFERROR(MID(VLOOKUP($B286,Seqs!$A:$B,2,0),G286,1),"")</f>
        <v>K</v>
      </c>
      <c r="G286" s="3">
        <v>91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Q</v>
      </c>
      <c r="M286" s="3">
        <v>98</v>
      </c>
      <c r="N286" s="3" t="str">
        <f>IFERROR(MID(VLOOKUP($B286,Seqs!$A:$B,2,0),O286,1),"")</f>
        <v>V</v>
      </c>
      <c r="O286" s="3">
        <v>130</v>
      </c>
      <c r="P286" s="3" t="str">
        <f>IFERROR(MID(VLOOKUP($B286,Seqs!$A:$B,2,0),Q286,1),"")</f>
        <v>P</v>
      </c>
      <c r="Q286" s="3">
        <v>133</v>
      </c>
      <c r="R286" s="3" t="str">
        <f>IFERROR(MID(VLOOKUP($B286,Seqs!$A:$B,2,0),S286,1),"")</f>
        <v>F</v>
      </c>
      <c r="S286" s="3">
        <v>136</v>
      </c>
      <c r="T286" s="3" t="str">
        <f>IFERROR(MID(VLOOKUP($B286,Seqs!$A:$B,2,0),U286,1),"")</f>
        <v>G</v>
      </c>
      <c r="U286" s="3">
        <v>137</v>
      </c>
      <c r="V286" s="3" t="str">
        <f>IFERROR(MID(VLOOKUP($B286,Seqs!$A:$B,2,0),W286,1),"")</f>
        <v>H</v>
      </c>
      <c r="W286" s="3">
        <v>172</v>
      </c>
      <c r="X286" s="3" t="str">
        <f>IFERROR(MID(VLOOKUP($B286,Seqs!$A:$B,2,0),Y286,1),"")</f>
        <v>P</v>
      </c>
      <c r="Y286" s="3">
        <v>173</v>
      </c>
      <c r="Z286" s="3" t="str">
        <f>IFERROR(MID(VLOOKUP($B286,Seqs!$A:$B,2,0),AA286,1),"")</f>
        <v>M</v>
      </c>
      <c r="AA286" s="3">
        <v>180</v>
      </c>
      <c r="AB286" s="3" t="str">
        <f>IFERROR(MID(VLOOKUP($B286,Seqs!$A:$B,2,0),AC286,1),"")</f>
        <v>S</v>
      </c>
      <c r="AC286" s="3">
        <v>181</v>
      </c>
      <c r="AD286" s="3" t="str">
        <f>IFERROR(MID(VLOOKUP($B286,Seqs!$A:$B,2,0),AE286,1),"")</f>
        <v>L</v>
      </c>
      <c r="AE286" s="3">
        <v>204</v>
      </c>
      <c r="AF286" s="3" t="str">
        <f>IFERROR(MID(VLOOKUP($B286,Seqs!$A:$B,2,0),AG286,1),"")</f>
        <v>C</v>
      </c>
      <c r="AG286" s="3">
        <v>224</v>
      </c>
      <c r="AH286" s="3" t="str">
        <f>IFERROR(MID(VLOOKUP($B286,Seqs!$A:$B,2,0),AI286,1),"")</f>
        <v>P</v>
      </c>
      <c r="AI286" s="3">
        <v>226</v>
      </c>
      <c r="AJ286" s="3" t="str">
        <f>IFERROR(MID(VLOOKUP($B286,Seqs!$A:$B,2,0),AK286,1),"")</f>
        <v>H</v>
      </c>
      <c r="AK286" s="3">
        <v>229</v>
      </c>
      <c r="AL286" s="3" t="str">
        <f>IFERROR(MID(VLOOKUP($B286,Seqs!$A:$B,2,0),AM286,1),"")</f>
        <v>E</v>
      </c>
      <c r="AM286" s="3">
        <v>272</v>
      </c>
      <c r="AN286" s="3" t="str">
        <f>IFERROR(MID(VLOOKUP($B286,Seqs!$A:$B,2,0),AO286,1),"")</f>
        <v>V</v>
      </c>
      <c r="AO286" s="3">
        <v>295</v>
      </c>
      <c r="AP286" s="3" t="str">
        <f>IFERROR(MID(VLOOKUP($B286,Seqs!$A:$B,2,0),AQ286,1),"")</f>
        <v>I</v>
      </c>
      <c r="AQ286" s="3">
        <v>329</v>
      </c>
      <c r="AR286" s="3" t="str">
        <f>IFERROR(MID(VLOOKUP($B286,Seqs!$A:$B,2,0),AS286,1),"")</f>
        <v>T</v>
      </c>
      <c r="AS286" s="3">
        <v>335</v>
      </c>
      <c r="AT286" s="3" t="str">
        <f>IFERROR(MID(VLOOKUP($B286,Seqs!$A:$B,2,0),AU286,1),"")</f>
        <v>L</v>
      </c>
      <c r="AU286" s="3">
        <v>366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A</v>
      </c>
      <c r="BA286" s="94" t="str">
        <f>VLOOKUP(B286,Classification!A:D,4,0)</f>
        <v>Neurotensin</v>
      </c>
      <c r="BB286" s="27" t="b">
        <f t="shared" ref="BB286" si="2684"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 t="shared" ref="BC286" si="2685">_xlfn.AGGREGATE(9,6,CH286:CS286)-_xlfn.AGGREGATE(9,6,BV286:CG286)+12</f>
        <v>254</v>
      </c>
      <c r="BD286" s="56" t="s">
        <v>23</v>
      </c>
      <c r="BE286" s="3" t="s">
        <v>1424</v>
      </c>
      <c r="BF286" s="118">
        <v>3</v>
      </c>
      <c r="BG286" s="49" t="s">
        <v>1418</v>
      </c>
      <c r="BH286" s="49" t="s">
        <v>1418</v>
      </c>
      <c r="BJ286" s="70" t="s">
        <v>1283</v>
      </c>
      <c r="BK286" s="57" t="s">
        <v>1283</v>
      </c>
      <c r="BL286" s="57" t="s">
        <v>1283</v>
      </c>
      <c r="BM286" s="57" t="s">
        <v>1283</v>
      </c>
      <c r="BN286" s="57" t="s">
        <v>1283</v>
      </c>
      <c r="BO286" s="57" t="s">
        <v>1283</v>
      </c>
      <c r="BP286" s="57" t="s">
        <v>1283</v>
      </c>
      <c r="BQ286" s="57" t="s">
        <v>1283</v>
      </c>
      <c r="BR286" s="57" t="s">
        <v>1283</v>
      </c>
      <c r="BS286" s="57" t="s">
        <v>1283</v>
      </c>
      <c r="BT286" s="57" t="s">
        <v>1283</v>
      </c>
      <c r="BU286" s="57" t="s">
        <v>1283</v>
      </c>
      <c r="BV286" s="70">
        <f t="shared" ref="BV286" si="2686">E286</f>
        <v>59</v>
      </c>
      <c r="BW286" s="71" t="str">
        <f t="shared" ref="BW286" si="2687">I286</f>
        <v>-</v>
      </c>
      <c r="BX286" s="72">
        <f t="shared" ref="BX286" si="2688">M286</f>
        <v>98</v>
      </c>
      <c r="BY286" s="71">
        <f t="shared" ref="BY286" si="2689">Q286</f>
        <v>133</v>
      </c>
      <c r="BZ286" s="72">
        <f t="shared" ref="BZ286" si="2690">U286</f>
        <v>137</v>
      </c>
      <c r="CA286" s="71">
        <f t="shared" ref="CA286" si="2691">Y286</f>
        <v>173</v>
      </c>
      <c r="CB286" s="72">
        <f t="shared" ref="CB286" si="2692">AC286</f>
        <v>181</v>
      </c>
      <c r="CC286" s="71">
        <f t="shared" ref="CC286" si="2693">AG286</f>
        <v>224</v>
      </c>
      <c r="CD286" s="72">
        <f t="shared" ref="CD286" si="2694">AK286</f>
        <v>229</v>
      </c>
      <c r="CE286" s="71">
        <f t="shared" ref="CE286" si="2695">AO286</f>
        <v>295</v>
      </c>
      <c r="CF286" s="72">
        <f t="shared" ref="CF286" si="2696">AS286</f>
        <v>335</v>
      </c>
      <c r="CG286" s="71" t="str">
        <f t="shared" ref="CG286" si="2697">AW286</f>
        <v>-</v>
      </c>
      <c r="CH286" s="70">
        <f t="shared" ref="CH286" si="2698">G286</f>
        <v>91</v>
      </c>
      <c r="CI286" s="71" t="str">
        <f t="shared" ref="CI286" si="2699">K286</f>
        <v>-</v>
      </c>
      <c r="CJ286" s="72">
        <f t="shared" ref="CJ286" si="2700">O286</f>
        <v>130</v>
      </c>
      <c r="CK286" s="72">
        <f t="shared" ref="CK286" si="2701">S286</f>
        <v>136</v>
      </c>
      <c r="CL286" s="72">
        <f t="shared" ref="CL286" si="2702">W286</f>
        <v>172</v>
      </c>
      <c r="CM286" s="72">
        <f t="shared" ref="CM286" si="2703">AA286</f>
        <v>180</v>
      </c>
      <c r="CN286" s="72">
        <f t="shared" ref="CN286" si="2704">AE286</f>
        <v>204</v>
      </c>
      <c r="CO286" s="72">
        <f t="shared" ref="CO286" si="2705">AI286</f>
        <v>226</v>
      </c>
      <c r="CP286" s="72">
        <f t="shared" ref="CP286" si="2706">AM286</f>
        <v>272</v>
      </c>
      <c r="CQ286" s="72">
        <f t="shared" ref="CQ286" si="2707">AQ286</f>
        <v>329</v>
      </c>
      <c r="CR286" s="72">
        <f t="shared" ref="CR286" si="2708">AU286</f>
        <v>366</v>
      </c>
      <c r="CS286" s="72" t="str">
        <f t="shared" ref="CS286" si="2709">AY286</f>
        <v>-</v>
      </c>
      <c r="CT286" s="23" t="e">
        <f t="shared" ref="CT286" si="2710">M286-K286</f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ref="A287" si="2711">CONCATENATE(B287,"_",C287)</f>
        <v>ntr1_human_6OSA</v>
      </c>
      <c r="B287" s="3" t="s">
        <v>127</v>
      </c>
      <c r="C287" s="3" t="s">
        <v>1580</v>
      </c>
      <c r="D287" s="3" t="str">
        <f>IFERROR(MID(VLOOKUP($B287,Seqs!$A:$B,2,0),E287,1),"")</f>
        <v>D</v>
      </c>
      <c r="E287" s="3">
        <v>59</v>
      </c>
      <c r="F287" s="3" t="str">
        <f>IFERROR(MID(VLOOKUP($B287,Seqs!$A:$B,2,0),G287,1),"")</f>
        <v>K</v>
      </c>
      <c r="G287" s="3">
        <v>91</v>
      </c>
      <c r="H287" s="3" t="str">
        <f>IFERROR(MID(VLOOKUP($B287,Seqs!$A:$B,2,0),I287,1),"")</f>
        <v/>
      </c>
      <c r="I287" s="23" t="s">
        <v>23</v>
      </c>
      <c r="J287" s="3" t="str">
        <f>IFERROR(MID(VLOOKUP($B287,Seqs!$A:$B,2,0),K287,1),"")</f>
        <v/>
      </c>
      <c r="K287" s="23" t="s">
        <v>23</v>
      </c>
      <c r="L287" s="3" t="str">
        <f>IFERROR(MID(VLOOKUP($B287,Seqs!$A:$B,2,0),M287,1),"")</f>
        <v>L</v>
      </c>
      <c r="M287" s="3">
        <v>97</v>
      </c>
      <c r="N287" s="3" t="str">
        <f>IFERROR(MID(VLOOKUP($B287,Seqs!$A:$B,2,0),O287,1),"")</f>
        <v>V</v>
      </c>
      <c r="O287" s="3">
        <v>130</v>
      </c>
      <c r="P287" s="3" t="str">
        <f>IFERROR(MID(VLOOKUP($B287,Seqs!$A:$B,2,0),Q287,1),"")</f>
        <v>P</v>
      </c>
      <c r="Q287" s="3">
        <v>133</v>
      </c>
      <c r="R287" s="3" t="str">
        <f>IFERROR(MID(VLOOKUP($B287,Seqs!$A:$B,2,0),S287,1),"")</f>
        <v>F</v>
      </c>
      <c r="S287" s="3">
        <v>136</v>
      </c>
      <c r="T287" s="3" t="str">
        <f>IFERROR(MID(VLOOKUP($B287,Seqs!$A:$B,2,0),U287,1),"")</f>
        <v>A</v>
      </c>
      <c r="U287" s="3">
        <v>139</v>
      </c>
      <c r="V287" s="3" t="str">
        <f>IFERROR(MID(VLOOKUP($B287,Seqs!$A:$B,2,0),W287,1),"")</f>
        <v>C</v>
      </c>
      <c r="W287" s="3">
        <v>171</v>
      </c>
      <c r="X287" s="3" t="str">
        <f>IFERROR(MID(VLOOKUP($B287,Seqs!$A:$B,2,0),Y287,1),"")</f>
        <v>P</v>
      </c>
      <c r="Y287" s="3">
        <v>173</v>
      </c>
      <c r="Z287" s="3" t="str">
        <f>IFERROR(MID(VLOOKUP($B287,Seqs!$A:$B,2,0),AA287,1),"")</f>
        <v>M</v>
      </c>
      <c r="AA287" s="3">
        <v>180</v>
      </c>
      <c r="AB287" s="3" t="str">
        <f>IFERROR(MID(VLOOKUP($B287,Seqs!$A:$B,2,0),AC287,1),"")</f>
        <v>S</v>
      </c>
      <c r="AC287" s="3">
        <v>181</v>
      </c>
      <c r="AD287" s="3" t="str">
        <f>IFERROR(MID(VLOOKUP($B287,Seqs!$A:$B,2,0),AE287,1),"")</f>
        <v>M</v>
      </c>
      <c r="AE287" s="3">
        <v>207</v>
      </c>
      <c r="AF287" s="3" t="str">
        <f>IFERROR(MID(VLOOKUP($B287,Seqs!$A:$B,2,0),AG287,1),"")</f>
        <v>C</v>
      </c>
      <c r="AG287" s="3">
        <v>224</v>
      </c>
      <c r="AH287" s="3" t="str">
        <f>IFERROR(MID(VLOOKUP($B287,Seqs!$A:$B,2,0),AI287,1),"")</f>
        <v>P</v>
      </c>
      <c r="AI287" s="3">
        <v>226</v>
      </c>
      <c r="AJ287" s="3" t="str">
        <f>IFERROR(MID(VLOOKUP($B287,Seqs!$A:$B,2,0),AK287,1),"")</f>
        <v>H</v>
      </c>
      <c r="AK287" s="3">
        <v>229</v>
      </c>
      <c r="AL287" s="3" t="str">
        <f>IFERROR(MID(VLOOKUP($B287,Seqs!$A:$B,2,0),AM287,1),"")</f>
        <v>Q</v>
      </c>
      <c r="AM287" s="3">
        <v>273</v>
      </c>
      <c r="AN287" s="3" t="str">
        <f>IFERROR(MID(VLOOKUP($B287,Seqs!$A:$B,2,0),AO287,1),"")</f>
        <v>G</v>
      </c>
      <c r="AO287" s="3">
        <v>280</v>
      </c>
      <c r="AP287" s="3" t="str">
        <f>IFERROR(MID(VLOOKUP($B287,Seqs!$A:$B,2,0),AQ287,1),"")</f>
        <v>Y</v>
      </c>
      <c r="AQ287" s="3">
        <v>328</v>
      </c>
      <c r="AR287" s="3" t="str">
        <f>IFERROR(MID(VLOOKUP($B287,Seqs!$A:$B,2,0),AS287,1),"")</f>
        <v>T</v>
      </c>
      <c r="AS287" s="3">
        <v>335</v>
      </c>
      <c r="AT287" s="3" t="str">
        <f>IFERROR(MID(VLOOKUP($B287,Seqs!$A:$B,2,0),AU287,1),"")</f>
        <v>V</v>
      </c>
      <c r="AU287" s="3">
        <v>367</v>
      </c>
      <c r="AV287" s="3" t="str">
        <f>IFERROR(MID(VLOOKUP($B287,Seqs!$A:$B,2,0),AW287,1),"")</f>
        <v>S</v>
      </c>
      <c r="AW287" s="3">
        <v>368</v>
      </c>
      <c r="AX287" s="3" t="str">
        <f>IFERROR(MID(VLOOKUP($B287,Seqs!$A:$B,2,0),AY287,1),"")</f>
        <v>C</v>
      </c>
      <c r="AY287" s="3">
        <v>383</v>
      </c>
      <c r="AZ287" s="77" t="str">
        <f>VLOOKUP(B287,Classification!A:D,2,0)</f>
        <v>A</v>
      </c>
      <c r="BA287" s="94" t="str">
        <f>VLOOKUP(B287,Classification!A:D,4,0)</f>
        <v>Neurotensin</v>
      </c>
      <c r="BB287" s="27" t="b">
        <f t="shared" ref="BB287" si="2712"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 t="shared" ref="BC287" si="2713">_xlfn.AGGREGATE(9,6,CH287:CS287)-_xlfn.AGGREGATE(9,6,BV287:CG287)+12</f>
        <v>286</v>
      </c>
      <c r="BD287" s="56" t="s">
        <v>1425</v>
      </c>
      <c r="BE287" s="3" t="s">
        <v>1424</v>
      </c>
      <c r="BF287" s="118">
        <v>3</v>
      </c>
      <c r="BG287" s="49" t="s">
        <v>1418</v>
      </c>
      <c r="BH287" s="49" t="s">
        <v>1418</v>
      </c>
      <c r="BJ287" s="70" t="s">
        <v>1283</v>
      </c>
      <c r="BK287" s="57" t="s">
        <v>1283</v>
      </c>
      <c r="BL287" s="57" t="s">
        <v>1283</v>
      </c>
      <c r="BM287" s="57" t="s">
        <v>1283</v>
      </c>
      <c r="BN287" s="57" t="s">
        <v>1283</v>
      </c>
      <c r="BO287" s="57" t="s">
        <v>1283</v>
      </c>
      <c r="BP287" s="57" t="s">
        <v>1283</v>
      </c>
      <c r="BQ287" s="57" t="s">
        <v>1283</v>
      </c>
      <c r="BR287" s="57" t="s">
        <v>1283</v>
      </c>
      <c r="BS287" s="57" t="s">
        <v>1283</v>
      </c>
      <c r="BT287" s="57" t="s">
        <v>1283</v>
      </c>
      <c r="BU287" s="57" t="s">
        <v>1283</v>
      </c>
      <c r="BV287" s="70">
        <f t="shared" ref="BV287" si="2714">E287</f>
        <v>59</v>
      </c>
      <c r="BW287" s="71" t="str">
        <f t="shared" ref="BW287" si="2715">I287</f>
        <v>-</v>
      </c>
      <c r="BX287" s="72">
        <f t="shared" ref="BX287" si="2716">M287</f>
        <v>97</v>
      </c>
      <c r="BY287" s="71">
        <f t="shared" ref="BY287" si="2717">Q287</f>
        <v>133</v>
      </c>
      <c r="BZ287" s="72">
        <f t="shared" ref="BZ287" si="2718">U287</f>
        <v>139</v>
      </c>
      <c r="CA287" s="71">
        <f t="shared" ref="CA287" si="2719">Y287</f>
        <v>173</v>
      </c>
      <c r="CB287" s="72">
        <f t="shared" ref="CB287" si="2720">AC287</f>
        <v>181</v>
      </c>
      <c r="CC287" s="71">
        <f t="shared" ref="CC287" si="2721">AG287</f>
        <v>224</v>
      </c>
      <c r="CD287" s="72">
        <f t="shared" ref="CD287" si="2722">AK287</f>
        <v>229</v>
      </c>
      <c r="CE287" s="71">
        <f t="shared" ref="CE287" si="2723">AO287</f>
        <v>280</v>
      </c>
      <c r="CF287" s="72">
        <f t="shared" ref="CF287" si="2724">AS287</f>
        <v>335</v>
      </c>
      <c r="CG287" s="71">
        <f t="shared" ref="CG287" si="2725">AW287</f>
        <v>368</v>
      </c>
      <c r="CH287" s="70">
        <f t="shared" ref="CH287" si="2726">G287</f>
        <v>91</v>
      </c>
      <c r="CI287" s="71" t="str">
        <f t="shared" ref="CI287" si="2727">K287</f>
        <v>-</v>
      </c>
      <c r="CJ287" s="72">
        <f t="shared" ref="CJ287" si="2728">O287</f>
        <v>130</v>
      </c>
      <c r="CK287" s="72">
        <f t="shared" ref="CK287" si="2729">S287</f>
        <v>136</v>
      </c>
      <c r="CL287" s="72">
        <f t="shared" ref="CL287" si="2730">W287</f>
        <v>171</v>
      </c>
      <c r="CM287" s="72">
        <f t="shared" ref="CM287" si="2731">AA287</f>
        <v>180</v>
      </c>
      <c r="CN287" s="72">
        <f t="shared" ref="CN287" si="2732">AE287</f>
        <v>207</v>
      </c>
      <c r="CO287" s="72">
        <f t="shared" ref="CO287" si="2733">AI287</f>
        <v>226</v>
      </c>
      <c r="CP287" s="72">
        <f t="shared" ref="CP287" si="2734">AM287</f>
        <v>273</v>
      </c>
      <c r="CQ287" s="72">
        <f t="shared" ref="CQ287" si="2735">AQ287</f>
        <v>328</v>
      </c>
      <c r="CR287" s="72">
        <f t="shared" ref="CR287" si="2736">AU287</f>
        <v>367</v>
      </c>
      <c r="CS287" s="72">
        <f t="shared" ref="CS287" si="2737">AY287</f>
        <v>383</v>
      </c>
      <c r="CT287" s="23" t="e">
        <f t="shared" ref="CT287" si="2738">M287-K287</f>
        <v>#VALUE!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ref="A288" si="2739">CONCATENATE(B288,"_",C288)</f>
        <v>ntr1_human_6PWC</v>
      </c>
      <c r="B288" s="3" t="s">
        <v>127</v>
      </c>
      <c r="C288" s="3" t="s">
        <v>1614</v>
      </c>
      <c r="D288" s="3" t="str">
        <f>IFERROR(MID(VLOOKUP($B288,Seqs!$A:$B,2,0),E288,1),"")</f>
        <v>D</v>
      </c>
      <c r="E288" s="3">
        <v>59</v>
      </c>
      <c r="F288" s="3" t="str">
        <f>IFERROR(MID(VLOOKUP($B288,Seqs!$A:$B,2,0),G288,1),"")</f>
        <v>K</v>
      </c>
      <c r="G288" s="3">
        <v>91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Q</v>
      </c>
      <c r="M288" s="3">
        <v>98</v>
      </c>
      <c r="N288" s="3" t="str">
        <f>IFERROR(MID(VLOOKUP($B288,Seqs!$A:$B,2,0),O288,1),"")</f>
        <v>W</v>
      </c>
      <c r="O288" s="3">
        <v>129</v>
      </c>
      <c r="P288" s="3" t="str">
        <f>IFERROR(MID(VLOOKUP($B288,Seqs!$A:$B,2,0),Q288,1),"")</f>
        <v>P</v>
      </c>
      <c r="Q288" s="3">
        <v>133</v>
      </c>
      <c r="R288" s="3" t="str">
        <f>IFERROR(MID(VLOOKUP($B288,Seqs!$A:$B,2,0),S288,1),"")</f>
        <v>F</v>
      </c>
      <c r="S288" s="3">
        <v>136</v>
      </c>
      <c r="T288" s="3" t="str">
        <f>IFERROR(MID(VLOOKUP($B288,Seqs!$A:$B,2,0),U288,1),"")</f>
        <v>G</v>
      </c>
      <c r="U288" s="3">
        <v>137</v>
      </c>
      <c r="V288" s="3" t="str">
        <f>IFERROR(MID(VLOOKUP($B288,Seqs!$A:$B,2,0),W288,1),"")</f>
        <v>H</v>
      </c>
      <c r="W288" s="3">
        <v>172</v>
      </c>
      <c r="X288" s="3" t="str">
        <f>IFERROR(MID(VLOOKUP($B288,Seqs!$A:$B,2,0),Y288,1),"")</f>
        <v>P</v>
      </c>
      <c r="Y288" s="3">
        <v>173</v>
      </c>
      <c r="Z288" s="3" t="str">
        <f>IFERROR(MID(VLOOKUP($B288,Seqs!$A:$B,2,0),AA288,1),"")</f>
        <v>M</v>
      </c>
      <c r="AA288" s="3">
        <v>180</v>
      </c>
      <c r="AB288" s="3" t="str">
        <f>IFERROR(MID(VLOOKUP($B288,Seqs!$A:$B,2,0),AC288,1),"")</f>
        <v>S</v>
      </c>
      <c r="AC288" s="3">
        <v>181</v>
      </c>
      <c r="AD288" s="3" t="str">
        <f>IFERROR(MID(VLOOKUP($B288,Seqs!$A:$B,2,0),AE288,1),"")</f>
        <v>T</v>
      </c>
      <c r="AE288" s="3">
        <v>206</v>
      </c>
      <c r="AF288" s="3" t="str">
        <f>IFERROR(MID(VLOOKUP($B288,Seqs!$A:$B,2,0),AG288,1),"")</f>
        <v>C</v>
      </c>
      <c r="AG288" s="3">
        <v>224</v>
      </c>
      <c r="AH288" s="3" t="str">
        <f>IFERROR(MID(VLOOKUP($B288,Seqs!$A:$B,2,0),AI288,1),"")</f>
        <v>P</v>
      </c>
      <c r="AI288" s="3">
        <v>226</v>
      </c>
      <c r="AJ288" s="3" t="str">
        <f>IFERROR(MID(VLOOKUP($B288,Seqs!$A:$B,2,0),AK288,1),"")</f>
        <v>H</v>
      </c>
      <c r="AK288" s="3">
        <v>229</v>
      </c>
      <c r="AL288" s="3" t="str">
        <f>IFERROR(MID(VLOOKUP($B288,Seqs!$A:$B,2,0),AM288,1),"")</f>
        <v>Q</v>
      </c>
      <c r="AM288" s="3">
        <v>269</v>
      </c>
      <c r="AN288" s="3" t="str">
        <f>IFERROR(MID(VLOOKUP($B288,Seqs!$A:$B,2,0),AO288,1),"")</f>
        <v>G</v>
      </c>
      <c r="AO288" s="3">
        <v>293</v>
      </c>
      <c r="AP288" s="3" t="str">
        <f>IFERROR(MID(VLOOKUP($B288,Seqs!$A:$B,2,0),AQ288,1),"")</f>
        <v>I</v>
      </c>
      <c r="AQ288" s="3">
        <v>329</v>
      </c>
      <c r="AR288" s="3" t="str">
        <f>IFERROR(MID(VLOOKUP($B288,Seqs!$A:$B,2,0),AS288,1),"")</f>
        <v>T</v>
      </c>
      <c r="AS288" s="3">
        <v>335</v>
      </c>
      <c r="AT288" s="3" t="str">
        <f>IFERROR(MID(VLOOKUP($B288,Seqs!$A:$B,2,0),AU288,1),"")</f>
        <v>V</v>
      </c>
      <c r="AU288" s="3">
        <v>367</v>
      </c>
      <c r="AV288" s="3" t="str">
        <f>IFERROR(MID(VLOOKUP($B288,Seqs!$A:$B,2,0),AW288,1),"")</f>
        <v>S</v>
      </c>
      <c r="AW288" s="3">
        <v>368</v>
      </c>
      <c r="AX288" s="3" t="str">
        <f>IFERROR(MID(VLOOKUP($B288,Seqs!$A:$B,2,0),AY288,1),"")</f>
        <v>C</v>
      </c>
      <c r="AY288" s="3">
        <v>383</v>
      </c>
      <c r="AZ288" s="77" t="str">
        <f>VLOOKUP(B288,Classification!A:D,2,0)</f>
        <v>A</v>
      </c>
      <c r="BA288" s="94" t="str">
        <f>VLOOKUP(B288,Classification!A:D,4,0)</f>
        <v>Neurotensin</v>
      </c>
      <c r="BB288" s="27" t="b">
        <f t="shared" ref="BB288" si="2740"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 t="shared" ref="BC288" si="2741">_xlfn.AGGREGATE(9,6,CH288:CS288)-_xlfn.AGGREGATE(9,6,BV288:CG288)+12</f>
        <v>270</v>
      </c>
      <c r="BD288" s="56" t="s">
        <v>1371</v>
      </c>
      <c r="BE288" s="3" t="s">
        <v>1287</v>
      </c>
      <c r="BF288" s="118">
        <v>4.9000000000000004</v>
      </c>
      <c r="BG288" s="49" t="s">
        <v>1418</v>
      </c>
      <c r="BH288" s="49" t="s">
        <v>1418</v>
      </c>
      <c r="BJ288" s="70" t="s">
        <v>1283</v>
      </c>
      <c r="BK288" s="57" t="s">
        <v>1283</v>
      </c>
      <c r="BL288" s="57" t="s">
        <v>1283</v>
      </c>
      <c r="BM288" s="57" t="s">
        <v>1283</v>
      </c>
      <c r="BN288" s="57" t="s">
        <v>1283</v>
      </c>
      <c r="BO288" s="57" t="s">
        <v>1283</v>
      </c>
      <c r="BP288" s="57" t="s">
        <v>1283</v>
      </c>
      <c r="BQ288" s="57" t="s">
        <v>1283</v>
      </c>
      <c r="BR288" s="57" t="s">
        <v>1283</v>
      </c>
      <c r="BS288" s="57" t="s">
        <v>1283</v>
      </c>
      <c r="BT288" s="57" t="s">
        <v>1283</v>
      </c>
      <c r="BU288" s="57" t="s">
        <v>1283</v>
      </c>
      <c r="BV288" s="70">
        <f t="shared" ref="BV288" si="2742">E288</f>
        <v>59</v>
      </c>
      <c r="BW288" s="71" t="str">
        <f t="shared" ref="BW288" si="2743">I288</f>
        <v>-</v>
      </c>
      <c r="BX288" s="72">
        <f t="shared" ref="BX288" si="2744">M288</f>
        <v>98</v>
      </c>
      <c r="BY288" s="71">
        <f t="shared" ref="BY288" si="2745">Q288</f>
        <v>133</v>
      </c>
      <c r="BZ288" s="72">
        <f t="shared" ref="BZ288" si="2746">U288</f>
        <v>137</v>
      </c>
      <c r="CA288" s="71">
        <f t="shared" ref="CA288" si="2747">Y288</f>
        <v>173</v>
      </c>
      <c r="CB288" s="72">
        <f t="shared" ref="CB288" si="2748">AC288</f>
        <v>181</v>
      </c>
      <c r="CC288" s="71">
        <f t="shared" ref="CC288" si="2749">AG288</f>
        <v>224</v>
      </c>
      <c r="CD288" s="72">
        <f t="shared" ref="CD288" si="2750">AK288</f>
        <v>229</v>
      </c>
      <c r="CE288" s="71">
        <f t="shared" ref="CE288" si="2751">AO288</f>
        <v>293</v>
      </c>
      <c r="CF288" s="72">
        <f t="shared" ref="CF288" si="2752">AS288</f>
        <v>335</v>
      </c>
      <c r="CG288" s="71">
        <f t="shared" ref="CG288" si="2753">AW288</f>
        <v>368</v>
      </c>
      <c r="CH288" s="70">
        <f t="shared" ref="CH288" si="2754">G288</f>
        <v>91</v>
      </c>
      <c r="CI288" s="71" t="str">
        <f t="shared" ref="CI288" si="2755">K288</f>
        <v>-</v>
      </c>
      <c r="CJ288" s="72">
        <f t="shared" ref="CJ288" si="2756">O288</f>
        <v>129</v>
      </c>
      <c r="CK288" s="72">
        <f t="shared" ref="CK288" si="2757">S288</f>
        <v>136</v>
      </c>
      <c r="CL288" s="72">
        <f t="shared" ref="CL288" si="2758">W288</f>
        <v>172</v>
      </c>
      <c r="CM288" s="72">
        <f t="shared" ref="CM288" si="2759">AA288</f>
        <v>180</v>
      </c>
      <c r="CN288" s="72">
        <f t="shared" ref="CN288" si="2760">AE288</f>
        <v>206</v>
      </c>
      <c r="CO288" s="72">
        <f t="shared" ref="CO288" si="2761">AI288</f>
        <v>226</v>
      </c>
      <c r="CP288" s="72">
        <f t="shared" ref="CP288" si="2762">AM288</f>
        <v>269</v>
      </c>
      <c r="CQ288" s="72">
        <f t="shared" ref="CQ288" si="2763">AQ288</f>
        <v>329</v>
      </c>
      <c r="CR288" s="72">
        <f t="shared" ref="CR288" si="2764">AU288</f>
        <v>367</v>
      </c>
      <c r="CS288" s="72">
        <f t="shared" ref="CS288" si="2765">AY288</f>
        <v>383</v>
      </c>
      <c r="CT288" s="23" t="e">
        <f t="shared" ref="CT288" si="2766">M288-K288</f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ref="A289" si="2767">CONCATENATE(B289,"_",C289)</f>
        <v>ntr1_human_6UP7</v>
      </c>
      <c r="B289" s="3" t="s">
        <v>127</v>
      </c>
      <c r="C289" s="3" t="s">
        <v>1660</v>
      </c>
      <c r="D289" s="3" t="str">
        <f>IFERROR(MID(VLOOKUP($B289,Seqs!$A:$B,2,0),E289,1),"")</f>
        <v>D</v>
      </c>
      <c r="E289" s="3">
        <v>59</v>
      </c>
      <c r="F289" s="3" t="str">
        <f>IFERROR(MID(VLOOKUP($B289,Seqs!$A:$B,2,0),G289,1),"")</f>
        <v>S</v>
      </c>
      <c r="G289" s="3">
        <v>93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V</v>
      </c>
      <c r="M289" s="3">
        <v>101</v>
      </c>
      <c r="N289" s="3" t="str">
        <f>IFERROR(MID(VLOOKUP($B289,Seqs!$A:$B,2,0),O289,1),"")</f>
        <v>V</v>
      </c>
      <c r="O289" s="3">
        <v>130</v>
      </c>
      <c r="P289" s="3" t="str">
        <f>IFERROR(MID(VLOOKUP($B289,Seqs!$A:$B,2,0),Q289,1),"")</f>
        <v>P</v>
      </c>
      <c r="Q289" s="3">
        <v>133</v>
      </c>
      <c r="R289" s="3" t="str">
        <f>IFERROR(MID(VLOOKUP($B289,Seqs!$A:$B,2,0),S289,1),"")</f>
        <v>F</v>
      </c>
      <c r="S289" s="3">
        <v>136</v>
      </c>
      <c r="T289" s="3" t="str">
        <f>IFERROR(MID(VLOOKUP($B289,Seqs!$A:$B,2,0),U289,1),"")</f>
        <v>G</v>
      </c>
      <c r="U289" s="3">
        <v>137</v>
      </c>
      <c r="V289" s="3" t="str">
        <f>IFERROR(MID(VLOOKUP($B289,Seqs!$A:$B,2,0),W289,1),"")</f>
        <v>H</v>
      </c>
      <c r="W289" s="3">
        <v>172</v>
      </c>
      <c r="X289" s="3" t="str">
        <f>IFERROR(MID(VLOOKUP($B289,Seqs!$A:$B,2,0),Y289,1),"")</f>
        <v>P</v>
      </c>
      <c r="Y289" s="3">
        <v>173</v>
      </c>
      <c r="Z289" s="3" t="str">
        <f>IFERROR(MID(VLOOKUP($B289,Seqs!$A:$B,2,0),AA289,1),"")</f>
        <v>M</v>
      </c>
      <c r="AA289" s="3">
        <v>180</v>
      </c>
      <c r="AB289" s="3" t="str">
        <f>IFERROR(MID(VLOOKUP($B289,Seqs!$A:$B,2,0),AC289,1),"")</f>
        <v>S</v>
      </c>
      <c r="AC289" s="3">
        <v>181</v>
      </c>
      <c r="AD289" s="3" t="str">
        <f>IFERROR(MID(VLOOKUP($B289,Seqs!$A:$B,2,0),AE289,1),"")</f>
        <v>M</v>
      </c>
      <c r="AE289" s="3">
        <v>207</v>
      </c>
      <c r="AF289" s="3" t="str">
        <f>IFERROR(MID(VLOOKUP($B289,Seqs!$A:$B,2,0),AG289,1),"")</f>
        <v>C</v>
      </c>
      <c r="AG289" s="3">
        <v>224</v>
      </c>
      <c r="AH289" s="3" t="str">
        <f>IFERROR(MID(VLOOKUP($B289,Seqs!$A:$B,2,0),AI289,1),"")</f>
        <v>P</v>
      </c>
      <c r="AI289" s="3">
        <v>226</v>
      </c>
      <c r="AJ289" s="3" t="str">
        <f>IFERROR(MID(VLOOKUP($B289,Seqs!$A:$B,2,0),AK289,1),"")</f>
        <v>H</v>
      </c>
      <c r="AK289" s="3">
        <v>229</v>
      </c>
      <c r="AL289" s="3" t="str">
        <f>IFERROR(MID(VLOOKUP($B289,Seqs!$A:$B,2,0),AM289,1),"")</f>
        <v>A</v>
      </c>
      <c r="AM289" s="3">
        <v>270</v>
      </c>
      <c r="AN289" s="3" t="str">
        <f>IFERROR(MID(VLOOKUP($B289,Seqs!$A:$B,2,0),AO289,1),"")</f>
        <v>G</v>
      </c>
      <c r="AO289" s="3">
        <v>293</v>
      </c>
      <c r="AP289" s="3" t="str">
        <f>IFERROR(MID(VLOOKUP($B289,Seqs!$A:$B,2,0),AQ289,1),"")</f>
        <v>Y</v>
      </c>
      <c r="AQ289" s="3">
        <v>328</v>
      </c>
      <c r="AR289" s="3" t="str">
        <f>IFERROR(MID(VLOOKUP($B289,Seqs!$A:$B,2,0),AS289,1),"")</f>
        <v>P</v>
      </c>
      <c r="AS289" s="3">
        <v>336</v>
      </c>
      <c r="AT289" s="3" t="str">
        <f>IFERROR(MID(VLOOKUP($B289,Seqs!$A:$B,2,0),AU289,1),"")</f>
        <v>N</v>
      </c>
      <c r="AU289" s="3">
        <v>365</v>
      </c>
      <c r="AV289" s="3" t="str">
        <f>IFERROR(MID(VLOOKUP($B289,Seqs!$A:$B,2,0),AW289,1),"")</f>
        <v>S</v>
      </c>
      <c r="AW289" s="3">
        <v>368</v>
      </c>
      <c r="AX289" s="3" t="str">
        <f>IFERROR(MID(VLOOKUP($B289,Seqs!$A:$B,2,0),AY289,1),"")</f>
        <v>L</v>
      </c>
      <c r="AY289" s="3">
        <v>382</v>
      </c>
      <c r="AZ289" s="77" t="str">
        <f>VLOOKUP(B289,Classification!A:D,2,0)</f>
        <v>A</v>
      </c>
      <c r="BA289" s="94" t="str">
        <f>VLOOKUP(B289,Classification!A:D,4,0)</f>
        <v>Neurotensin</v>
      </c>
      <c r="BB289" s="27" t="b">
        <f t="shared" ref="BB289" si="2768"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23">
        <f t="shared" ref="BC289" si="2769">_xlfn.AGGREGATE(9,6,CH289:CS289)-_xlfn.AGGREGATE(9,6,BV289:CG289)+12</f>
        <v>267</v>
      </c>
      <c r="BD289" s="56" t="s">
        <v>23</v>
      </c>
      <c r="BE289" s="3" t="s">
        <v>1287</v>
      </c>
      <c r="BF289" s="118">
        <v>4.2</v>
      </c>
      <c r="BG289" s="49" t="s">
        <v>1418</v>
      </c>
      <c r="BH289" s="49" t="s">
        <v>1418</v>
      </c>
      <c r="BJ289" s="70" t="s">
        <v>1283</v>
      </c>
      <c r="BK289" s="57" t="s">
        <v>1283</v>
      </c>
      <c r="BL289" s="57" t="s">
        <v>1283</v>
      </c>
      <c r="BM289" s="57" t="s">
        <v>1283</v>
      </c>
      <c r="BN289" s="57" t="s">
        <v>1283</v>
      </c>
      <c r="BO289" s="57" t="s">
        <v>1283</v>
      </c>
      <c r="BP289" s="57" t="s">
        <v>1283</v>
      </c>
      <c r="BQ289" s="57" t="s">
        <v>1283</v>
      </c>
      <c r="BR289" s="57" t="s">
        <v>1283</v>
      </c>
      <c r="BS289" s="57" t="s">
        <v>1283</v>
      </c>
      <c r="BT289" s="57" t="s">
        <v>1283</v>
      </c>
      <c r="BU289" s="57" t="s">
        <v>1283</v>
      </c>
      <c r="BV289" s="70">
        <f t="shared" ref="BV289" si="2770">E289</f>
        <v>59</v>
      </c>
      <c r="BW289" s="71" t="str">
        <f t="shared" ref="BW289" si="2771">I289</f>
        <v>-</v>
      </c>
      <c r="BX289" s="72">
        <f t="shared" ref="BX289" si="2772">M289</f>
        <v>101</v>
      </c>
      <c r="BY289" s="71">
        <f t="shared" ref="BY289" si="2773">Q289</f>
        <v>133</v>
      </c>
      <c r="BZ289" s="72">
        <f t="shared" ref="BZ289" si="2774">U289</f>
        <v>137</v>
      </c>
      <c r="CA289" s="71">
        <f t="shared" ref="CA289" si="2775">Y289</f>
        <v>173</v>
      </c>
      <c r="CB289" s="72">
        <f t="shared" ref="CB289" si="2776">AC289</f>
        <v>181</v>
      </c>
      <c r="CC289" s="71">
        <f t="shared" ref="CC289" si="2777">AG289</f>
        <v>224</v>
      </c>
      <c r="CD289" s="72">
        <f t="shared" ref="CD289" si="2778">AK289</f>
        <v>229</v>
      </c>
      <c r="CE289" s="71">
        <f t="shared" ref="CE289" si="2779">AO289</f>
        <v>293</v>
      </c>
      <c r="CF289" s="72">
        <f t="shared" ref="CF289" si="2780">AS289</f>
        <v>336</v>
      </c>
      <c r="CG289" s="71">
        <f t="shared" ref="CG289" si="2781">AW289</f>
        <v>368</v>
      </c>
      <c r="CH289" s="70">
        <f t="shared" ref="CH289" si="2782">G289</f>
        <v>93</v>
      </c>
      <c r="CI289" s="71" t="str">
        <f t="shared" ref="CI289" si="2783">K289</f>
        <v>-</v>
      </c>
      <c r="CJ289" s="72">
        <f t="shared" ref="CJ289" si="2784">O289</f>
        <v>130</v>
      </c>
      <c r="CK289" s="72">
        <f t="shared" ref="CK289" si="2785">S289</f>
        <v>136</v>
      </c>
      <c r="CL289" s="72">
        <f t="shared" ref="CL289" si="2786">W289</f>
        <v>172</v>
      </c>
      <c r="CM289" s="72">
        <f t="shared" ref="CM289" si="2787">AA289</f>
        <v>180</v>
      </c>
      <c r="CN289" s="72">
        <f t="shared" ref="CN289" si="2788">AE289</f>
        <v>207</v>
      </c>
      <c r="CO289" s="72">
        <f t="shared" ref="CO289" si="2789">AI289</f>
        <v>226</v>
      </c>
      <c r="CP289" s="72">
        <f t="shared" ref="CP289" si="2790">AM289</f>
        <v>270</v>
      </c>
      <c r="CQ289" s="72">
        <f t="shared" ref="CQ289" si="2791">AQ289</f>
        <v>328</v>
      </c>
      <c r="CR289" s="72">
        <f t="shared" ref="CR289" si="2792">AU289</f>
        <v>365</v>
      </c>
      <c r="CS289" s="72">
        <f t="shared" ref="CS289" si="2793">AY289</f>
        <v>382</v>
      </c>
      <c r="CT289" s="23" t="e">
        <f t="shared" ref="CT289" si="2794">M289-K289</f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si="2207"/>
        <v>ntr1_rat__wt</v>
      </c>
      <c r="B290" s="3" t="s">
        <v>909</v>
      </c>
      <c r="C290" s="3" t="s">
        <v>100</v>
      </c>
      <c r="D290" s="3" t="str">
        <f>IFERROR(MID(VLOOKUP($B290,Seqs!$A:$B,2,0),E290,1),"")</f>
        <v>I</v>
      </c>
      <c r="E290" s="3">
        <v>61</v>
      </c>
      <c r="F290" s="3" t="str">
        <f>IFERROR(MID(VLOOKUP($B290,Seqs!$A:$B,2,0),G290,1),"")</f>
        <v>K</v>
      </c>
      <c r="G290" s="3">
        <v>92</v>
      </c>
      <c r="H290" s="3" t="str">
        <f>IFERROR(MID(VLOOKUP($B290,Seqs!$A:$B,2,0),I290,1),"")</f>
        <v>K</v>
      </c>
      <c r="I290" s="23">
        <v>93</v>
      </c>
      <c r="J290" s="3" t="str">
        <f>IFERROR(MID(VLOOKUP($B290,Seqs!$A:$B,2,0),K290,1),"")</f>
        <v>Q</v>
      </c>
      <c r="K290" s="23">
        <v>96</v>
      </c>
      <c r="L290" s="3" t="str">
        <f>IFERROR(MID(VLOOKUP($B290,Seqs!$A:$B,2,0),M290,1),"")</f>
        <v>S</v>
      </c>
      <c r="M290" s="3">
        <v>97</v>
      </c>
      <c r="N290" s="3" t="str">
        <f>IFERROR(MID(VLOOKUP($B290,Seqs!$A:$B,2,0),O290,1),"")</f>
        <v>V</v>
      </c>
      <c r="O290" s="3">
        <v>131</v>
      </c>
      <c r="P290" s="3" t="str">
        <f>IFERROR(MID(VLOOKUP($B290,Seqs!$A:$B,2,0),Q290,1),"")</f>
        <v>P</v>
      </c>
      <c r="Q290" s="3">
        <v>134</v>
      </c>
      <c r="R290" s="3" t="str">
        <f>IFERROR(MID(VLOOKUP($B290,Seqs!$A:$B,2,0),S290,1),"")</f>
        <v>F</v>
      </c>
      <c r="S290" s="3">
        <v>137</v>
      </c>
      <c r="T290" s="3" t="str">
        <f>IFERROR(MID(VLOOKUP($B290,Seqs!$A:$B,2,0),U290,1),"")</f>
        <v>G</v>
      </c>
      <c r="U290" s="3">
        <v>138</v>
      </c>
      <c r="V290" s="3" t="str">
        <f>IFERROR(MID(VLOOKUP($B290,Seqs!$A:$B,2,0),W290,1),"")</f>
        <v>H</v>
      </c>
      <c r="W290" s="3">
        <v>173</v>
      </c>
      <c r="X290" s="3" t="str">
        <f>IFERROR(MID(VLOOKUP($B290,Seqs!$A:$B,2,0),Y290,1),"")</f>
        <v>P</v>
      </c>
      <c r="Y290" s="3">
        <v>174</v>
      </c>
      <c r="Z290" s="3" t="str">
        <f>IFERROR(MID(VLOOKUP($B290,Seqs!$A:$B,2,0),AA290,1),"")</f>
        <v>M</v>
      </c>
      <c r="AA290" s="3">
        <v>181</v>
      </c>
      <c r="AB290" s="3" t="str">
        <f>IFERROR(MID(VLOOKUP($B290,Seqs!$A:$B,2,0),AC290,1),"")</f>
        <v>S</v>
      </c>
      <c r="AC290" s="3">
        <v>182</v>
      </c>
      <c r="AD290" s="3" t="str">
        <f>IFERROR(MID(VLOOKUP($B290,Seqs!$A:$B,2,0),AE290,1),"")</f>
        <v>M</v>
      </c>
      <c r="AE290" s="3">
        <v>208</v>
      </c>
      <c r="AF290" s="3" t="str">
        <f>IFERROR(MID(VLOOKUP($B290,Seqs!$A:$B,2,0),AG290,1),"")</f>
        <v>C</v>
      </c>
      <c r="AG290" s="3">
        <v>225</v>
      </c>
      <c r="AH290" s="3" t="str">
        <f>IFERROR(MID(VLOOKUP($B290,Seqs!$A:$B,2,0),AI290,1),"")</f>
        <v>P</v>
      </c>
      <c r="AI290" s="3">
        <v>227</v>
      </c>
      <c r="AJ290" s="3" t="str">
        <f>IFERROR(MID(VLOOKUP($B290,Seqs!$A:$B,2,0),AK290,1),"")</f>
        <v>T</v>
      </c>
      <c r="AK290" s="3">
        <v>231</v>
      </c>
      <c r="AL290" s="3" t="str">
        <f>IFERROR(MID(VLOOKUP($B290,Seqs!$A:$B,2,0),AM290,1),"")</f>
        <v>G</v>
      </c>
      <c r="AM290" s="3">
        <v>275</v>
      </c>
      <c r="AN290" s="3" t="str">
        <f>IFERROR(MID(VLOOKUP($B290,Seqs!$A:$B,2,0),AO290,1),"")</f>
        <v>P</v>
      </c>
      <c r="AO290" s="3">
        <v>297</v>
      </c>
      <c r="AP290" s="3" t="str">
        <f>IFERROR(MID(VLOOKUP($B290,Seqs!$A:$B,2,0),AQ290,1),"")</f>
        <v>I</v>
      </c>
      <c r="AQ290" s="3">
        <v>334</v>
      </c>
      <c r="AR290" s="3" t="str">
        <f>IFERROR(MID(VLOOKUP($B290,Seqs!$A:$B,2,0),AS290,1),"")</f>
        <v>T</v>
      </c>
      <c r="AS290" s="3">
        <v>340</v>
      </c>
      <c r="AT290" s="3" t="str">
        <f>IFERROR(MID(VLOOKUP($B290,Seqs!$A:$B,2,0),AU290,1),"")</f>
        <v>V</v>
      </c>
      <c r="AU290" s="3">
        <v>372</v>
      </c>
      <c r="AV290" s="3" t="str">
        <f>IFERROR(MID(VLOOKUP($B290,Seqs!$A:$B,2,0),AW290,1),"")</f>
        <v>S</v>
      </c>
      <c r="AW290" s="3">
        <v>373</v>
      </c>
      <c r="AX290" s="3" t="str">
        <f>IFERROR(MID(VLOOKUP($B290,Seqs!$A:$B,2,0),AY290,1),"")</f>
        <v>C</v>
      </c>
      <c r="AY290" s="3">
        <v>388</v>
      </c>
      <c r="AZ290" s="77" t="str">
        <f>VLOOKUP(B290,Classification!A:D,2,0)</f>
        <v>A</v>
      </c>
      <c r="BA290" s="94" t="str">
        <f>VLOOKUP(B290,Classification!A:D,4,0)</f>
        <v>Neurotensin</v>
      </c>
      <c r="BB290" s="27" t="b">
        <f t="shared" si="2208"/>
        <v>1</v>
      </c>
      <c r="BC290" s="23">
        <f t="shared" si="1957"/>
        <v>281</v>
      </c>
      <c r="BD290" s="56" t="s">
        <v>23</v>
      </c>
      <c r="BE290" s="3" t="s">
        <v>23</v>
      </c>
      <c r="BF290" s="118" t="s">
        <v>23</v>
      </c>
      <c r="BG290" s="49" t="s">
        <v>1368</v>
      </c>
      <c r="BH290" s="49" t="s">
        <v>1373</v>
      </c>
      <c r="BI290" s="3" t="s">
        <v>1165</v>
      </c>
      <c r="BJ290" s="70" t="s">
        <v>1283</v>
      </c>
      <c r="BK290" s="57" t="s">
        <v>1283</v>
      </c>
      <c r="BL290" s="57" t="s">
        <v>1283</v>
      </c>
      <c r="BM290" s="57" t="s">
        <v>1283</v>
      </c>
      <c r="BN290" s="57" t="s">
        <v>1283</v>
      </c>
      <c r="BO290" s="57" t="s">
        <v>1283</v>
      </c>
      <c r="BP290" s="57" t="s">
        <v>1283</v>
      </c>
      <c r="BQ290" s="57" t="s">
        <v>1283</v>
      </c>
      <c r="BR290" s="57" t="s">
        <v>1283</v>
      </c>
      <c r="BS290" s="57" t="s">
        <v>1283</v>
      </c>
      <c r="BT290" s="57" t="s">
        <v>1283</v>
      </c>
      <c r="BU290" s="57" t="s">
        <v>1283</v>
      </c>
      <c r="BV290" s="70">
        <f t="shared" si="1958"/>
        <v>61</v>
      </c>
      <c r="BW290" s="71">
        <f t="shared" si="1959"/>
        <v>93</v>
      </c>
      <c r="BX290" s="72">
        <f t="shared" si="1960"/>
        <v>97</v>
      </c>
      <c r="BY290" s="71">
        <f t="shared" si="1961"/>
        <v>134</v>
      </c>
      <c r="BZ290" s="72">
        <f t="shared" si="1962"/>
        <v>138</v>
      </c>
      <c r="CA290" s="71">
        <f t="shared" si="1963"/>
        <v>174</v>
      </c>
      <c r="CB290" s="72">
        <f t="shared" si="1964"/>
        <v>182</v>
      </c>
      <c r="CC290" s="71">
        <f t="shared" si="1965"/>
        <v>225</v>
      </c>
      <c r="CD290" s="72">
        <f t="shared" si="1966"/>
        <v>231</v>
      </c>
      <c r="CE290" s="71">
        <f t="shared" si="1967"/>
        <v>297</v>
      </c>
      <c r="CF290" s="72">
        <f t="shared" si="1968"/>
        <v>340</v>
      </c>
      <c r="CG290" s="71">
        <f t="shared" si="1969"/>
        <v>373</v>
      </c>
      <c r="CH290" s="70">
        <f t="shared" si="1970"/>
        <v>92</v>
      </c>
      <c r="CI290" s="71">
        <f t="shared" si="1971"/>
        <v>96</v>
      </c>
      <c r="CJ290" s="72">
        <f t="shared" si="1972"/>
        <v>131</v>
      </c>
      <c r="CK290" s="72">
        <f t="shared" si="1973"/>
        <v>137</v>
      </c>
      <c r="CL290" s="72">
        <f t="shared" si="1974"/>
        <v>173</v>
      </c>
      <c r="CM290" s="72">
        <f t="shared" si="1975"/>
        <v>181</v>
      </c>
      <c r="CN290" s="72">
        <f t="shared" si="1976"/>
        <v>208</v>
      </c>
      <c r="CO290" s="72">
        <f t="shared" si="1977"/>
        <v>227</v>
      </c>
      <c r="CP290" s="72">
        <f t="shared" si="1978"/>
        <v>275</v>
      </c>
      <c r="CQ290" s="72">
        <f t="shared" si="1979"/>
        <v>334</v>
      </c>
      <c r="CR290" s="72">
        <f t="shared" si="1980"/>
        <v>372</v>
      </c>
      <c r="CS290" s="72">
        <f t="shared" si="1981"/>
        <v>388</v>
      </c>
      <c r="CT290" s="23">
        <f t="shared" si="1982"/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si="2207"/>
        <v>ntr1_rat_4BUO</v>
      </c>
      <c r="B291" s="3" t="s">
        <v>909</v>
      </c>
      <c r="C291" s="3" t="s">
        <v>1328</v>
      </c>
      <c r="D291" s="3" t="str">
        <f>IFERROR(MID(VLOOKUP($B291,Seqs!$A:$B,2,0),E291,1),"")</f>
        <v>I</v>
      </c>
      <c r="E291" s="3">
        <v>61</v>
      </c>
      <c r="F291" s="3" t="str">
        <f>IFERROR(MID(VLOOKUP($B291,Seqs!$A:$B,2,0),G291,1),"")</f>
        <v>R</v>
      </c>
      <c r="G291" s="3">
        <v>91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S</v>
      </c>
      <c r="M291" s="3">
        <v>97</v>
      </c>
      <c r="N291" s="3" t="str">
        <f>IFERROR(MID(VLOOKUP($B291,Seqs!$A:$B,2,0),O291,1),"")</f>
        <v>V</v>
      </c>
      <c r="O291" s="3">
        <v>131</v>
      </c>
      <c r="P291" s="3" t="str">
        <f>IFERROR(MID(VLOOKUP($B291,Seqs!$A:$B,2,0),Q291,1),"")</f>
        <v>P</v>
      </c>
      <c r="Q291" s="3">
        <v>134</v>
      </c>
      <c r="R291" s="3" t="str">
        <f>IFERROR(MID(VLOOKUP($B291,Seqs!$A:$B,2,0),S291,1),"")</f>
        <v>F</v>
      </c>
      <c r="S291" s="3">
        <v>137</v>
      </c>
      <c r="T291" s="3" t="str">
        <f>IFERROR(MID(VLOOKUP($B291,Seqs!$A:$B,2,0),U291,1),"")</f>
        <v>G</v>
      </c>
      <c r="U291" s="3">
        <v>138</v>
      </c>
      <c r="V291" s="3" t="str">
        <f>IFERROR(MID(VLOOKUP($B291,Seqs!$A:$B,2,0),W291,1),"")</f>
        <v>H</v>
      </c>
      <c r="W291" s="3">
        <v>173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S</v>
      </c>
      <c r="AC291" s="3">
        <v>182</v>
      </c>
      <c r="AD291" s="3" t="str">
        <f>IFERROR(MID(VLOOKUP($B291,Seqs!$A:$B,2,0),AE291,1),"")</f>
        <v>M</v>
      </c>
      <c r="AE291" s="3">
        <v>208</v>
      </c>
      <c r="AF291" s="3" t="str">
        <f>IFERROR(MID(VLOOKUP($B291,Seqs!$A:$B,2,0),AG291,1),"")</f>
        <v>C</v>
      </c>
      <c r="AG291" s="3">
        <v>225</v>
      </c>
      <c r="AH291" s="3" t="str">
        <f>IFERROR(MID(VLOOKUP($B291,Seqs!$A:$B,2,0),AI291,1),"")</f>
        <v>P</v>
      </c>
      <c r="AI291" s="3">
        <v>227</v>
      </c>
      <c r="AJ291" s="3" t="str">
        <f>IFERROR(MID(VLOOKUP($B291,Seqs!$A:$B,2,0),AK291,1),"")</f>
        <v>T</v>
      </c>
      <c r="AK291" s="3">
        <v>231</v>
      </c>
      <c r="AL291" s="3" t="str">
        <f>IFERROR(MID(VLOOKUP($B291,Seqs!$A:$B,2,0),AM291,1),"")</f>
        <v>Q</v>
      </c>
      <c r="AM291" s="3">
        <v>270</v>
      </c>
      <c r="AN291" s="3" t="str">
        <f>IFERROR(MID(VLOOKUP($B291,Seqs!$A:$B,2,0),AO291,1),"")</f>
        <v>G</v>
      </c>
      <c r="AO291" s="3">
        <v>298</v>
      </c>
      <c r="AP291" s="3" t="str">
        <f>IFERROR(MID(VLOOKUP($B291,Seqs!$A:$B,2,0),AQ291,1),"")</f>
        <v>I</v>
      </c>
      <c r="AQ291" s="3">
        <v>334</v>
      </c>
      <c r="AR291" s="3" t="str">
        <f>IFERROR(MID(VLOOKUP($B291,Seqs!$A:$B,2,0),AS291,1),"")</f>
        <v>T</v>
      </c>
      <c r="AS291" s="3">
        <v>340</v>
      </c>
      <c r="AT291" s="3" t="str">
        <f>IFERROR(MID(VLOOKUP($B291,Seqs!$A:$B,2,0),AU291,1),"")</f>
        <v>V</v>
      </c>
      <c r="AU291" s="3">
        <v>372</v>
      </c>
      <c r="AV291" s="3" t="str">
        <f>IFERROR(MID(VLOOKUP($B291,Seqs!$A:$B,2,0),AW291,1),"")</f>
        <v>S</v>
      </c>
      <c r="AW291" s="3">
        <v>373</v>
      </c>
      <c r="AX291" s="3" t="str">
        <f>IFERROR(MID(VLOOKUP($B291,Seqs!$A:$B,2,0),AY291,1),"")</f>
        <v>L</v>
      </c>
      <c r="AY291" s="3">
        <v>384</v>
      </c>
      <c r="AZ291" s="77" t="str">
        <f>VLOOKUP(B291,Classification!A:D,2,0)</f>
        <v>A</v>
      </c>
      <c r="BA291" s="94" t="str">
        <f>VLOOKUP(B291,Classification!A:D,4,0)</f>
        <v>Neurotensin</v>
      </c>
      <c r="BB291" s="27" t="b">
        <f t="shared" si="2208"/>
        <v>1</v>
      </c>
      <c r="BC291" s="23">
        <f t="shared" si="1957"/>
        <v>260</v>
      </c>
      <c r="BD291" s="16" t="s">
        <v>1372</v>
      </c>
      <c r="BE291" s="3" t="s">
        <v>1370</v>
      </c>
      <c r="BF291" s="118">
        <v>2.75</v>
      </c>
      <c r="BG291" s="49" t="s">
        <v>1373</v>
      </c>
      <c r="BH291" s="49" t="s">
        <v>1373</v>
      </c>
      <c r="BI291" s="1"/>
      <c r="BJ291" s="70" t="s">
        <v>1283</v>
      </c>
      <c r="BK291" s="57" t="s">
        <v>1283</v>
      </c>
      <c r="BL291" s="57" t="s">
        <v>1283</v>
      </c>
      <c r="BM291" s="57" t="s">
        <v>1283</v>
      </c>
      <c r="BN291" s="57" t="s">
        <v>1283</v>
      </c>
      <c r="BO291" s="57" t="s">
        <v>1283</v>
      </c>
      <c r="BP291" s="57" t="s">
        <v>1283</v>
      </c>
      <c r="BQ291" s="57" t="s">
        <v>1283</v>
      </c>
      <c r="BR291" s="57" t="s">
        <v>1283</v>
      </c>
      <c r="BS291" s="57" t="s">
        <v>1283</v>
      </c>
      <c r="BT291" s="57" t="s">
        <v>1283</v>
      </c>
      <c r="BU291" s="57" t="s">
        <v>1283</v>
      </c>
      <c r="BV291" s="70">
        <f t="shared" si="1958"/>
        <v>61</v>
      </c>
      <c r="BW291" s="71" t="str">
        <f t="shared" si="1959"/>
        <v>-</v>
      </c>
      <c r="BX291" s="72">
        <f t="shared" si="1960"/>
        <v>97</v>
      </c>
      <c r="BY291" s="71">
        <f t="shared" si="1961"/>
        <v>134</v>
      </c>
      <c r="BZ291" s="72">
        <f t="shared" si="1962"/>
        <v>138</v>
      </c>
      <c r="CA291" s="71" t="str">
        <f t="shared" si="1963"/>
        <v>-</v>
      </c>
      <c r="CB291" s="72">
        <f t="shared" si="1964"/>
        <v>182</v>
      </c>
      <c r="CC291" s="71">
        <f t="shared" si="1965"/>
        <v>225</v>
      </c>
      <c r="CD291" s="72">
        <f t="shared" si="1966"/>
        <v>231</v>
      </c>
      <c r="CE291" s="71">
        <f t="shared" si="1967"/>
        <v>298</v>
      </c>
      <c r="CF291" s="72">
        <f t="shared" si="1968"/>
        <v>340</v>
      </c>
      <c r="CG291" s="71">
        <f t="shared" si="1969"/>
        <v>373</v>
      </c>
      <c r="CH291" s="70">
        <f t="shared" si="1970"/>
        <v>91</v>
      </c>
      <c r="CI291" s="71" t="str">
        <f t="shared" si="1971"/>
        <v>-</v>
      </c>
      <c r="CJ291" s="72">
        <f t="shared" si="1972"/>
        <v>131</v>
      </c>
      <c r="CK291" s="72">
        <f t="shared" si="1973"/>
        <v>137</v>
      </c>
      <c r="CL291" s="72">
        <f t="shared" si="1974"/>
        <v>173</v>
      </c>
      <c r="CM291" s="72" t="str">
        <f t="shared" si="1975"/>
        <v>-</v>
      </c>
      <c r="CN291" s="72">
        <f t="shared" si="1976"/>
        <v>208</v>
      </c>
      <c r="CO291" s="72">
        <f t="shared" si="1977"/>
        <v>227</v>
      </c>
      <c r="CP291" s="72">
        <f t="shared" si="1978"/>
        <v>270</v>
      </c>
      <c r="CQ291" s="72">
        <f t="shared" si="1979"/>
        <v>334</v>
      </c>
      <c r="CR291" s="72">
        <f t="shared" si="1980"/>
        <v>372</v>
      </c>
      <c r="CS291" s="72">
        <f t="shared" si="1981"/>
        <v>384</v>
      </c>
      <c r="CT291" s="23" t="e">
        <f t="shared" si="1982"/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si="2207"/>
        <v>ntr1_rat_4GRV</v>
      </c>
      <c r="B292" s="3" t="s">
        <v>909</v>
      </c>
      <c r="C292" s="3" t="s">
        <v>50</v>
      </c>
      <c r="D292" s="3" t="str">
        <f>IFERROR(MID(VLOOKUP($B292,Seqs!$A:$B,2,0),E292,1),"")</f>
        <v>I</v>
      </c>
      <c r="E292" s="3">
        <v>61</v>
      </c>
      <c r="F292" s="3" t="str">
        <f>IFERROR(MID(VLOOKUP($B292,Seqs!$A:$B,2,0),G292,1),"")</f>
        <v>T</v>
      </c>
      <c r="G292" s="3">
        <v>88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Q</v>
      </c>
      <c r="M292" s="3">
        <v>99</v>
      </c>
      <c r="N292" s="3" t="str">
        <f>IFERROR(MID(VLOOKUP($B292,Seqs!$A:$B,2,0),O292,1),"")</f>
        <v>V</v>
      </c>
      <c r="O292" s="3">
        <v>131</v>
      </c>
      <c r="P292" s="3" t="str">
        <f>IFERROR(MID(VLOOKUP($B292,Seqs!$A:$B,2,0),Q292,1),"")</f>
        <v>P</v>
      </c>
      <c r="Q292" s="3">
        <v>134</v>
      </c>
      <c r="R292" s="3" t="str">
        <f>IFERROR(MID(VLOOKUP($B292,Seqs!$A:$B,2,0),S292,1),"")</f>
        <v>F</v>
      </c>
      <c r="S292" s="3">
        <v>137</v>
      </c>
      <c r="T292" s="3" t="str">
        <f>IFERROR(MID(VLOOKUP($B292,Seqs!$A:$B,2,0),U292,1),"")</f>
        <v>G</v>
      </c>
      <c r="U292" s="3">
        <v>138</v>
      </c>
      <c r="V292" s="3" t="str">
        <f>IFERROR(MID(VLOOKUP($B292,Seqs!$A:$B,2,0),W292,1),"")</f>
        <v>H</v>
      </c>
      <c r="W292" s="3">
        <v>173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T</v>
      </c>
      <c r="AC292" s="3">
        <v>186</v>
      </c>
      <c r="AD292" s="3" t="str">
        <f>IFERROR(MID(VLOOKUP($B292,Seqs!$A:$B,2,0),AE292,1),"")</f>
        <v>M</v>
      </c>
      <c r="AE292" s="3">
        <v>208</v>
      </c>
      <c r="AF292" s="3" t="str">
        <f>IFERROR(MID(VLOOKUP($B292,Seqs!$A:$B,2,0),AG292,1),"")</f>
        <v>C</v>
      </c>
      <c r="AG292" s="3">
        <v>225</v>
      </c>
      <c r="AH292" s="3" t="str">
        <f>IFERROR(MID(VLOOKUP($B292,Seqs!$A:$B,2,0),AI292,1),"")</f>
        <v>P</v>
      </c>
      <c r="AI292" s="3">
        <v>227</v>
      </c>
      <c r="AJ292" s="3" t="str">
        <f>IFERROR(MID(VLOOKUP($B292,Seqs!$A:$B,2,0),AK292,1),"")</f>
        <v>T</v>
      </c>
      <c r="AK292" s="3">
        <v>231</v>
      </c>
      <c r="AL292" s="3" t="str">
        <f>IFERROR(MID(VLOOKUP($B292,Seqs!$A:$B,2,0),AM292,1),"")</f>
        <v>T</v>
      </c>
      <c r="AM292" s="3">
        <v>265</v>
      </c>
      <c r="AN292" s="3" t="str">
        <f>IFERROR(MID(VLOOKUP($B292,Seqs!$A:$B,2,0),AO292,1),"")</f>
        <v>A</v>
      </c>
      <c r="AO292" s="3">
        <v>302</v>
      </c>
      <c r="AP292" s="3" t="str">
        <f>IFERROR(MID(VLOOKUP($B292,Seqs!$A:$B,2,0),AQ292,1),"")</f>
        <v>I</v>
      </c>
      <c r="AQ292" s="3">
        <v>334</v>
      </c>
      <c r="AR292" s="3" t="str">
        <f>IFERROR(MID(VLOOKUP($B292,Seqs!$A:$B,2,0),AS292,1),"")</f>
        <v>T</v>
      </c>
      <c r="AS292" s="3">
        <v>340</v>
      </c>
      <c r="AT292" s="3" t="str">
        <f>IFERROR(MID(VLOOKUP($B292,Seqs!$A:$B,2,0),AU292,1),"")</f>
        <v>S</v>
      </c>
      <c r="AU292" s="3">
        <v>361</v>
      </c>
      <c r="AV292" s="3" t="str">
        <f>IFERROR(MID(VLOOKUP($B292,Seqs!$A:$B,2,0),AW292,1),"")</f>
        <v/>
      </c>
      <c r="AW292" s="3" t="s">
        <v>23</v>
      </c>
      <c r="AX292" s="3" t="str">
        <f>IFERROR(MID(VLOOKUP($B292,Seqs!$A:$B,2,0),AY292,1),"")</f>
        <v/>
      </c>
      <c r="AY292" s="3" t="s">
        <v>23</v>
      </c>
      <c r="AZ292" s="77" t="str">
        <f>VLOOKUP(B292,Classification!A:D,2,0)</f>
        <v>A</v>
      </c>
      <c r="BA292" s="94" t="str">
        <f>VLOOKUP(B292,Classification!A:D,4,0)</f>
        <v>Neurotensin</v>
      </c>
      <c r="BB292" s="27" t="b">
        <f t="shared" si="2208"/>
        <v>1</v>
      </c>
      <c r="BC292" s="23">
        <f t="shared" si="1957"/>
        <v>220</v>
      </c>
      <c r="BD292" s="5" t="s">
        <v>23</v>
      </c>
      <c r="BE292" s="3" t="s">
        <v>1424</v>
      </c>
      <c r="BF292" s="118">
        <v>2.8</v>
      </c>
      <c r="BG292" s="49" t="s">
        <v>1373</v>
      </c>
      <c r="BH292" s="49" t="s">
        <v>1373</v>
      </c>
      <c r="BI292" s="1"/>
      <c r="BJ292" s="70" t="s">
        <v>1283</v>
      </c>
      <c r="BK292" s="57" t="s">
        <v>1283</v>
      </c>
      <c r="BL292" s="57" t="s">
        <v>1283</v>
      </c>
      <c r="BM292" s="57" t="s">
        <v>1283</v>
      </c>
      <c r="BN292" s="57" t="s">
        <v>1283</v>
      </c>
      <c r="BO292" s="57" t="s">
        <v>1283</v>
      </c>
      <c r="BP292" s="57" t="s">
        <v>1283</v>
      </c>
      <c r="BQ292" s="57" t="s">
        <v>1283</v>
      </c>
      <c r="BR292" s="57" t="s">
        <v>1283</v>
      </c>
      <c r="BS292" s="57" t="s">
        <v>1283</v>
      </c>
      <c r="BT292" s="57" t="s">
        <v>1283</v>
      </c>
      <c r="BU292" s="57" t="s">
        <v>1283</v>
      </c>
      <c r="BV292" s="70">
        <f t="shared" si="1958"/>
        <v>61</v>
      </c>
      <c r="BW292" s="71" t="str">
        <f t="shared" si="1959"/>
        <v>-</v>
      </c>
      <c r="BX292" s="72">
        <f t="shared" si="1960"/>
        <v>99</v>
      </c>
      <c r="BY292" s="71">
        <f t="shared" si="1961"/>
        <v>134</v>
      </c>
      <c r="BZ292" s="72">
        <f t="shared" si="1962"/>
        <v>138</v>
      </c>
      <c r="CA292" s="71" t="str">
        <f t="shared" si="1963"/>
        <v>-</v>
      </c>
      <c r="CB292" s="72">
        <f t="shared" si="1964"/>
        <v>186</v>
      </c>
      <c r="CC292" s="71">
        <f t="shared" si="1965"/>
        <v>225</v>
      </c>
      <c r="CD292" s="72">
        <f t="shared" si="1966"/>
        <v>231</v>
      </c>
      <c r="CE292" s="71">
        <f t="shared" si="1967"/>
        <v>302</v>
      </c>
      <c r="CF292" s="72">
        <f t="shared" si="1968"/>
        <v>340</v>
      </c>
      <c r="CG292" s="71" t="str">
        <f t="shared" si="1969"/>
        <v>-</v>
      </c>
      <c r="CH292" s="70">
        <f t="shared" si="1970"/>
        <v>88</v>
      </c>
      <c r="CI292" s="71" t="str">
        <f t="shared" si="1971"/>
        <v>-</v>
      </c>
      <c r="CJ292" s="72">
        <f t="shared" si="1972"/>
        <v>131</v>
      </c>
      <c r="CK292" s="72">
        <f t="shared" si="1973"/>
        <v>137</v>
      </c>
      <c r="CL292" s="72">
        <f t="shared" si="1974"/>
        <v>173</v>
      </c>
      <c r="CM292" s="72" t="str">
        <f t="shared" si="1975"/>
        <v>-</v>
      </c>
      <c r="CN292" s="72">
        <f t="shared" si="1976"/>
        <v>208</v>
      </c>
      <c r="CO292" s="72">
        <f t="shared" si="1977"/>
        <v>227</v>
      </c>
      <c r="CP292" s="72">
        <f t="shared" si="1978"/>
        <v>265</v>
      </c>
      <c r="CQ292" s="72">
        <f t="shared" si="1979"/>
        <v>334</v>
      </c>
      <c r="CR292" s="72">
        <f t="shared" si="1980"/>
        <v>361</v>
      </c>
      <c r="CS292" s="72" t="str">
        <f t="shared" si="1981"/>
        <v>-</v>
      </c>
      <c r="CT292" s="23" t="e">
        <f t="shared" si="1982"/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si="2207"/>
        <v>ntr1_rat_4XEE</v>
      </c>
      <c r="B293" s="3" t="s">
        <v>909</v>
      </c>
      <c r="C293" s="3" t="s">
        <v>1346</v>
      </c>
      <c r="D293" s="3" t="str">
        <f>IFERROR(MID(VLOOKUP($B293,Seqs!$A:$B,2,0),E293,1),"")</f>
        <v>I</v>
      </c>
      <c r="E293" s="3">
        <v>61</v>
      </c>
      <c r="F293" s="3" t="str">
        <f>IFERROR(MID(VLOOKUP($B293,Seqs!$A:$B,2,0),G293,1),"")</f>
        <v>R</v>
      </c>
      <c r="G293" s="3">
        <v>91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S</v>
      </c>
      <c r="M293" s="3">
        <v>100</v>
      </c>
      <c r="N293" s="3" t="str">
        <f>IFERROR(MID(VLOOKUP($B293,Seqs!$A:$B,2,0),O293,1),"")</f>
        <v>V</v>
      </c>
      <c r="O293" s="3">
        <v>131</v>
      </c>
      <c r="P293" s="3" t="str">
        <f>IFERROR(MID(VLOOKUP($B293,Seqs!$A:$B,2,0),Q293,1),"")</f>
        <v>P</v>
      </c>
      <c r="Q293" s="3">
        <v>134</v>
      </c>
      <c r="R293" s="3" t="str">
        <f>IFERROR(MID(VLOOKUP($B293,Seqs!$A:$B,2,0),S293,1),"")</f>
        <v>F</v>
      </c>
      <c r="S293" s="3">
        <v>137</v>
      </c>
      <c r="T293" s="3" t="str">
        <f>IFERROR(MID(VLOOKUP($B293,Seqs!$A:$B,2,0),U293,1),"")</f>
        <v>G</v>
      </c>
      <c r="U293" s="3">
        <v>138</v>
      </c>
      <c r="V293" s="3" t="str">
        <f>IFERROR(MID(VLOOKUP($B293,Seqs!$A:$B,2,0),W293,1),"")</f>
        <v>H</v>
      </c>
      <c r="W293" s="3">
        <v>173</v>
      </c>
      <c r="X293" s="3" t="str">
        <f>IFERROR(MID(VLOOKUP($B293,Seqs!$A:$B,2,0),Y293,1),"")</f>
        <v>P</v>
      </c>
      <c r="Y293" s="3">
        <v>174</v>
      </c>
      <c r="Z293" s="3" t="str">
        <f>IFERROR(MID(VLOOKUP($B293,Seqs!$A:$B,2,0),AA293,1),"")</f>
        <v>M</v>
      </c>
      <c r="AA293" s="3">
        <v>181</v>
      </c>
      <c r="AB293" s="3" t="str">
        <f>IFERROR(MID(VLOOKUP($B293,Seqs!$A:$B,2,0),AC293,1),"")</f>
        <v>S</v>
      </c>
      <c r="AC293" s="3">
        <v>182</v>
      </c>
      <c r="AD293" s="3" t="str">
        <f>IFERROR(MID(VLOOKUP($B293,Seqs!$A:$B,2,0),AE293,1),"")</f>
        <v>M</v>
      </c>
      <c r="AE293" s="3">
        <v>208</v>
      </c>
      <c r="AF293" s="3" t="str">
        <f>IFERROR(MID(VLOOKUP($B293,Seqs!$A:$B,2,0),AG293,1),"")</f>
        <v>C</v>
      </c>
      <c r="AG293" s="3">
        <v>225</v>
      </c>
      <c r="AH293" s="3" t="str">
        <f>IFERROR(MID(VLOOKUP($B293,Seqs!$A:$B,2,0),AI293,1),"")</f>
        <v>P</v>
      </c>
      <c r="AI293" s="3">
        <v>227</v>
      </c>
      <c r="AJ293" s="3" t="str">
        <f>IFERROR(MID(VLOOKUP($B293,Seqs!$A:$B,2,0),AK293,1),"")</f>
        <v>T</v>
      </c>
      <c r="AK293" s="3">
        <v>231</v>
      </c>
      <c r="AL293" s="3" t="str">
        <f>IFERROR(MID(VLOOKUP($B293,Seqs!$A:$B,2,0),AM293,1),"")</f>
        <v>V</v>
      </c>
      <c r="AM293" s="3">
        <v>268</v>
      </c>
      <c r="AN293" s="3" t="str">
        <f>IFERROR(MID(VLOOKUP($B293,Seqs!$A:$B,2,0),AO293,1),"")</f>
        <v>Q</v>
      </c>
      <c r="AO293" s="3">
        <v>301</v>
      </c>
      <c r="AP293" s="3" t="str">
        <f>IFERROR(MID(VLOOKUP($B293,Seqs!$A:$B,2,0),AQ293,1),"")</f>
        <v>I</v>
      </c>
      <c r="AQ293" s="3">
        <v>334</v>
      </c>
      <c r="AR293" s="3" t="str">
        <f>IFERROR(MID(VLOOKUP($B293,Seqs!$A:$B,2,0),AS293,1),"")</f>
        <v>T</v>
      </c>
      <c r="AS293" s="3">
        <v>340</v>
      </c>
      <c r="AT293" s="3" t="str">
        <f>IFERROR(MID(VLOOKUP($B293,Seqs!$A:$B,2,0),AU293,1),"")</f>
        <v>I</v>
      </c>
      <c r="AU293" s="3">
        <v>364</v>
      </c>
      <c r="AV293" s="3" t="str">
        <f>IFERROR(MID(VLOOKUP($B293,Seqs!$A:$B,2,0),AW293,1),"")</f>
        <v/>
      </c>
      <c r="AW293" s="3" t="s">
        <v>23</v>
      </c>
      <c r="AX293" s="3" t="str">
        <f>IFERROR(MID(VLOOKUP($B293,Seqs!$A:$B,2,0),AY293,1),"")</f>
        <v/>
      </c>
      <c r="AY293" s="3" t="s">
        <v>23</v>
      </c>
      <c r="AZ293" s="77" t="str">
        <f>VLOOKUP(B293,Classification!A:D,2,0)</f>
        <v>A</v>
      </c>
      <c r="BA293" s="94" t="str">
        <f>VLOOKUP(B293,Classification!A:D,4,0)</f>
        <v>Neurotensin</v>
      </c>
      <c r="BB293" s="27" t="b">
        <f t="shared" si="2208"/>
        <v>1</v>
      </c>
      <c r="BC293" s="23">
        <f t="shared" si="1957"/>
        <v>240</v>
      </c>
      <c r="BD293" s="4" t="s">
        <v>23</v>
      </c>
      <c r="BE293" s="3" t="s">
        <v>1424</v>
      </c>
      <c r="BF293" s="118">
        <v>2.9</v>
      </c>
      <c r="BG293" s="49" t="s">
        <v>1373</v>
      </c>
      <c r="BH293" s="49" t="s">
        <v>1373</v>
      </c>
      <c r="BI293" s="1"/>
      <c r="BJ293" s="70" t="s">
        <v>1283</v>
      </c>
      <c r="BK293" s="57" t="s">
        <v>1283</v>
      </c>
      <c r="BL293" s="57" t="s">
        <v>1283</v>
      </c>
      <c r="BM293" s="57" t="s">
        <v>1283</v>
      </c>
      <c r="BN293" s="57" t="s">
        <v>1283</v>
      </c>
      <c r="BO293" s="57" t="s">
        <v>1283</v>
      </c>
      <c r="BP293" s="57" t="s">
        <v>1283</v>
      </c>
      <c r="BQ293" s="57" t="s">
        <v>1283</v>
      </c>
      <c r="BR293" s="57" t="s">
        <v>1283</v>
      </c>
      <c r="BS293" s="57" t="s">
        <v>1283</v>
      </c>
      <c r="BT293" s="57" t="s">
        <v>1283</v>
      </c>
      <c r="BU293" s="57" t="s">
        <v>1283</v>
      </c>
      <c r="BV293" s="70">
        <f t="shared" si="1958"/>
        <v>61</v>
      </c>
      <c r="BW293" s="71" t="str">
        <f t="shared" si="1959"/>
        <v>-</v>
      </c>
      <c r="BX293" s="72">
        <f t="shared" si="1960"/>
        <v>100</v>
      </c>
      <c r="BY293" s="71">
        <f t="shared" si="1961"/>
        <v>134</v>
      </c>
      <c r="BZ293" s="72">
        <f t="shared" si="1962"/>
        <v>138</v>
      </c>
      <c r="CA293" s="71">
        <f t="shared" si="1963"/>
        <v>174</v>
      </c>
      <c r="CB293" s="72">
        <f t="shared" si="1964"/>
        <v>182</v>
      </c>
      <c r="CC293" s="71">
        <f t="shared" si="1965"/>
        <v>225</v>
      </c>
      <c r="CD293" s="72">
        <f t="shared" si="1966"/>
        <v>231</v>
      </c>
      <c r="CE293" s="71">
        <f t="shared" si="1967"/>
        <v>301</v>
      </c>
      <c r="CF293" s="72">
        <f t="shared" si="1968"/>
        <v>340</v>
      </c>
      <c r="CG293" s="71" t="str">
        <f t="shared" si="1969"/>
        <v>-</v>
      </c>
      <c r="CH293" s="70">
        <f t="shared" si="1970"/>
        <v>91</v>
      </c>
      <c r="CI293" s="71" t="str">
        <f t="shared" si="1971"/>
        <v>-</v>
      </c>
      <c r="CJ293" s="72">
        <f t="shared" si="1972"/>
        <v>131</v>
      </c>
      <c r="CK293" s="72">
        <f t="shared" si="1973"/>
        <v>137</v>
      </c>
      <c r="CL293" s="72">
        <f t="shared" si="1974"/>
        <v>173</v>
      </c>
      <c r="CM293" s="72">
        <f t="shared" si="1975"/>
        <v>181</v>
      </c>
      <c r="CN293" s="72">
        <f t="shared" si="1976"/>
        <v>208</v>
      </c>
      <c r="CO293" s="72">
        <f t="shared" si="1977"/>
        <v>227</v>
      </c>
      <c r="CP293" s="72">
        <f t="shared" si="1978"/>
        <v>268</v>
      </c>
      <c r="CQ293" s="72">
        <f t="shared" si="1979"/>
        <v>334</v>
      </c>
      <c r="CR293" s="72">
        <f t="shared" si="1980"/>
        <v>364</v>
      </c>
      <c r="CS293" s="72" t="str">
        <f t="shared" si="1981"/>
        <v>-</v>
      </c>
      <c r="CT293" s="23" t="e">
        <f t="shared" si="1982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si="2207"/>
        <v>ntr1_rat_4XES</v>
      </c>
      <c r="B294" s="3" t="s">
        <v>909</v>
      </c>
      <c r="C294" s="3" t="s">
        <v>1347</v>
      </c>
      <c r="D294" s="3" t="str">
        <f>IFERROR(MID(VLOOKUP($B294,Seqs!$A:$B,2,0),E294,1),"")</f>
        <v>I</v>
      </c>
      <c r="E294" s="3">
        <v>61</v>
      </c>
      <c r="F294" s="3" t="str">
        <f>IFERROR(MID(VLOOKUP($B294,Seqs!$A:$B,2,0),G294,1),"")</f>
        <v>K</v>
      </c>
      <c r="G294" s="3">
        <v>92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S</v>
      </c>
      <c r="M294" s="3">
        <v>97</v>
      </c>
      <c r="N294" s="3" t="str">
        <f>IFERROR(MID(VLOOKUP($B294,Seqs!$A:$B,2,0),O294,1),"")</f>
        <v>V</v>
      </c>
      <c r="O294" s="3">
        <v>131</v>
      </c>
      <c r="P294" s="3" t="str">
        <f>IFERROR(MID(VLOOKUP($B294,Seqs!$A:$B,2,0),Q294,1),"")</f>
        <v>P</v>
      </c>
      <c r="Q294" s="3">
        <v>134</v>
      </c>
      <c r="R294" s="3" t="str">
        <f>IFERROR(MID(VLOOKUP($B294,Seqs!$A:$B,2,0),S294,1),"")</f>
        <v>F</v>
      </c>
      <c r="S294" s="3">
        <v>137</v>
      </c>
      <c r="T294" s="3" t="str">
        <f>IFERROR(MID(VLOOKUP($B294,Seqs!$A:$B,2,0),U294,1),"")</f>
        <v>G</v>
      </c>
      <c r="U294" s="3">
        <v>138</v>
      </c>
      <c r="V294" s="3" t="str">
        <f>IFERROR(MID(VLOOKUP($B294,Seqs!$A:$B,2,0),W294,1),"")</f>
        <v>H</v>
      </c>
      <c r="W294" s="3">
        <v>173</v>
      </c>
      <c r="X294" s="3" t="str">
        <f>IFERROR(MID(VLOOKUP($B294,Seqs!$A:$B,2,0),Y294,1),"")</f>
        <v>P</v>
      </c>
      <c r="Y294" s="3">
        <v>174</v>
      </c>
      <c r="Z294" s="3" t="str">
        <f>IFERROR(MID(VLOOKUP($B294,Seqs!$A:$B,2,0),AA294,1),"")</f>
        <v>M</v>
      </c>
      <c r="AA294" s="3">
        <v>181</v>
      </c>
      <c r="AB294" s="3" t="str">
        <f>IFERROR(MID(VLOOKUP($B294,Seqs!$A:$B,2,0),AC294,1),"")</f>
        <v>S</v>
      </c>
      <c r="AC294" s="3">
        <v>182</v>
      </c>
      <c r="AD294" s="3" t="str">
        <f>IFERROR(MID(VLOOKUP($B294,Seqs!$A:$B,2,0),AE294,1),"")</f>
        <v>M</v>
      </c>
      <c r="AE294" s="3">
        <v>208</v>
      </c>
      <c r="AF294" s="3" t="str">
        <f>IFERROR(MID(VLOOKUP($B294,Seqs!$A:$B,2,0),AG294,1),"")</f>
        <v>C</v>
      </c>
      <c r="AG294" s="3">
        <v>225</v>
      </c>
      <c r="AH294" s="3" t="str">
        <f>IFERROR(MID(VLOOKUP($B294,Seqs!$A:$B,2,0),AI294,1),"")</f>
        <v>P</v>
      </c>
      <c r="AI294" s="3">
        <v>227</v>
      </c>
      <c r="AJ294" s="3" t="str">
        <f>IFERROR(MID(VLOOKUP($B294,Seqs!$A:$B,2,0),AK294,1),"")</f>
        <v>T</v>
      </c>
      <c r="AK294" s="3">
        <v>231</v>
      </c>
      <c r="AL294" s="3" t="str">
        <f>IFERROR(MID(VLOOKUP($B294,Seqs!$A:$B,2,0),AM294,1),"")</f>
        <v>V</v>
      </c>
      <c r="AM294" s="3">
        <v>268</v>
      </c>
      <c r="AN294" s="3" t="str">
        <f>IFERROR(MID(VLOOKUP($B294,Seqs!$A:$B,2,0),AO294,1),"")</f>
        <v>A</v>
      </c>
      <c r="AO294" s="3">
        <v>302</v>
      </c>
      <c r="AP294" s="3" t="str">
        <f>IFERROR(MID(VLOOKUP($B294,Seqs!$A:$B,2,0),AQ294,1),"")</f>
        <v>I</v>
      </c>
      <c r="AQ294" s="3">
        <v>334</v>
      </c>
      <c r="AR294" s="3" t="str">
        <f>IFERROR(MID(VLOOKUP($B294,Seqs!$A:$B,2,0),AS294,1),"")</f>
        <v>T</v>
      </c>
      <c r="AS294" s="3">
        <v>340</v>
      </c>
      <c r="AT294" s="3" t="str">
        <f>IFERROR(MID(VLOOKUP($B294,Seqs!$A:$B,2,0),AU294,1),"")</f>
        <v>I</v>
      </c>
      <c r="AU294" s="3">
        <v>364</v>
      </c>
      <c r="AV294" s="3" t="str">
        <f>IFERROR(MID(VLOOKUP($B294,Seqs!$A:$B,2,0),AW294,1),"")</f>
        <v/>
      </c>
      <c r="AW294" s="3" t="s">
        <v>23</v>
      </c>
      <c r="AX294" s="3" t="str">
        <f>IFERROR(MID(VLOOKUP($B294,Seqs!$A:$B,2,0),AY294,1),"")</f>
        <v/>
      </c>
      <c r="AY294" s="3" t="s">
        <v>23</v>
      </c>
      <c r="AZ294" s="77" t="str">
        <f>VLOOKUP(B294,Classification!A:D,2,0)</f>
        <v>A</v>
      </c>
      <c r="BA294" s="94" t="str">
        <f>VLOOKUP(B294,Classification!A:D,4,0)</f>
        <v>Neurotensin</v>
      </c>
      <c r="BB294" s="27" t="b">
        <f t="shared" si="2208"/>
        <v>1</v>
      </c>
      <c r="BC294" s="23">
        <f t="shared" si="1957"/>
        <v>243</v>
      </c>
      <c r="BD294" s="5" t="s">
        <v>23</v>
      </c>
      <c r="BE294" s="3" t="s">
        <v>1424</v>
      </c>
      <c r="BF294" s="118">
        <v>2.6</v>
      </c>
      <c r="BG294" s="49" t="s">
        <v>1373</v>
      </c>
      <c r="BH294" s="49" t="s">
        <v>1373</v>
      </c>
      <c r="BI294" s="1"/>
      <c r="BJ294" s="70" t="s">
        <v>1283</v>
      </c>
      <c r="BK294" s="57" t="s">
        <v>1283</v>
      </c>
      <c r="BL294" s="57" t="s">
        <v>1283</v>
      </c>
      <c r="BM294" s="57" t="s">
        <v>1283</v>
      </c>
      <c r="BN294" s="57" t="s">
        <v>1283</v>
      </c>
      <c r="BO294" s="57" t="s">
        <v>1283</v>
      </c>
      <c r="BP294" s="57" t="s">
        <v>1283</v>
      </c>
      <c r="BQ294" s="57" t="s">
        <v>1283</v>
      </c>
      <c r="BR294" s="57" t="s">
        <v>1283</v>
      </c>
      <c r="BS294" s="57" t="s">
        <v>1283</v>
      </c>
      <c r="BT294" s="57" t="s">
        <v>1283</v>
      </c>
      <c r="BU294" s="57" t="s">
        <v>1283</v>
      </c>
      <c r="BV294" s="70">
        <f t="shared" si="1958"/>
        <v>61</v>
      </c>
      <c r="BW294" s="71" t="str">
        <f t="shared" si="1959"/>
        <v>-</v>
      </c>
      <c r="BX294" s="72">
        <f t="shared" si="1960"/>
        <v>97</v>
      </c>
      <c r="BY294" s="71">
        <f t="shared" si="1961"/>
        <v>134</v>
      </c>
      <c r="BZ294" s="72">
        <f t="shared" si="1962"/>
        <v>138</v>
      </c>
      <c r="CA294" s="71">
        <f t="shared" si="1963"/>
        <v>174</v>
      </c>
      <c r="CB294" s="72">
        <f t="shared" si="1964"/>
        <v>182</v>
      </c>
      <c r="CC294" s="71">
        <f t="shared" si="1965"/>
        <v>225</v>
      </c>
      <c r="CD294" s="72">
        <f t="shared" si="1966"/>
        <v>231</v>
      </c>
      <c r="CE294" s="71">
        <f t="shared" si="1967"/>
        <v>302</v>
      </c>
      <c r="CF294" s="72">
        <f t="shared" si="1968"/>
        <v>340</v>
      </c>
      <c r="CG294" s="71" t="str">
        <f t="shared" si="1969"/>
        <v>-</v>
      </c>
      <c r="CH294" s="70">
        <f t="shared" si="1970"/>
        <v>92</v>
      </c>
      <c r="CI294" s="71" t="str">
        <f t="shared" si="1971"/>
        <v>-</v>
      </c>
      <c r="CJ294" s="72">
        <f t="shared" si="1972"/>
        <v>131</v>
      </c>
      <c r="CK294" s="72">
        <f t="shared" si="1973"/>
        <v>137</v>
      </c>
      <c r="CL294" s="72">
        <f t="shared" si="1974"/>
        <v>173</v>
      </c>
      <c r="CM294" s="72">
        <f t="shared" si="1975"/>
        <v>181</v>
      </c>
      <c r="CN294" s="72">
        <f t="shared" si="1976"/>
        <v>208</v>
      </c>
      <c r="CO294" s="72">
        <f t="shared" si="1977"/>
        <v>227</v>
      </c>
      <c r="CP294" s="72">
        <f t="shared" si="1978"/>
        <v>268</v>
      </c>
      <c r="CQ294" s="72">
        <f t="shared" si="1979"/>
        <v>334</v>
      </c>
      <c r="CR294" s="72">
        <f t="shared" si="1980"/>
        <v>364</v>
      </c>
      <c r="CS294" s="72" t="str">
        <f t="shared" si="1981"/>
        <v>-</v>
      </c>
      <c r="CT294" s="23" t="e">
        <f t="shared" si="1982"/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>CONCATENATE(B295,"_",C295)</f>
        <v>ntr1_rat_5T04</v>
      </c>
      <c r="B295" s="3" t="s">
        <v>909</v>
      </c>
      <c r="C295" s="3" t="s">
        <v>1381</v>
      </c>
      <c r="D295" s="3" t="str">
        <f>IFERROR(MID(VLOOKUP($B295,Seqs!$A:$B,2,0),E295,1),"")</f>
        <v>I</v>
      </c>
      <c r="E295" s="3">
        <v>61</v>
      </c>
      <c r="F295" s="3" t="str">
        <f>IFERROR(MID(VLOOKUP($B295,Seqs!$A:$B,2,0),G295,1),"")</f>
        <v>T</v>
      </c>
      <c r="G295" s="3">
        <v>88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H</v>
      </c>
      <c r="M295" s="3">
        <v>103</v>
      </c>
      <c r="N295" s="3" t="str">
        <f>IFERROR(MID(VLOOKUP($B295,Seqs!$A:$B,2,0),O295,1),"")</f>
        <v>V</v>
      </c>
      <c r="O295" s="3">
        <v>131</v>
      </c>
      <c r="P295" s="3" t="str">
        <f>IFERROR(MID(VLOOKUP($B295,Seqs!$A:$B,2,0),Q295,1),"")</f>
        <v>P</v>
      </c>
      <c r="Q295" s="3">
        <v>134</v>
      </c>
      <c r="R295" s="3" t="str">
        <f>IFERROR(MID(VLOOKUP($B295,Seqs!$A:$B,2,0),S295,1),"")</f>
        <v>F</v>
      </c>
      <c r="S295" s="3">
        <v>137</v>
      </c>
      <c r="T295" s="3" t="str">
        <f>IFERROR(MID(VLOOKUP($B295,Seqs!$A:$B,2,0),U295,1),"")</f>
        <v>G</v>
      </c>
      <c r="U295" s="3">
        <v>138</v>
      </c>
      <c r="V295" s="3" t="str">
        <f>IFERROR(MID(VLOOKUP($B295,Seqs!$A:$B,2,0),W295,1),"")</f>
        <v>H</v>
      </c>
      <c r="W295" s="3">
        <v>173</v>
      </c>
      <c r="X295" s="3" t="str">
        <f>IFERROR(MID(VLOOKUP($B295,Seqs!$A:$B,2,0),Y295,1),"")</f>
        <v>P</v>
      </c>
      <c r="Y295" s="3">
        <v>174</v>
      </c>
      <c r="Z295" s="3" t="str">
        <f>IFERROR(MID(VLOOKUP($B295,Seqs!$A:$B,2,0),AA295,1),"")</f>
        <v>M</v>
      </c>
      <c r="AA295" s="3">
        <v>181</v>
      </c>
      <c r="AB295" s="3" t="str">
        <f>IFERROR(MID(VLOOKUP($B295,Seqs!$A:$B,2,0),AC295,1),"")</f>
        <v>S</v>
      </c>
      <c r="AC295" s="3">
        <v>182</v>
      </c>
      <c r="AD295" s="3" t="str">
        <f>IFERROR(MID(VLOOKUP($B295,Seqs!$A:$B,2,0),AE295,1),"")</f>
        <v>M</v>
      </c>
      <c r="AE295" s="3">
        <v>208</v>
      </c>
      <c r="AF295" s="3" t="str">
        <f>IFERROR(MID(VLOOKUP($B295,Seqs!$A:$B,2,0),AG295,1),"")</f>
        <v>C</v>
      </c>
      <c r="AG295" s="3">
        <v>225</v>
      </c>
      <c r="AH295" s="3" t="str">
        <f>IFERROR(MID(VLOOKUP($B295,Seqs!$A:$B,2,0),AI295,1),"")</f>
        <v>P</v>
      </c>
      <c r="AI295" s="3">
        <v>227</v>
      </c>
      <c r="AJ295" s="3" t="str">
        <f>IFERROR(MID(VLOOKUP($B295,Seqs!$A:$B,2,0),AK295,1),"")</f>
        <v>T</v>
      </c>
      <c r="AK295" s="3">
        <v>231</v>
      </c>
      <c r="AL295" s="3" t="str">
        <f>IFERROR(MID(VLOOKUP($B295,Seqs!$A:$B,2,0),AM295,1),"")</f>
        <v>V</v>
      </c>
      <c r="AM295" s="3">
        <v>268</v>
      </c>
      <c r="AN295" s="3" t="str">
        <f>IFERROR(MID(VLOOKUP($B295,Seqs!$A:$B,2,0),AO295,1),"")</f>
        <v>P</v>
      </c>
      <c r="AO295" s="3">
        <v>297</v>
      </c>
      <c r="AP295" s="3" t="str">
        <f>IFERROR(MID(VLOOKUP($B295,Seqs!$A:$B,2,0),AQ295,1),"")</f>
        <v>I</v>
      </c>
      <c r="AQ295" s="3">
        <v>334</v>
      </c>
      <c r="AR295" s="3" t="str">
        <f>IFERROR(MID(VLOOKUP($B295,Seqs!$A:$B,2,0),AS295,1),"")</f>
        <v>T</v>
      </c>
      <c r="AS295" s="3">
        <v>340</v>
      </c>
      <c r="AT295" s="3" t="str">
        <f>IFERROR(MID(VLOOKUP($B295,Seqs!$A:$B,2,0),AU295,1),"")</f>
        <v>I</v>
      </c>
      <c r="AU295" s="3">
        <v>364</v>
      </c>
      <c r="AV295" s="3" t="str">
        <f>IFERROR(MID(VLOOKUP($B295,Seqs!$A:$B,2,0),AW295,1),"")</f>
        <v/>
      </c>
      <c r="AW295" s="3" t="s">
        <v>23</v>
      </c>
      <c r="AX295" s="3" t="str">
        <f>IFERROR(MID(VLOOKUP($B295,Seqs!$A:$B,2,0),AY295,1),"")</f>
        <v/>
      </c>
      <c r="AY295" s="3" t="s">
        <v>23</v>
      </c>
      <c r="AZ295" s="77" t="str">
        <f>VLOOKUP(B295,Classification!A:D,2,0)</f>
        <v>A</v>
      </c>
      <c r="BA295" s="94" t="str">
        <f>VLOOKUP(B295,Classification!A:D,4,0)</f>
        <v>Neurotensin</v>
      </c>
      <c r="BB295" s="27" t="b">
        <f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23">
        <f>_xlfn.AGGREGATE(9,6,CH295:CS295)-_xlfn.AGGREGATE(9,6,BV295:CG295)+12</f>
        <v>238</v>
      </c>
      <c r="BD295" s="5" t="s">
        <v>23</v>
      </c>
      <c r="BE295" s="3" t="s">
        <v>1287</v>
      </c>
      <c r="BF295" s="118">
        <v>3.3</v>
      </c>
      <c r="BG295" s="49" t="s">
        <v>1373</v>
      </c>
      <c r="BH295" s="49" t="s">
        <v>1373</v>
      </c>
      <c r="BI295" s="1"/>
      <c r="BJ295" s="70" t="s">
        <v>1283</v>
      </c>
      <c r="BK295" s="57" t="s">
        <v>1283</v>
      </c>
      <c r="BL295" s="57" t="s">
        <v>1283</v>
      </c>
      <c r="BM295" s="57" t="s">
        <v>1283</v>
      </c>
      <c r="BN295" s="57" t="s">
        <v>1283</v>
      </c>
      <c r="BO295" s="57" t="s">
        <v>1283</v>
      </c>
      <c r="BP295" s="57" t="s">
        <v>1283</v>
      </c>
      <c r="BQ295" s="57" t="s">
        <v>1283</v>
      </c>
      <c r="BR295" s="57" t="s">
        <v>1283</v>
      </c>
      <c r="BS295" s="57" t="s">
        <v>1283</v>
      </c>
      <c r="BT295" s="57" t="s">
        <v>1283</v>
      </c>
      <c r="BU295" s="57" t="s">
        <v>1283</v>
      </c>
      <c r="BV295" s="70">
        <f>E295</f>
        <v>61</v>
      </c>
      <c r="BW295" s="71" t="str">
        <f>I295</f>
        <v>-</v>
      </c>
      <c r="BX295" s="72">
        <f>M295</f>
        <v>103</v>
      </c>
      <c r="BY295" s="71">
        <f>Q295</f>
        <v>134</v>
      </c>
      <c r="BZ295" s="72">
        <f>U295</f>
        <v>138</v>
      </c>
      <c r="CA295" s="71">
        <f>Y295</f>
        <v>174</v>
      </c>
      <c r="CB295" s="72">
        <f>AC295</f>
        <v>182</v>
      </c>
      <c r="CC295" s="71">
        <f>AG295</f>
        <v>225</v>
      </c>
      <c r="CD295" s="72">
        <f>AK295</f>
        <v>231</v>
      </c>
      <c r="CE295" s="71">
        <f>AO295</f>
        <v>297</v>
      </c>
      <c r="CF295" s="72">
        <f>AS295</f>
        <v>340</v>
      </c>
      <c r="CG295" s="71" t="str">
        <f>AW295</f>
        <v>-</v>
      </c>
      <c r="CH295" s="70">
        <f>G295</f>
        <v>88</v>
      </c>
      <c r="CI295" s="71" t="str">
        <f>K295</f>
        <v>-</v>
      </c>
      <c r="CJ295" s="72">
        <f>O295</f>
        <v>131</v>
      </c>
      <c r="CK295" s="72">
        <f>S295</f>
        <v>137</v>
      </c>
      <c r="CL295" s="72">
        <f>W295</f>
        <v>173</v>
      </c>
      <c r="CM295" s="72">
        <f>AA295</f>
        <v>181</v>
      </c>
      <c r="CN295" s="72">
        <f>AE295</f>
        <v>208</v>
      </c>
      <c r="CO295" s="72">
        <f>AI295</f>
        <v>227</v>
      </c>
      <c r="CP295" s="72">
        <f>AM295</f>
        <v>268</v>
      </c>
      <c r="CQ295" s="72">
        <f>AQ295</f>
        <v>334</v>
      </c>
      <c r="CR295" s="72">
        <f>AU295</f>
        <v>364</v>
      </c>
      <c r="CS295" s="72" t="str">
        <f>AY295</f>
        <v>-</v>
      </c>
      <c r="CT295" s="23" t="e">
        <f>M295-K295</f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30" x14ac:dyDescent="0.2">
      <c r="A296" s="3" t="str">
        <f t="shared" si="2207"/>
        <v>oprd_human__wt</v>
      </c>
      <c r="B296" s="3" t="s">
        <v>334</v>
      </c>
      <c r="C296" s="3" t="s">
        <v>100</v>
      </c>
      <c r="D296" s="3" t="str">
        <f>IFERROR(MID(VLOOKUP($B296,Seqs!$A:$B,2,0),E296,1),"")</f>
        <v>G</v>
      </c>
      <c r="E296" s="3">
        <v>39</v>
      </c>
      <c r="F296" s="3" t="str">
        <f>IFERROR(MID(VLOOKUP($B296,Seqs!$A:$B,2,0),G296,1),"")</f>
        <v>Y</v>
      </c>
      <c r="G296" s="3">
        <v>77</v>
      </c>
      <c r="H296" s="3" t="str">
        <f>IFERROR(MID(VLOOKUP($B296,Seqs!$A:$B,2,0),I296,1),"")</f>
        <v>T</v>
      </c>
      <c r="I296" s="23">
        <v>78</v>
      </c>
      <c r="J296" s="3" t="str">
        <f>IFERROR(MID(VLOOKUP($B296,Seqs!$A:$B,2,0),K296,1),"")</f>
        <v>K</v>
      </c>
      <c r="K296" s="23">
        <v>81</v>
      </c>
      <c r="L296" s="3" t="str">
        <f>IFERROR(MID(VLOOKUP($B296,Seqs!$A:$B,2,0),M296,1),"")</f>
        <v>T</v>
      </c>
      <c r="M296" s="3">
        <v>82</v>
      </c>
      <c r="N296" s="3" t="str">
        <f>IFERROR(MID(VLOOKUP($B296,Seqs!$A:$B,2,0),O296,1),"")</f>
        <v>M</v>
      </c>
      <c r="O296" s="3">
        <v>111</v>
      </c>
      <c r="P296" s="3" t="str">
        <f>IFERROR(MID(VLOOKUP($B296,Seqs!$A:$B,2,0),Q296,1),"")</f>
        <v>T</v>
      </c>
      <c r="Q296" s="3">
        <v>113</v>
      </c>
      <c r="R296" s="3" t="str">
        <f>IFERROR(MID(VLOOKUP($B296,Seqs!$A:$B,2,0),S296,1),"")</f>
        <v>F</v>
      </c>
      <c r="S296" s="3">
        <v>116</v>
      </c>
      <c r="T296" s="3" t="str">
        <f>IFERROR(MID(VLOOKUP($B296,Seqs!$A:$B,2,0),U296,1),"")</f>
        <v>G</v>
      </c>
      <c r="U296" s="3">
        <v>117</v>
      </c>
      <c r="V296" s="3" t="str">
        <f>IFERROR(MID(VLOOKUP($B296,Seqs!$A:$B,2,0),W296,1),"")</f>
        <v>H</v>
      </c>
      <c r="W296" s="3">
        <v>152</v>
      </c>
      <c r="X296" s="3" t="str">
        <f>IFERROR(MID(VLOOKUP($B296,Seqs!$A:$B,2,0),Y296,1),"")</f>
        <v>P</v>
      </c>
      <c r="Y296" s="3">
        <v>153</v>
      </c>
      <c r="Z296" s="3" t="str">
        <f>IFERROR(MID(VLOOKUP($B296,Seqs!$A:$B,2,0),AA296,1),"")</f>
        <v>R</v>
      </c>
      <c r="AA296" s="3">
        <v>160</v>
      </c>
      <c r="AB296" s="3" t="str">
        <f>IFERROR(MID(VLOOKUP($B296,Seqs!$A:$B,2,0),AC296,1),"")</f>
        <v>T</v>
      </c>
      <c r="AC296" s="3">
        <v>161</v>
      </c>
      <c r="AD296" s="3" t="str">
        <f>IFERROR(MID(VLOOKUP($B296,Seqs!$A:$B,2,0),AE296,1),"")</f>
        <v>A</v>
      </c>
      <c r="AE296" s="3">
        <v>187</v>
      </c>
      <c r="AF296" s="3" t="str">
        <f>IFERROR(MID(VLOOKUP($B296,Seqs!$A:$B,2,0),AG296,1),"")</f>
        <v>C</v>
      </c>
      <c r="AG296" s="3">
        <v>198</v>
      </c>
      <c r="AH296" s="3" t="str">
        <f>IFERROR(MID(VLOOKUP($B296,Seqs!$A:$B,2,0),AI296,1),"")</f>
        <v>L</v>
      </c>
      <c r="AI296" s="3">
        <v>200</v>
      </c>
      <c r="AJ296" s="3" t="str">
        <f>IFERROR(MID(VLOOKUP($B296,Seqs!$A:$B,2,0),AK296,1),"")</f>
        <v>S</v>
      </c>
      <c r="AK296" s="3">
        <v>206</v>
      </c>
      <c r="AL296" s="3" t="str">
        <f>IFERROR(MID(VLOOKUP($B296,Seqs!$A:$B,2,0),AM296,1),"")</f>
        <v>V</v>
      </c>
      <c r="AM296" s="3">
        <v>243</v>
      </c>
      <c r="AN296" s="3" t="str">
        <f>IFERROR(MID(VLOOKUP($B296,Seqs!$A:$B,2,0),AO296,1),"")</f>
        <v>S</v>
      </c>
      <c r="AO296" s="3">
        <v>249</v>
      </c>
      <c r="AP296" s="3" t="str">
        <f>IFERROR(MID(VLOOKUP($B296,Seqs!$A:$B,2,0),AQ296,1),"")</f>
        <v>V</v>
      </c>
      <c r="AQ296" s="3">
        <v>287</v>
      </c>
      <c r="AR296" s="3" t="str">
        <f>IFERROR(MID(VLOOKUP($B296,Seqs!$A:$B,2,0),AS296,1),"")</f>
        <v>D</v>
      </c>
      <c r="AS296" s="3">
        <v>293</v>
      </c>
      <c r="AT296" s="3" t="str">
        <f>IFERROR(MID(VLOOKUP($B296,Seqs!$A:$B,2,0),AU296,1),"")</f>
        <v>L</v>
      </c>
      <c r="AU296" s="3">
        <v>321</v>
      </c>
      <c r="AV296" s="3" t="str">
        <f>IFERROR(MID(VLOOKUP($B296,Seqs!$A:$B,2,0),AW296,1),"")</f>
        <v>D</v>
      </c>
      <c r="AW296" s="3">
        <v>322</v>
      </c>
      <c r="AX296" s="3" t="str">
        <f>IFERROR(MID(VLOOKUP($B296,Seqs!$A:$B,2,0),AY296,1),"")</f>
        <v>K</v>
      </c>
      <c r="AY296" s="3">
        <v>335</v>
      </c>
      <c r="AZ296" s="77" t="str">
        <f>VLOOKUP(B296,Classification!A:D,2,0)</f>
        <v>A</v>
      </c>
      <c r="BA296" s="94" t="str">
        <f>VLOOKUP(B296,Classification!A:D,4,0)</f>
        <v>Opioid</v>
      </c>
      <c r="BB296" s="27" t="b">
        <f t="shared" si="2208"/>
        <v>1</v>
      </c>
      <c r="BC296" s="23">
        <f t="shared" si="1957"/>
        <v>271</v>
      </c>
      <c r="BD296" s="56" t="s">
        <v>23</v>
      </c>
      <c r="BE296" s="3" t="s">
        <v>23</v>
      </c>
      <c r="BF296" s="118" t="s">
        <v>23</v>
      </c>
      <c r="BG296" s="49" t="s">
        <v>1368</v>
      </c>
      <c r="BH296" s="49" t="s">
        <v>1373</v>
      </c>
      <c r="BI296" s="1"/>
      <c r="BJ296" s="70" t="s">
        <v>1283</v>
      </c>
      <c r="BK296" s="57" t="s">
        <v>1283</v>
      </c>
      <c r="BL296" s="57" t="s">
        <v>1283</v>
      </c>
      <c r="BM296" s="57" t="s">
        <v>1283</v>
      </c>
      <c r="BN296" s="57" t="s">
        <v>1283</v>
      </c>
      <c r="BO296" s="57" t="s">
        <v>1283</v>
      </c>
      <c r="BP296" s="57" t="s">
        <v>1283</v>
      </c>
      <c r="BQ296" s="57" t="s">
        <v>1283</v>
      </c>
      <c r="BR296" s="57" t="s">
        <v>1283</v>
      </c>
      <c r="BS296" s="57" t="s">
        <v>1283</v>
      </c>
      <c r="BT296" s="57" t="s">
        <v>1283</v>
      </c>
      <c r="BU296" s="57" t="s">
        <v>1283</v>
      </c>
      <c r="BV296" s="70">
        <f t="shared" si="1958"/>
        <v>39</v>
      </c>
      <c r="BW296" s="71">
        <f t="shared" si="1959"/>
        <v>78</v>
      </c>
      <c r="BX296" s="72">
        <f t="shared" si="1960"/>
        <v>82</v>
      </c>
      <c r="BY296" s="71">
        <f t="shared" si="1961"/>
        <v>113</v>
      </c>
      <c r="BZ296" s="72">
        <f t="shared" si="1962"/>
        <v>117</v>
      </c>
      <c r="CA296" s="71">
        <f t="shared" si="1963"/>
        <v>153</v>
      </c>
      <c r="CB296" s="72">
        <f t="shared" si="1964"/>
        <v>161</v>
      </c>
      <c r="CC296" s="71">
        <f t="shared" si="1965"/>
        <v>198</v>
      </c>
      <c r="CD296" s="72">
        <f t="shared" si="1966"/>
        <v>206</v>
      </c>
      <c r="CE296" s="71">
        <f t="shared" si="1967"/>
        <v>249</v>
      </c>
      <c r="CF296" s="72">
        <f t="shared" si="1968"/>
        <v>293</v>
      </c>
      <c r="CG296" s="71">
        <f t="shared" si="1969"/>
        <v>322</v>
      </c>
      <c r="CH296" s="70">
        <f t="shared" si="1970"/>
        <v>77</v>
      </c>
      <c r="CI296" s="71">
        <f t="shared" si="1971"/>
        <v>81</v>
      </c>
      <c r="CJ296" s="72">
        <f t="shared" si="1972"/>
        <v>111</v>
      </c>
      <c r="CK296" s="72">
        <f t="shared" si="1973"/>
        <v>116</v>
      </c>
      <c r="CL296" s="72">
        <f t="shared" si="1974"/>
        <v>152</v>
      </c>
      <c r="CM296" s="72">
        <f t="shared" si="1975"/>
        <v>160</v>
      </c>
      <c r="CN296" s="72">
        <f t="shared" si="1976"/>
        <v>187</v>
      </c>
      <c r="CO296" s="72">
        <f t="shared" si="1977"/>
        <v>200</v>
      </c>
      <c r="CP296" s="72">
        <f t="shared" si="1978"/>
        <v>243</v>
      </c>
      <c r="CQ296" s="72">
        <f t="shared" si="1979"/>
        <v>287</v>
      </c>
      <c r="CR296" s="72">
        <f t="shared" si="1980"/>
        <v>321</v>
      </c>
      <c r="CS296" s="72">
        <f t="shared" si="1981"/>
        <v>335</v>
      </c>
      <c r="CT296" s="23">
        <f t="shared" si="1982"/>
        <v>1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30" x14ac:dyDescent="0.2">
      <c r="A297" s="3" t="str">
        <f t="shared" si="2207"/>
        <v>oprd_human_4N6H</v>
      </c>
      <c r="B297" s="3" t="s">
        <v>334</v>
      </c>
      <c r="C297" s="3" t="s">
        <v>87</v>
      </c>
      <c r="D297" s="3" t="str">
        <f>IFERROR(MID(VLOOKUP($B297,Seqs!$A:$B,2,0),E297,1),"")</f>
        <v>G</v>
      </c>
      <c r="E297" s="3">
        <v>39</v>
      </c>
      <c r="F297" s="3" t="str">
        <f>IFERROR(MID(VLOOKUP($B297,Seqs!$A:$B,2,0),G297,1),"")</f>
        <v>Y</v>
      </c>
      <c r="G297" s="3">
        <v>77</v>
      </c>
      <c r="H297" s="3" t="str">
        <f>IFERROR(MID(VLOOKUP($B297,Seqs!$A:$B,2,0),I297,1),"")</f>
        <v>T</v>
      </c>
      <c r="I297" s="23">
        <v>78</v>
      </c>
      <c r="J297" s="3" t="str">
        <f>IFERROR(MID(VLOOKUP($B297,Seqs!$A:$B,2,0),K297,1),"")</f>
        <v>K</v>
      </c>
      <c r="K297" s="23">
        <v>81</v>
      </c>
      <c r="L297" s="3" t="str">
        <f>IFERROR(MID(VLOOKUP($B297,Seqs!$A:$B,2,0),M297,1),"")</f>
        <v>T</v>
      </c>
      <c r="M297" s="3">
        <v>82</v>
      </c>
      <c r="N297" s="3" t="str">
        <f>IFERROR(MID(VLOOKUP($B297,Seqs!$A:$B,2,0),O297,1),"")</f>
        <v>M</v>
      </c>
      <c r="O297" s="3">
        <v>111</v>
      </c>
      <c r="P297" s="3" t="str">
        <f>IFERROR(MID(VLOOKUP($B297,Seqs!$A:$B,2,0),Q297,1),"")</f>
        <v>T</v>
      </c>
      <c r="Q297" s="3">
        <v>113</v>
      </c>
      <c r="R297" s="3" t="str">
        <f>IFERROR(MID(VLOOKUP($B297,Seqs!$A:$B,2,0),S297,1),"")</f>
        <v>F</v>
      </c>
      <c r="S297" s="3">
        <v>116</v>
      </c>
      <c r="T297" s="3" t="str">
        <f>IFERROR(MID(VLOOKUP($B297,Seqs!$A:$B,2,0),U297,1),"")</f>
        <v>G</v>
      </c>
      <c r="U297" s="3">
        <v>117</v>
      </c>
      <c r="V297" s="3" t="str">
        <f>IFERROR(MID(VLOOKUP($B297,Seqs!$A:$B,2,0),W297,1),"")</f>
        <v>H</v>
      </c>
      <c r="W297" s="3">
        <v>152</v>
      </c>
      <c r="X297" s="3" t="str">
        <f>IFERROR(MID(VLOOKUP($B297,Seqs!$A:$B,2,0),Y297,1),"")</f>
        <v>P</v>
      </c>
      <c r="Y297" s="3">
        <v>153</v>
      </c>
      <c r="Z297" s="3" t="str">
        <f>IFERROR(MID(VLOOKUP($B297,Seqs!$A:$B,2,0),AA297,1),"")</f>
        <v>R</v>
      </c>
      <c r="AA297" s="3">
        <v>160</v>
      </c>
      <c r="AB297" s="3" t="str">
        <f>IFERROR(MID(VLOOKUP($B297,Seqs!$A:$B,2,0),AC297,1),"")</f>
        <v>T</v>
      </c>
      <c r="AC297" s="3">
        <v>161</v>
      </c>
      <c r="AD297" s="3" t="str">
        <f>IFERROR(MID(VLOOKUP($B297,Seqs!$A:$B,2,0),AE297,1),"")</f>
        <v>A</v>
      </c>
      <c r="AE297" s="3">
        <v>187</v>
      </c>
      <c r="AF297" s="3" t="str">
        <f>IFERROR(MID(VLOOKUP($B297,Seqs!$A:$B,2,0),AG297,1),"")</f>
        <v>C</v>
      </c>
      <c r="AG297" s="3">
        <v>198</v>
      </c>
      <c r="AH297" s="3" t="str">
        <f>IFERROR(MID(VLOOKUP($B297,Seqs!$A:$B,2,0),AI297,1),"")</f>
        <v>L</v>
      </c>
      <c r="AI297" s="3">
        <v>200</v>
      </c>
      <c r="AJ297" s="3" t="str">
        <f>IFERROR(MID(VLOOKUP($B297,Seqs!$A:$B,2,0),AK297,1),"")</f>
        <v>S</v>
      </c>
      <c r="AK297" s="3">
        <v>206</v>
      </c>
      <c r="AL297" s="3" t="str">
        <f>IFERROR(MID(VLOOKUP($B297,Seqs!$A:$B,2,0),AM297,1),"")</f>
        <v>V</v>
      </c>
      <c r="AM297" s="3">
        <v>243</v>
      </c>
      <c r="AN297" s="3" t="str">
        <f>IFERROR(MID(VLOOKUP($B297,Seqs!$A:$B,2,0),AO297,1),"")</f>
        <v>S</v>
      </c>
      <c r="AO297" s="3">
        <v>249</v>
      </c>
      <c r="AP297" s="3" t="str">
        <f>IFERROR(MID(VLOOKUP($B297,Seqs!$A:$B,2,0),AQ297,1),"")</f>
        <v>V</v>
      </c>
      <c r="AQ297" s="3">
        <v>287</v>
      </c>
      <c r="AR297" s="3" t="str">
        <f>IFERROR(MID(VLOOKUP($B297,Seqs!$A:$B,2,0),AS297,1),"")</f>
        <v>D</v>
      </c>
      <c r="AS297" s="3">
        <v>293</v>
      </c>
      <c r="AT297" s="3" t="str">
        <f>IFERROR(MID(VLOOKUP($B297,Seqs!$A:$B,2,0),AU297,1),"")</f>
        <v>L</v>
      </c>
      <c r="AU297" s="3">
        <v>321</v>
      </c>
      <c r="AV297" s="3" t="str">
        <f>IFERROR(MID(VLOOKUP($B297,Seqs!$A:$B,2,0),AW297,1),"")</f>
        <v>D</v>
      </c>
      <c r="AW297" s="3">
        <v>322</v>
      </c>
      <c r="AX297" s="3" t="str">
        <f>IFERROR(MID(VLOOKUP($B297,Seqs!$A:$B,2,0),AY297,1),"")</f>
        <v>K</v>
      </c>
      <c r="AY297" s="3">
        <v>335</v>
      </c>
      <c r="AZ297" s="77" t="str">
        <f>VLOOKUP(B297,Classification!A:D,2,0)</f>
        <v>A</v>
      </c>
      <c r="BA297" s="94" t="str">
        <f>VLOOKUP(B297,Classification!A:D,4,0)</f>
        <v>Opioid</v>
      </c>
      <c r="BB297" s="27" t="b">
        <f t="shared" si="2208"/>
        <v>1</v>
      </c>
      <c r="BC297" s="23">
        <f t="shared" si="1957"/>
        <v>271</v>
      </c>
      <c r="BD297" s="16" t="s">
        <v>1372</v>
      </c>
      <c r="BE297" s="3" t="s">
        <v>1370</v>
      </c>
      <c r="BF297" s="118">
        <v>1.8</v>
      </c>
      <c r="BG297" s="49" t="s">
        <v>1373</v>
      </c>
      <c r="BH297" s="49" t="s">
        <v>1373</v>
      </c>
      <c r="BJ297" s="70" t="s">
        <v>1283</v>
      </c>
      <c r="BK297" s="57" t="s">
        <v>1283</v>
      </c>
      <c r="BL297" s="57" t="s">
        <v>1283</v>
      </c>
      <c r="BM297" s="57" t="s">
        <v>1283</v>
      </c>
      <c r="BN297" s="57" t="s">
        <v>1283</v>
      </c>
      <c r="BO297" s="57" t="s">
        <v>1283</v>
      </c>
      <c r="BP297" s="57" t="s">
        <v>1283</v>
      </c>
      <c r="BQ297" s="57" t="s">
        <v>1283</v>
      </c>
      <c r="BR297" s="57" t="s">
        <v>1283</v>
      </c>
      <c r="BS297" s="57" t="s">
        <v>1283</v>
      </c>
      <c r="BT297" s="57" t="s">
        <v>1283</v>
      </c>
      <c r="BU297" s="57" t="s">
        <v>1283</v>
      </c>
      <c r="BV297" s="70">
        <f t="shared" si="1958"/>
        <v>39</v>
      </c>
      <c r="BW297" s="71">
        <f t="shared" si="1959"/>
        <v>78</v>
      </c>
      <c r="BX297" s="72">
        <f t="shared" si="1960"/>
        <v>82</v>
      </c>
      <c r="BY297" s="71">
        <f t="shared" si="1961"/>
        <v>113</v>
      </c>
      <c r="BZ297" s="72">
        <f t="shared" si="1962"/>
        <v>117</v>
      </c>
      <c r="CA297" s="71">
        <f t="shared" si="1963"/>
        <v>153</v>
      </c>
      <c r="CB297" s="72">
        <f t="shared" si="1964"/>
        <v>161</v>
      </c>
      <c r="CC297" s="71">
        <f t="shared" si="1965"/>
        <v>198</v>
      </c>
      <c r="CD297" s="72">
        <f t="shared" si="1966"/>
        <v>206</v>
      </c>
      <c r="CE297" s="71">
        <f t="shared" si="1967"/>
        <v>249</v>
      </c>
      <c r="CF297" s="72">
        <f t="shared" si="1968"/>
        <v>293</v>
      </c>
      <c r="CG297" s="71">
        <f t="shared" si="1969"/>
        <v>322</v>
      </c>
      <c r="CH297" s="70">
        <f t="shared" si="1970"/>
        <v>77</v>
      </c>
      <c r="CI297" s="71">
        <f t="shared" si="1971"/>
        <v>81</v>
      </c>
      <c r="CJ297" s="72">
        <f t="shared" si="1972"/>
        <v>111</v>
      </c>
      <c r="CK297" s="72">
        <f t="shared" si="1973"/>
        <v>116</v>
      </c>
      <c r="CL297" s="72">
        <f t="shared" si="1974"/>
        <v>152</v>
      </c>
      <c r="CM297" s="72">
        <f t="shared" si="1975"/>
        <v>160</v>
      </c>
      <c r="CN297" s="72">
        <f t="shared" si="1976"/>
        <v>187</v>
      </c>
      <c r="CO297" s="72">
        <f t="shared" si="1977"/>
        <v>200</v>
      </c>
      <c r="CP297" s="72">
        <f t="shared" si="1978"/>
        <v>243</v>
      </c>
      <c r="CQ297" s="72">
        <f t="shared" si="1979"/>
        <v>287</v>
      </c>
      <c r="CR297" s="72">
        <f t="shared" si="1980"/>
        <v>321</v>
      </c>
      <c r="CS297" s="72">
        <f t="shared" si="1981"/>
        <v>335</v>
      </c>
      <c r="CT297" s="23">
        <f t="shared" si="1982"/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s="2" customFormat="1" x14ac:dyDescent="0.2">
      <c r="A298" s="3" t="str">
        <f t="shared" si="2207"/>
        <v>oprd_human_4RWD</v>
      </c>
      <c r="B298" s="1" t="s">
        <v>334</v>
      </c>
      <c r="C298" s="1" t="s">
        <v>1334</v>
      </c>
      <c r="D298" s="3" t="str">
        <f>IFERROR(MID(VLOOKUP($B298,Seqs!$A:$B,2,0),E298,1),"")</f>
        <v>A</v>
      </c>
      <c r="E298" s="3">
        <v>43</v>
      </c>
      <c r="F298" s="3" t="str">
        <f>IFERROR(MID(VLOOKUP($B298,Seqs!$A:$B,2,0),G298,1),"")</f>
        <v>Y</v>
      </c>
      <c r="G298" s="3">
        <v>77</v>
      </c>
      <c r="H298" s="3" t="str">
        <f>IFERROR(MID(VLOOKUP($B298,Seqs!$A:$B,2,0),I298,1),"")</f>
        <v>T</v>
      </c>
      <c r="I298" s="23">
        <v>78</v>
      </c>
      <c r="J298" s="3" t="str">
        <f>IFERROR(MID(VLOOKUP($B298,Seqs!$A:$B,2,0),K298,1),"")</f>
        <v>K</v>
      </c>
      <c r="K298" s="23">
        <v>81</v>
      </c>
      <c r="L298" s="3" t="str">
        <f>IFERROR(MID(VLOOKUP($B298,Seqs!$A:$B,2,0),M298,1),"")</f>
        <v>T</v>
      </c>
      <c r="M298" s="3">
        <v>82</v>
      </c>
      <c r="N298" s="3" t="str">
        <f>IFERROR(MID(VLOOKUP($B298,Seqs!$A:$B,2,0),O298,1),"")</f>
        <v>M</v>
      </c>
      <c r="O298" s="3">
        <v>111</v>
      </c>
      <c r="P298" s="3" t="str">
        <f>IFERROR(MID(VLOOKUP($B298,Seqs!$A:$B,2,0),Q298,1),"")</f>
        <v>T</v>
      </c>
      <c r="Q298" s="3">
        <v>113</v>
      </c>
      <c r="R298" s="3" t="str">
        <f>IFERROR(MID(VLOOKUP($B298,Seqs!$A:$B,2,0),S298,1),"")</f>
        <v>F</v>
      </c>
      <c r="S298" s="3">
        <v>116</v>
      </c>
      <c r="T298" s="3" t="str">
        <f>IFERROR(MID(VLOOKUP($B298,Seqs!$A:$B,2,0),U298,1),"")</f>
        <v>G</v>
      </c>
      <c r="U298" s="3">
        <v>117</v>
      </c>
      <c r="V298" s="3" t="str">
        <f>IFERROR(MID(VLOOKUP($B298,Seqs!$A:$B,2,0),W298,1),"")</f>
        <v>H</v>
      </c>
      <c r="W298" s="3">
        <v>152</v>
      </c>
      <c r="X298" s="3" t="str">
        <f>IFERROR(MID(VLOOKUP($B298,Seqs!$A:$B,2,0),Y298,1),"")</f>
        <v>P</v>
      </c>
      <c r="Y298" s="3">
        <v>153</v>
      </c>
      <c r="Z298" s="3" t="str">
        <f>IFERROR(MID(VLOOKUP($B298,Seqs!$A:$B,2,0),AA298,1),"")</f>
        <v>R</v>
      </c>
      <c r="AA298" s="3">
        <v>160</v>
      </c>
      <c r="AB298" s="3" t="str">
        <f>IFERROR(MID(VLOOKUP($B298,Seqs!$A:$B,2,0),AC298,1),"")</f>
        <v>T</v>
      </c>
      <c r="AC298" s="3">
        <v>161</v>
      </c>
      <c r="AD298" s="3" t="str">
        <f>IFERROR(MID(VLOOKUP($B298,Seqs!$A:$B,2,0),AE298,1),"")</f>
        <v>A</v>
      </c>
      <c r="AE298" s="3">
        <v>187</v>
      </c>
      <c r="AF298" s="3" t="str">
        <f>IFERROR(MID(VLOOKUP($B298,Seqs!$A:$B,2,0),AG298,1),"")</f>
        <v>C</v>
      </c>
      <c r="AG298" s="3">
        <v>198</v>
      </c>
      <c r="AH298" s="3" t="str">
        <f>IFERROR(MID(VLOOKUP($B298,Seqs!$A:$B,2,0),AI298,1),"")</f>
        <v>L</v>
      </c>
      <c r="AI298" s="3">
        <v>200</v>
      </c>
      <c r="AJ298" s="3" t="str">
        <f>IFERROR(MID(VLOOKUP($B298,Seqs!$A:$B,2,0),AK298,1),"")</f>
        <v>S</v>
      </c>
      <c r="AK298" s="3">
        <v>206</v>
      </c>
      <c r="AL298" s="3" t="str">
        <f>IFERROR(MID(VLOOKUP($B298,Seqs!$A:$B,2,0),AM298,1),"")</f>
        <v>V</v>
      </c>
      <c r="AM298" s="3">
        <v>243</v>
      </c>
      <c r="AN298" s="3" t="str">
        <f>IFERROR(MID(VLOOKUP($B298,Seqs!$A:$B,2,0),AO298,1),"")</f>
        <v>S</v>
      </c>
      <c r="AO298" s="3">
        <v>249</v>
      </c>
      <c r="AP298" s="3" t="str">
        <f>IFERROR(MID(VLOOKUP($B298,Seqs!$A:$B,2,0),AQ298,1),"")</f>
        <v>V</v>
      </c>
      <c r="AQ298" s="3">
        <v>287</v>
      </c>
      <c r="AR298" s="3" t="str">
        <f>IFERROR(MID(VLOOKUP($B298,Seqs!$A:$B,2,0),AS298,1),"")</f>
        <v>D</v>
      </c>
      <c r="AS298" s="3">
        <v>293</v>
      </c>
      <c r="AT298" s="3" t="str">
        <f>IFERROR(MID(VLOOKUP($B298,Seqs!$A:$B,2,0),AU298,1),"")</f>
        <v>L</v>
      </c>
      <c r="AU298" s="3">
        <v>321</v>
      </c>
      <c r="AV298" s="3" t="str">
        <f>IFERROR(MID(VLOOKUP($B298,Seqs!$A:$B,2,0),AW298,1),"")</f>
        <v>D</v>
      </c>
      <c r="AW298" s="3">
        <v>322</v>
      </c>
      <c r="AX298" s="3" t="str">
        <f>IFERROR(MID(VLOOKUP($B298,Seqs!$A:$B,2,0),AY298,1),"")</f>
        <v>C</v>
      </c>
      <c r="AY298" s="3">
        <v>333</v>
      </c>
      <c r="AZ298" s="77" t="str">
        <f>VLOOKUP(B298,Classification!A:D,2,0)</f>
        <v>A</v>
      </c>
      <c r="BA298" s="94" t="str">
        <f>VLOOKUP(B298,Classification!A:D,4,0)</f>
        <v>Opioid</v>
      </c>
      <c r="BB298" s="27" t="b">
        <f t="shared" si="2208"/>
        <v>1</v>
      </c>
      <c r="BC298" s="23">
        <f t="shared" si="1957"/>
        <v>265</v>
      </c>
      <c r="BD298" s="16" t="s">
        <v>23</v>
      </c>
      <c r="BE298" s="3" t="s">
        <v>1370</v>
      </c>
      <c r="BF298" s="118">
        <v>2.7</v>
      </c>
      <c r="BG298" s="49" t="s">
        <v>1373</v>
      </c>
      <c r="BH298" s="49" t="s">
        <v>1373</v>
      </c>
      <c r="BI298" s="3"/>
      <c r="BJ298" s="70" t="s">
        <v>1283</v>
      </c>
      <c r="BK298" s="57" t="s">
        <v>1283</v>
      </c>
      <c r="BL298" s="57" t="s">
        <v>1283</v>
      </c>
      <c r="BM298" s="57" t="s">
        <v>1283</v>
      </c>
      <c r="BN298" s="57" t="s">
        <v>1283</v>
      </c>
      <c r="BO298" s="57" t="s">
        <v>1283</v>
      </c>
      <c r="BP298" s="57" t="s">
        <v>1283</v>
      </c>
      <c r="BQ298" s="57" t="s">
        <v>1283</v>
      </c>
      <c r="BR298" s="57" t="s">
        <v>1283</v>
      </c>
      <c r="BS298" s="57" t="s">
        <v>1283</v>
      </c>
      <c r="BT298" s="57" t="s">
        <v>1283</v>
      </c>
      <c r="BU298" s="57" t="s">
        <v>1283</v>
      </c>
      <c r="BV298" s="70">
        <f t="shared" si="1958"/>
        <v>43</v>
      </c>
      <c r="BW298" s="71">
        <f t="shared" si="1959"/>
        <v>78</v>
      </c>
      <c r="BX298" s="72">
        <f t="shared" si="1960"/>
        <v>82</v>
      </c>
      <c r="BY298" s="71">
        <f t="shared" si="1961"/>
        <v>113</v>
      </c>
      <c r="BZ298" s="72">
        <f t="shared" si="1962"/>
        <v>117</v>
      </c>
      <c r="CA298" s="71">
        <f t="shared" si="1963"/>
        <v>153</v>
      </c>
      <c r="CB298" s="72">
        <f t="shared" si="1964"/>
        <v>161</v>
      </c>
      <c r="CC298" s="71">
        <f t="shared" si="1965"/>
        <v>198</v>
      </c>
      <c r="CD298" s="72">
        <f t="shared" si="1966"/>
        <v>206</v>
      </c>
      <c r="CE298" s="71">
        <f t="shared" si="1967"/>
        <v>249</v>
      </c>
      <c r="CF298" s="72">
        <f t="shared" si="1968"/>
        <v>293</v>
      </c>
      <c r="CG298" s="71">
        <f t="shared" si="1969"/>
        <v>322</v>
      </c>
      <c r="CH298" s="70">
        <f t="shared" si="1970"/>
        <v>77</v>
      </c>
      <c r="CI298" s="71">
        <f t="shared" si="1971"/>
        <v>81</v>
      </c>
      <c r="CJ298" s="72">
        <f t="shared" si="1972"/>
        <v>111</v>
      </c>
      <c r="CK298" s="72">
        <f t="shared" si="1973"/>
        <v>116</v>
      </c>
      <c r="CL298" s="72">
        <f t="shared" si="1974"/>
        <v>152</v>
      </c>
      <c r="CM298" s="72">
        <f t="shared" si="1975"/>
        <v>160</v>
      </c>
      <c r="CN298" s="72">
        <f t="shared" si="1976"/>
        <v>187</v>
      </c>
      <c r="CO298" s="72">
        <f t="shared" si="1977"/>
        <v>200</v>
      </c>
      <c r="CP298" s="72">
        <f t="shared" si="1978"/>
        <v>243</v>
      </c>
      <c r="CQ298" s="72">
        <f t="shared" si="1979"/>
        <v>287</v>
      </c>
      <c r="CR298" s="72">
        <f t="shared" si="1980"/>
        <v>321</v>
      </c>
      <c r="CS298" s="72">
        <f t="shared" si="1981"/>
        <v>333</v>
      </c>
      <c r="CT298" s="23">
        <f t="shared" si="1982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</row>
    <row r="299" spans="1:1030" s="2" customFormat="1" x14ac:dyDescent="0.2">
      <c r="A299" s="3" t="str">
        <f t="shared" si="2207"/>
        <v>oprd_mouse__wt</v>
      </c>
      <c r="B299" s="3" t="s">
        <v>911</v>
      </c>
      <c r="C299" s="3" t="s">
        <v>100</v>
      </c>
      <c r="D299" s="3" t="str">
        <f>IFERROR(MID(VLOOKUP($B299,Seqs!$A:$B,2,0),E299,1),"")</f>
        <v>R</v>
      </c>
      <c r="E299" s="3">
        <v>41</v>
      </c>
      <c r="F299" s="3" t="str">
        <f>IFERROR(MID(VLOOKUP($B299,Seqs!$A:$B,2,0),G299,1),"")</f>
        <v>Y</v>
      </c>
      <c r="G299" s="3">
        <v>77</v>
      </c>
      <c r="H299" s="3" t="str">
        <f>IFERROR(MID(VLOOKUP($B299,Seqs!$A:$B,2,0),I299,1),"")</f>
        <v>T</v>
      </c>
      <c r="I299" s="23">
        <v>78</v>
      </c>
      <c r="J299" s="3" t="str">
        <f>IFERROR(MID(VLOOKUP($B299,Seqs!$A:$B,2,0),K299,1),"")</f>
        <v>K</v>
      </c>
      <c r="K299" s="23">
        <v>81</v>
      </c>
      <c r="L299" s="3" t="str">
        <f>IFERROR(MID(VLOOKUP($B299,Seqs!$A:$B,2,0),M299,1),"")</f>
        <v>T</v>
      </c>
      <c r="M299" s="3">
        <v>82</v>
      </c>
      <c r="N299" s="3" t="str">
        <f>IFERROR(MID(VLOOKUP($B299,Seqs!$A:$B,2,0),O299,1),"")</f>
        <v>M</v>
      </c>
      <c r="O299" s="3">
        <v>111</v>
      </c>
      <c r="P299" s="3" t="str">
        <f>IFERROR(MID(VLOOKUP($B299,Seqs!$A:$B,2,0),Q299,1),"")</f>
        <v>T</v>
      </c>
      <c r="Q299" s="3">
        <v>113</v>
      </c>
      <c r="R299" s="3" t="str">
        <f>IFERROR(MID(VLOOKUP($B299,Seqs!$A:$B,2,0),S299,1),"")</f>
        <v>F</v>
      </c>
      <c r="S299" s="3">
        <v>116</v>
      </c>
      <c r="T299" s="3" t="str">
        <f>IFERROR(MID(VLOOKUP($B299,Seqs!$A:$B,2,0),U299,1),"")</f>
        <v>G</v>
      </c>
      <c r="U299" s="3">
        <v>117</v>
      </c>
      <c r="V299" s="3" t="str">
        <f>IFERROR(MID(VLOOKUP($B299,Seqs!$A:$B,2,0),W299,1),"")</f>
        <v>H</v>
      </c>
      <c r="W299" s="3">
        <v>152</v>
      </c>
      <c r="X299" s="3" t="str">
        <f>IFERROR(MID(VLOOKUP($B299,Seqs!$A:$B,2,0),Y299,1),"")</f>
        <v>P</v>
      </c>
      <c r="Y299" s="3">
        <v>153</v>
      </c>
      <c r="Z299" s="3" t="str">
        <f>IFERROR(MID(VLOOKUP($B299,Seqs!$A:$B,2,0),AA299,1),"")</f>
        <v>R</v>
      </c>
      <c r="AA299" s="3">
        <v>160</v>
      </c>
      <c r="AB299" s="3" t="str">
        <f>IFERROR(MID(VLOOKUP($B299,Seqs!$A:$B,2,0),AC299,1),"")</f>
        <v>T</v>
      </c>
      <c r="AC299" s="3">
        <v>161</v>
      </c>
      <c r="AD299" s="3" t="str">
        <f>IFERROR(MID(VLOOKUP($B299,Seqs!$A:$B,2,0),AE299,1),"")</f>
        <v>A</v>
      </c>
      <c r="AE299" s="3">
        <v>187</v>
      </c>
      <c r="AF299" s="3" t="str">
        <f>IFERROR(MID(VLOOKUP($B299,Seqs!$A:$B,2,0),AG299,1),"")</f>
        <v>C</v>
      </c>
      <c r="AG299" s="3">
        <v>198</v>
      </c>
      <c r="AH299" s="3" t="str">
        <f>IFERROR(MID(VLOOKUP($B299,Seqs!$A:$B,2,0),AI299,1),"")</f>
        <v>L</v>
      </c>
      <c r="AI299" s="3">
        <v>200</v>
      </c>
      <c r="AJ299" s="3" t="str">
        <f>IFERROR(MID(VLOOKUP($B299,Seqs!$A:$B,2,0),AK299,1),"")</f>
        <v>S</v>
      </c>
      <c r="AK299" s="3">
        <v>206</v>
      </c>
      <c r="AL299" s="3" t="str">
        <f>IFERROR(MID(VLOOKUP($B299,Seqs!$A:$B,2,0),AM299,1),"")</f>
        <v>V</v>
      </c>
      <c r="AM299" s="3">
        <v>243</v>
      </c>
      <c r="AN299" s="3" t="str">
        <f>IFERROR(MID(VLOOKUP($B299,Seqs!$A:$B,2,0),AO299,1),"")</f>
        <v>S</v>
      </c>
      <c r="AO299" s="3">
        <v>249</v>
      </c>
      <c r="AP299" s="3" t="str">
        <f>IFERROR(MID(VLOOKUP($B299,Seqs!$A:$B,2,0),AQ299,1),"")</f>
        <v>V</v>
      </c>
      <c r="AQ299" s="3">
        <v>287</v>
      </c>
      <c r="AR299" s="3" t="str">
        <f>IFERROR(MID(VLOOKUP($B299,Seqs!$A:$B,2,0),AS299,1),"")</f>
        <v>D</v>
      </c>
      <c r="AS299" s="3">
        <v>293</v>
      </c>
      <c r="AT299" s="3" t="str">
        <f>IFERROR(MID(VLOOKUP($B299,Seqs!$A:$B,2,0),AU299,1),"")</f>
        <v>L</v>
      </c>
      <c r="AU299" s="3">
        <v>321</v>
      </c>
      <c r="AV299" s="3" t="str">
        <f>IFERROR(MID(VLOOKUP($B299,Seqs!$A:$B,2,0),AW299,1),"")</f>
        <v>D</v>
      </c>
      <c r="AW299" s="3">
        <v>322</v>
      </c>
      <c r="AX299" s="3" t="str">
        <f>IFERROR(MID(VLOOKUP($B299,Seqs!$A:$B,2,0),AY299,1),"")</f>
        <v>T</v>
      </c>
      <c r="AY299" s="3">
        <v>335</v>
      </c>
      <c r="AZ299" s="77" t="str">
        <f>VLOOKUP(B299,Classification!A:D,2,0)</f>
        <v>A</v>
      </c>
      <c r="BA299" s="94" t="str">
        <f>VLOOKUP(B299,Classification!A:D,4,0)</f>
        <v>Opioid</v>
      </c>
      <c r="BB299" s="27" t="b">
        <f t="shared" si="2208"/>
        <v>1</v>
      </c>
      <c r="BC299" s="23">
        <f t="shared" si="1957"/>
        <v>269</v>
      </c>
      <c r="BD299" s="56" t="s">
        <v>23</v>
      </c>
      <c r="BE299" s="3" t="s">
        <v>23</v>
      </c>
      <c r="BF299" s="118" t="s">
        <v>23</v>
      </c>
      <c r="BG299" s="49" t="s">
        <v>1368</v>
      </c>
      <c r="BH299" s="49" t="s">
        <v>1373</v>
      </c>
      <c r="BI299" s="1"/>
      <c r="BJ299" s="70" t="s">
        <v>1283</v>
      </c>
      <c r="BK299" s="57" t="s">
        <v>1283</v>
      </c>
      <c r="BL299" s="57" t="s">
        <v>1283</v>
      </c>
      <c r="BM299" s="57" t="s">
        <v>1283</v>
      </c>
      <c r="BN299" s="57" t="s">
        <v>1283</v>
      </c>
      <c r="BO299" s="57" t="s">
        <v>1283</v>
      </c>
      <c r="BP299" s="57" t="s">
        <v>1283</v>
      </c>
      <c r="BQ299" s="57" t="s">
        <v>1283</v>
      </c>
      <c r="BR299" s="57" t="s">
        <v>1283</v>
      </c>
      <c r="BS299" s="57" t="s">
        <v>1283</v>
      </c>
      <c r="BT299" s="57" t="s">
        <v>1283</v>
      </c>
      <c r="BU299" s="57" t="s">
        <v>1283</v>
      </c>
      <c r="BV299" s="70">
        <f t="shared" si="1958"/>
        <v>41</v>
      </c>
      <c r="BW299" s="71">
        <f t="shared" si="1959"/>
        <v>78</v>
      </c>
      <c r="BX299" s="72">
        <f t="shared" si="1960"/>
        <v>82</v>
      </c>
      <c r="BY299" s="71">
        <f t="shared" si="1961"/>
        <v>113</v>
      </c>
      <c r="BZ299" s="72">
        <f t="shared" si="1962"/>
        <v>117</v>
      </c>
      <c r="CA299" s="71">
        <f t="shared" si="1963"/>
        <v>153</v>
      </c>
      <c r="CB299" s="72">
        <f t="shared" si="1964"/>
        <v>161</v>
      </c>
      <c r="CC299" s="71">
        <f t="shared" si="1965"/>
        <v>198</v>
      </c>
      <c r="CD299" s="72">
        <f t="shared" si="1966"/>
        <v>206</v>
      </c>
      <c r="CE299" s="71">
        <f t="shared" si="1967"/>
        <v>249</v>
      </c>
      <c r="CF299" s="72">
        <f t="shared" si="1968"/>
        <v>293</v>
      </c>
      <c r="CG299" s="71">
        <f t="shared" si="1969"/>
        <v>322</v>
      </c>
      <c r="CH299" s="70">
        <f t="shared" si="1970"/>
        <v>77</v>
      </c>
      <c r="CI299" s="71">
        <f t="shared" si="1971"/>
        <v>81</v>
      </c>
      <c r="CJ299" s="72">
        <f t="shared" si="1972"/>
        <v>111</v>
      </c>
      <c r="CK299" s="72">
        <f t="shared" si="1973"/>
        <v>116</v>
      </c>
      <c r="CL299" s="72">
        <f t="shared" si="1974"/>
        <v>152</v>
      </c>
      <c r="CM299" s="72">
        <f t="shared" si="1975"/>
        <v>160</v>
      </c>
      <c r="CN299" s="72">
        <f t="shared" si="1976"/>
        <v>187</v>
      </c>
      <c r="CO299" s="72">
        <f t="shared" si="1977"/>
        <v>200</v>
      </c>
      <c r="CP299" s="72">
        <f t="shared" si="1978"/>
        <v>243</v>
      </c>
      <c r="CQ299" s="72">
        <f t="shared" si="1979"/>
        <v>287</v>
      </c>
      <c r="CR299" s="72">
        <f t="shared" si="1980"/>
        <v>321</v>
      </c>
      <c r="CS299" s="72">
        <f t="shared" si="1981"/>
        <v>335</v>
      </c>
      <c r="CT299" s="23">
        <f t="shared" si="1982"/>
        <v>1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</row>
    <row r="300" spans="1:1030" s="2" customFormat="1" x14ac:dyDescent="0.2">
      <c r="A300" s="3" t="str">
        <f t="shared" si="2207"/>
        <v>oprd_mouse_4EJ4</v>
      </c>
      <c r="B300" s="3" t="s">
        <v>911</v>
      </c>
      <c r="C300" s="3" t="s">
        <v>64</v>
      </c>
      <c r="D300" s="3" t="str">
        <f>IFERROR(MID(VLOOKUP($B300,Seqs!$A:$B,2,0),E300,1),"")</f>
        <v>R</v>
      </c>
      <c r="E300" s="3">
        <v>41</v>
      </c>
      <c r="F300" s="3" t="str">
        <f>IFERROR(MID(VLOOKUP($B300,Seqs!$A:$B,2,0),G300,1),"")</f>
        <v>Y</v>
      </c>
      <c r="G300" s="3">
        <v>77</v>
      </c>
      <c r="H300" s="3" t="str">
        <f>IFERROR(MID(VLOOKUP($B300,Seqs!$A:$B,2,0),I300,1),"")</f>
        <v>T</v>
      </c>
      <c r="I300" s="23">
        <v>78</v>
      </c>
      <c r="J300" s="3" t="str">
        <f>IFERROR(MID(VLOOKUP($B300,Seqs!$A:$B,2,0),K300,1),"")</f>
        <v>K</v>
      </c>
      <c r="K300" s="23">
        <v>81</v>
      </c>
      <c r="L300" s="3" t="str">
        <f>IFERROR(MID(VLOOKUP($B300,Seqs!$A:$B,2,0),M300,1),"")</f>
        <v>T</v>
      </c>
      <c r="M300" s="3">
        <v>82</v>
      </c>
      <c r="N300" s="3" t="str">
        <f>IFERROR(MID(VLOOKUP($B300,Seqs!$A:$B,2,0),O300,1),"")</f>
        <v>M</v>
      </c>
      <c r="O300" s="3">
        <v>111</v>
      </c>
      <c r="P300" s="3" t="str">
        <f>IFERROR(MID(VLOOKUP($B300,Seqs!$A:$B,2,0),Q300,1),"")</f>
        <v>T</v>
      </c>
      <c r="Q300" s="3">
        <v>113</v>
      </c>
      <c r="R300" s="3" t="str">
        <f>IFERROR(MID(VLOOKUP($B300,Seqs!$A:$B,2,0),S300,1),"")</f>
        <v>F</v>
      </c>
      <c r="S300" s="3">
        <v>116</v>
      </c>
      <c r="T300" s="3" t="str">
        <f>IFERROR(MID(VLOOKUP($B300,Seqs!$A:$B,2,0),U300,1),"")</f>
        <v>G</v>
      </c>
      <c r="U300" s="3">
        <v>117</v>
      </c>
      <c r="V300" s="3" t="str">
        <f>IFERROR(MID(VLOOKUP($B300,Seqs!$A:$B,2,0),W300,1),"")</f>
        <v>H</v>
      </c>
      <c r="W300" s="3">
        <v>152</v>
      </c>
      <c r="X300" s="3" t="str">
        <f>IFERROR(MID(VLOOKUP($B300,Seqs!$A:$B,2,0),Y300,1),"")</f>
        <v>P</v>
      </c>
      <c r="Y300" s="3">
        <v>153</v>
      </c>
      <c r="Z300" s="3" t="str">
        <f>IFERROR(MID(VLOOKUP($B300,Seqs!$A:$B,2,0),AA300,1),"")</f>
        <v>R</v>
      </c>
      <c r="AA300" s="3">
        <v>160</v>
      </c>
      <c r="AB300" s="3" t="str">
        <f>IFERROR(MID(VLOOKUP($B300,Seqs!$A:$B,2,0),AC300,1),"")</f>
        <v>T</v>
      </c>
      <c r="AC300" s="3">
        <v>161</v>
      </c>
      <c r="AD300" s="3" t="str">
        <f>IFERROR(MID(VLOOKUP($B300,Seqs!$A:$B,2,0),AE300,1),"")</f>
        <v>A</v>
      </c>
      <c r="AE300" s="3">
        <v>187</v>
      </c>
      <c r="AF300" s="3" t="str">
        <f>IFERROR(MID(VLOOKUP($B300,Seqs!$A:$B,2,0),AG300,1),"")</f>
        <v>C</v>
      </c>
      <c r="AG300" s="3">
        <v>198</v>
      </c>
      <c r="AH300" s="3" t="str">
        <f>IFERROR(MID(VLOOKUP($B300,Seqs!$A:$B,2,0),AI300,1),"")</f>
        <v>L</v>
      </c>
      <c r="AI300" s="3">
        <v>200</v>
      </c>
      <c r="AJ300" s="3" t="str">
        <f>IFERROR(MID(VLOOKUP($B300,Seqs!$A:$B,2,0),AK300,1),"")</f>
        <v>S</v>
      </c>
      <c r="AK300" s="3">
        <v>206</v>
      </c>
      <c r="AL300" s="3" t="str">
        <f>IFERROR(MID(VLOOKUP($B300,Seqs!$A:$B,2,0),AM300,1),"")</f>
        <v>L</v>
      </c>
      <c r="AM300" s="3">
        <v>238</v>
      </c>
      <c r="AN300" s="3" t="str">
        <f>IFERROR(MID(VLOOKUP($B300,Seqs!$A:$B,2,0),AO300,1),"")</f>
        <v>R</v>
      </c>
      <c r="AO300" s="3">
        <v>258</v>
      </c>
      <c r="AP300" s="3" t="str">
        <f>IFERROR(MID(VLOOKUP($B300,Seqs!$A:$B,2,0),AQ300,1),"")</f>
        <v>V</v>
      </c>
      <c r="AQ300" s="3">
        <v>287</v>
      </c>
      <c r="AR300" s="3" t="str">
        <f>IFERROR(MID(VLOOKUP($B300,Seqs!$A:$B,2,0),AS300,1),"")</f>
        <v>D</v>
      </c>
      <c r="AS300" s="3">
        <v>293</v>
      </c>
      <c r="AT300" s="3" t="str">
        <f>IFERROR(MID(VLOOKUP($B300,Seqs!$A:$B,2,0),AU300,1),"")</f>
        <v>L</v>
      </c>
      <c r="AU300" s="3">
        <v>321</v>
      </c>
      <c r="AV300" s="3" t="str">
        <f>IFERROR(MID(VLOOKUP($B300,Seqs!$A:$B,2,0),AW300,1),"")</f>
        <v>D</v>
      </c>
      <c r="AW300" s="3">
        <v>322</v>
      </c>
      <c r="AX300" s="3" t="str">
        <f>IFERROR(MID(VLOOKUP($B300,Seqs!$A:$B,2,0),AY300,1),"")</f>
        <v>C</v>
      </c>
      <c r="AY300" s="3">
        <v>328</v>
      </c>
      <c r="AZ300" s="77" t="str">
        <f>VLOOKUP(B300,Classification!A:D,2,0)</f>
        <v>A</v>
      </c>
      <c r="BA300" s="94" t="str">
        <f>VLOOKUP(B300,Classification!A:D,4,0)</f>
        <v>Opioid</v>
      </c>
      <c r="BB300" s="27" t="b">
        <f t="shared" si="2208"/>
        <v>1</v>
      </c>
      <c r="BC300" s="23">
        <f t="shared" si="1957"/>
        <v>248</v>
      </c>
      <c r="BD300" s="2" t="s">
        <v>23</v>
      </c>
      <c r="BE300" s="3" t="s">
        <v>1370</v>
      </c>
      <c r="BF300" s="118">
        <v>3.4</v>
      </c>
      <c r="BG300" s="49" t="s">
        <v>1373</v>
      </c>
      <c r="BH300" s="49" t="s">
        <v>1373</v>
      </c>
      <c r="BI300" s="1"/>
      <c r="BJ300" s="70" t="s">
        <v>1283</v>
      </c>
      <c r="BK300" s="57" t="s">
        <v>1283</v>
      </c>
      <c r="BL300" s="57" t="s">
        <v>1283</v>
      </c>
      <c r="BM300" s="57" t="s">
        <v>1283</v>
      </c>
      <c r="BN300" s="57" t="s">
        <v>1283</v>
      </c>
      <c r="BO300" s="57" t="s">
        <v>1283</v>
      </c>
      <c r="BP300" s="57" t="s">
        <v>1283</v>
      </c>
      <c r="BQ300" s="57" t="s">
        <v>1283</v>
      </c>
      <c r="BR300" s="57" t="s">
        <v>1283</v>
      </c>
      <c r="BS300" s="57" t="s">
        <v>1283</v>
      </c>
      <c r="BT300" s="57" t="s">
        <v>1283</v>
      </c>
      <c r="BU300" s="57" t="s">
        <v>1283</v>
      </c>
      <c r="BV300" s="70">
        <f t="shared" si="1958"/>
        <v>41</v>
      </c>
      <c r="BW300" s="71">
        <f t="shared" si="1959"/>
        <v>78</v>
      </c>
      <c r="BX300" s="72">
        <f t="shared" si="1960"/>
        <v>82</v>
      </c>
      <c r="BY300" s="71">
        <f t="shared" si="1961"/>
        <v>113</v>
      </c>
      <c r="BZ300" s="72">
        <f t="shared" si="1962"/>
        <v>117</v>
      </c>
      <c r="CA300" s="71">
        <f t="shared" si="1963"/>
        <v>153</v>
      </c>
      <c r="CB300" s="72">
        <f t="shared" si="1964"/>
        <v>161</v>
      </c>
      <c r="CC300" s="71">
        <f t="shared" si="1965"/>
        <v>198</v>
      </c>
      <c r="CD300" s="72">
        <f t="shared" si="1966"/>
        <v>206</v>
      </c>
      <c r="CE300" s="71">
        <f t="shared" si="1967"/>
        <v>258</v>
      </c>
      <c r="CF300" s="72">
        <f t="shared" si="1968"/>
        <v>293</v>
      </c>
      <c r="CG300" s="71">
        <f t="shared" si="1969"/>
        <v>322</v>
      </c>
      <c r="CH300" s="70">
        <f t="shared" si="1970"/>
        <v>77</v>
      </c>
      <c r="CI300" s="71">
        <f t="shared" si="1971"/>
        <v>81</v>
      </c>
      <c r="CJ300" s="72">
        <f t="shared" si="1972"/>
        <v>111</v>
      </c>
      <c r="CK300" s="72">
        <f t="shared" si="1973"/>
        <v>116</v>
      </c>
      <c r="CL300" s="72">
        <f t="shared" si="1974"/>
        <v>152</v>
      </c>
      <c r="CM300" s="72">
        <f t="shared" si="1975"/>
        <v>160</v>
      </c>
      <c r="CN300" s="72">
        <f t="shared" si="1976"/>
        <v>187</v>
      </c>
      <c r="CO300" s="72">
        <f t="shared" si="1977"/>
        <v>200</v>
      </c>
      <c r="CP300" s="72">
        <f t="shared" si="1978"/>
        <v>238</v>
      </c>
      <c r="CQ300" s="72">
        <f t="shared" si="1979"/>
        <v>287</v>
      </c>
      <c r="CR300" s="72">
        <f t="shared" si="1980"/>
        <v>321</v>
      </c>
      <c r="CS300" s="72">
        <f t="shared" si="1981"/>
        <v>328</v>
      </c>
      <c r="CT300" s="23">
        <f t="shared" si="1982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</row>
    <row r="301" spans="1:1030" x14ac:dyDescent="0.2">
      <c r="A301" s="3" t="str">
        <f t="shared" si="2207"/>
        <v>oprk_human__wt</v>
      </c>
      <c r="B301" s="3" t="s">
        <v>335</v>
      </c>
      <c r="C301" s="3" t="s">
        <v>100</v>
      </c>
      <c r="D301" s="3" t="str">
        <f>IFERROR(MID(VLOOKUP($B301,Seqs!$A:$B,2,0),E301,1),"")</f>
        <v>A</v>
      </c>
      <c r="E301" s="3">
        <v>57</v>
      </c>
      <c r="F301" s="3" t="str">
        <f>IFERROR(MID(VLOOKUP($B301,Seqs!$A:$B,2,0),G301,1),"")</f>
        <v>Y</v>
      </c>
      <c r="G301" s="3">
        <v>87</v>
      </c>
      <c r="H301" s="3" t="str">
        <f>IFERROR(MID(VLOOKUP($B301,Seqs!$A:$B,2,0),I301,1),"")</f>
        <v>T</v>
      </c>
      <c r="I301" s="23">
        <v>88</v>
      </c>
      <c r="J301" s="3" t="str">
        <f>IFERROR(MID(VLOOKUP($B301,Seqs!$A:$B,2,0),K301,1),"")</f>
        <v>K</v>
      </c>
      <c r="K301" s="23">
        <v>91</v>
      </c>
      <c r="L301" s="3" t="str">
        <f>IFERROR(MID(VLOOKUP($B301,Seqs!$A:$B,2,0),M301,1),"")</f>
        <v>T</v>
      </c>
      <c r="M301" s="3">
        <v>92</v>
      </c>
      <c r="N301" s="3" t="str">
        <f>IFERROR(MID(VLOOKUP($B301,Seqs!$A:$B,2,0),O301,1),"")</f>
        <v>N</v>
      </c>
      <c r="O301" s="3">
        <v>122</v>
      </c>
      <c r="P301" s="3" t="str">
        <f>IFERROR(MID(VLOOKUP($B301,Seqs!$A:$B,2,0),Q301,1),"")</f>
        <v>S</v>
      </c>
      <c r="Q301" s="3">
        <v>123</v>
      </c>
      <c r="R301" s="3" t="str">
        <f>IFERROR(MID(VLOOKUP($B301,Seqs!$A:$B,2,0),S301,1),"")</f>
        <v>F</v>
      </c>
      <c r="S301" s="3">
        <v>126</v>
      </c>
      <c r="T301" s="3" t="str">
        <f>IFERROR(MID(VLOOKUP($B301,Seqs!$A:$B,2,0),U301,1),"")</f>
        <v>G</v>
      </c>
      <c r="U301" s="3">
        <v>127</v>
      </c>
      <c r="V301" s="3" t="str">
        <f>IFERROR(MID(VLOOKUP($B301,Seqs!$A:$B,2,0),W301,1),"")</f>
        <v>H</v>
      </c>
      <c r="W301" s="3">
        <v>162</v>
      </c>
      <c r="X301" s="3" t="str">
        <f>IFERROR(MID(VLOOKUP($B301,Seqs!$A:$B,2,0),Y301,1),"")</f>
        <v>P</v>
      </c>
      <c r="Y301" s="3">
        <v>163</v>
      </c>
      <c r="Z301" s="3" t="str">
        <f>IFERROR(MID(VLOOKUP($B301,Seqs!$A:$B,2,0),AA301,1),"")</f>
        <v>R</v>
      </c>
      <c r="AA301" s="3">
        <v>170</v>
      </c>
      <c r="AB301" s="3" t="str">
        <f>IFERROR(MID(VLOOKUP($B301,Seqs!$A:$B,2,0),AC301,1),"")</f>
        <v>T</v>
      </c>
      <c r="AC301" s="3">
        <v>171</v>
      </c>
      <c r="AD301" s="3" t="str">
        <f>IFERROR(MID(VLOOKUP($B301,Seqs!$A:$B,2,0),AE301,1),"")</f>
        <v>G</v>
      </c>
      <c r="AE301" s="3">
        <v>197</v>
      </c>
      <c r="AF301" s="3" t="str">
        <f>IFERROR(MID(VLOOKUP($B301,Seqs!$A:$B,2,0),AG301,1),"")</f>
        <v>C</v>
      </c>
      <c r="AG301" s="3">
        <v>210</v>
      </c>
      <c r="AH301" s="3" t="str">
        <f>IFERROR(MID(VLOOKUP($B301,Seqs!$A:$B,2,0),AI301,1),"")</f>
        <v>L</v>
      </c>
      <c r="AI301" s="3">
        <v>212</v>
      </c>
      <c r="AJ301" s="3" t="str">
        <f>IFERROR(MID(VLOOKUP($B301,Seqs!$A:$B,2,0),AK301,1),"")</f>
        <v>D</v>
      </c>
      <c r="AK301" s="3">
        <v>218</v>
      </c>
      <c r="AL301" s="3" t="str">
        <f>IFERROR(MID(VLOOKUP($B301,Seqs!$A:$B,2,0),AM301,1),"")</f>
        <v>V</v>
      </c>
      <c r="AM301" s="3">
        <v>256</v>
      </c>
      <c r="AN301" s="3" t="str">
        <f>IFERROR(MID(VLOOKUP($B301,Seqs!$A:$B,2,0),AO301,1),"")</f>
        <v>S</v>
      </c>
      <c r="AO301" s="3">
        <v>262</v>
      </c>
      <c r="AP301" s="3" t="str">
        <f>IFERROR(MID(VLOOKUP($B301,Seqs!$A:$B,2,0),AQ301,1),"")</f>
        <v>G</v>
      </c>
      <c r="AQ301" s="3">
        <v>300</v>
      </c>
      <c r="AR301" s="3" t="str">
        <f>IFERROR(MID(VLOOKUP($B301,Seqs!$A:$B,2,0),AS301,1),"")</f>
        <v>S</v>
      </c>
      <c r="AS301" s="3">
        <v>305</v>
      </c>
      <c r="AT301" s="3" t="str">
        <f>IFERROR(MID(VLOOKUP($B301,Seqs!$A:$B,2,0),AU301,1),"")</f>
        <v>L</v>
      </c>
      <c r="AU301" s="3">
        <v>333</v>
      </c>
      <c r="AV301" s="3" t="str">
        <f>IFERROR(MID(VLOOKUP($B301,Seqs!$A:$B,2,0),AW301,1),"")</f>
        <v>D</v>
      </c>
      <c r="AW301" s="3">
        <v>334</v>
      </c>
      <c r="AX301" s="3" t="str">
        <f>IFERROR(MID(VLOOKUP($B301,Seqs!$A:$B,2,0),AY301,1),"")</f>
        <v>F</v>
      </c>
      <c r="AY301" s="3">
        <v>346</v>
      </c>
      <c r="AZ301" s="77" t="str">
        <f>VLOOKUP(B301,Classification!A:D,2,0)</f>
        <v>A</v>
      </c>
      <c r="BA301" s="94" t="str">
        <f>VLOOKUP(B301,Classification!A:D,4,0)</f>
        <v>Opioid</v>
      </c>
      <c r="BB301" s="27" t="b">
        <f t="shared" si="2208"/>
        <v>1</v>
      </c>
      <c r="BC301" s="23">
        <f t="shared" si="1957"/>
        <v>264</v>
      </c>
      <c r="BD301" s="56" t="s">
        <v>23</v>
      </c>
      <c r="BE301" s="3" t="s">
        <v>23</v>
      </c>
      <c r="BF301" s="118" t="s">
        <v>23</v>
      </c>
      <c r="BG301" s="49" t="s">
        <v>1368</v>
      </c>
      <c r="BH301" s="49" t="s">
        <v>1373</v>
      </c>
      <c r="BI301" s="1"/>
      <c r="BJ301" s="70" t="s">
        <v>1283</v>
      </c>
      <c r="BK301" s="57" t="s">
        <v>1283</v>
      </c>
      <c r="BL301" s="57" t="s">
        <v>1283</v>
      </c>
      <c r="BM301" s="57" t="s">
        <v>1283</v>
      </c>
      <c r="BN301" s="57" t="s">
        <v>1283</v>
      </c>
      <c r="BO301" s="57" t="s">
        <v>1283</v>
      </c>
      <c r="BP301" s="57" t="s">
        <v>1283</v>
      </c>
      <c r="BQ301" s="57" t="s">
        <v>1283</v>
      </c>
      <c r="BR301" s="57" t="s">
        <v>1283</v>
      </c>
      <c r="BS301" s="57" t="s">
        <v>1283</v>
      </c>
      <c r="BT301" s="57" t="s">
        <v>1283</v>
      </c>
      <c r="BU301" s="57" t="s">
        <v>1283</v>
      </c>
      <c r="BV301" s="70">
        <f t="shared" si="1958"/>
        <v>57</v>
      </c>
      <c r="BW301" s="71">
        <f t="shared" si="1959"/>
        <v>88</v>
      </c>
      <c r="BX301" s="72">
        <f t="shared" si="1960"/>
        <v>92</v>
      </c>
      <c r="BY301" s="71">
        <f t="shared" si="1961"/>
        <v>123</v>
      </c>
      <c r="BZ301" s="72">
        <f t="shared" si="1962"/>
        <v>127</v>
      </c>
      <c r="CA301" s="71">
        <f t="shared" si="1963"/>
        <v>163</v>
      </c>
      <c r="CB301" s="72">
        <f t="shared" si="1964"/>
        <v>171</v>
      </c>
      <c r="CC301" s="71">
        <f t="shared" si="1965"/>
        <v>210</v>
      </c>
      <c r="CD301" s="72">
        <f t="shared" si="1966"/>
        <v>218</v>
      </c>
      <c r="CE301" s="71">
        <f t="shared" si="1967"/>
        <v>262</v>
      </c>
      <c r="CF301" s="72">
        <f t="shared" si="1968"/>
        <v>305</v>
      </c>
      <c r="CG301" s="71">
        <f t="shared" si="1969"/>
        <v>334</v>
      </c>
      <c r="CH301" s="70">
        <f t="shared" si="1970"/>
        <v>87</v>
      </c>
      <c r="CI301" s="71">
        <f t="shared" si="1971"/>
        <v>91</v>
      </c>
      <c r="CJ301" s="72">
        <f t="shared" si="1972"/>
        <v>122</v>
      </c>
      <c r="CK301" s="72">
        <f t="shared" si="1973"/>
        <v>126</v>
      </c>
      <c r="CL301" s="72">
        <f t="shared" si="1974"/>
        <v>162</v>
      </c>
      <c r="CM301" s="72">
        <f t="shared" si="1975"/>
        <v>170</v>
      </c>
      <c r="CN301" s="72">
        <f t="shared" si="1976"/>
        <v>197</v>
      </c>
      <c r="CO301" s="72">
        <f t="shared" si="1977"/>
        <v>212</v>
      </c>
      <c r="CP301" s="72">
        <f t="shared" si="1978"/>
        <v>256</v>
      </c>
      <c r="CQ301" s="72">
        <f t="shared" si="1979"/>
        <v>300</v>
      </c>
      <c r="CR301" s="72">
        <f t="shared" si="1980"/>
        <v>333</v>
      </c>
      <c r="CS301" s="72">
        <f t="shared" si="1981"/>
        <v>346</v>
      </c>
      <c r="CT301" s="23">
        <f t="shared" si="1982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si="2207"/>
        <v>oprk_human_4DJH</v>
      </c>
      <c r="B302" s="3" t="s">
        <v>335</v>
      </c>
      <c r="C302" s="3" t="s">
        <v>88</v>
      </c>
      <c r="D302" s="3" t="str">
        <f>IFERROR(MID(VLOOKUP($B302,Seqs!$A:$B,2,0),E302,1),"")</f>
        <v>A</v>
      </c>
      <c r="E302" s="3">
        <v>57</v>
      </c>
      <c r="F302" s="3" t="str">
        <f>IFERROR(MID(VLOOKUP($B302,Seqs!$A:$B,2,0),G302,1),"")</f>
        <v>Y</v>
      </c>
      <c r="G302" s="3">
        <v>87</v>
      </c>
      <c r="H302" s="3" t="str">
        <f>IFERROR(MID(VLOOKUP($B302,Seqs!$A:$B,2,0),I302,1),"")</f>
        <v>T</v>
      </c>
      <c r="I302" s="23">
        <v>88</v>
      </c>
      <c r="J302" s="3" t="str">
        <f>IFERROR(MID(VLOOKUP($B302,Seqs!$A:$B,2,0),K302,1),"")</f>
        <v>K</v>
      </c>
      <c r="K302" s="23">
        <v>91</v>
      </c>
      <c r="L302" s="3" t="str">
        <f>IFERROR(MID(VLOOKUP($B302,Seqs!$A:$B,2,0),M302,1),"")</f>
        <v>T</v>
      </c>
      <c r="M302" s="3">
        <v>92</v>
      </c>
      <c r="N302" s="3" t="str">
        <f>IFERROR(MID(VLOOKUP($B302,Seqs!$A:$B,2,0),O302,1),"")</f>
        <v>N</v>
      </c>
      <c r="O302" s="3">
        <v>122</v>
      </c>
      <c r="P302" s="3" t="str">
        <f>IFERROR(MID(VLOOKUP($B302,Seqs!$A:$B,2,0),Q302,1),"")</f>
        <v>S</v>
      </c>
      <c r="Q302" s="3">
        <v>123</v>
      </c>
      <c r="R302" s="3" t="str">
        <f>IFERROR(MID(VLOOKUP($B302,Seqs!$A:$B,2,0),S302,1),"")</f>
        <v>F</v>
      </c>
      <c r="S302" s="3">
        <v>126</v>
      </c>
      <c r="T302" s="3" t="str">
        <f>IFERROR(MID(VLOOKUP($B302,Seqs!$A:$B,2,0),U302,1),"")</f>
        <v>G</v>
      </c>
      <c r="U302" s="3">
        <v>127</v>
      </c>
      <c r="V302" s="3" t="str">
        <f>IFERROR(MID(VLOOKUP($B302,Seqs!$A:$B,2,0),W302,1),"")</f>
        <v>H</v>
      </c>
      <c r="W302" s="3">
        <v>162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R</v>
      </c>
      <c r="AC302" s="3">
        <v>170</v>
      </c>
      <c r="AD302" s="3" t="str">
        <f>IFERROR(MID(VLOOKUP($B302,Seqs!$A:$B,2,0),AE302,1),"")</f>
        <v>G</v>
      </c>
      <c r="AE302" s="3">
        <v>197</v>
      </c>
      <c r="AF302" s="3" t="str">
        <f>IFERROR(MID(VLOOKUP($B302,Seqs!$A:$B,2,0),AG302,1),"")</f>
        <v>C</v>
      </c>
      <c r="AG302" s="3">
        <v>210</v>
      </c>
      <c r="AH302" s="3" t="str">
        <f>IFERROR(MID(VLOOKUP($B302,Seqs!$A:$B,2,0),AI302,1),"")</f>
        <v>L</v>
      </c>
      <c r="AI302" s="3">
        <v>212</v>
      </c>
      <c r="AJ302" s="3" t="str">
        <f>IFERROR(MID(VLOOKUP($B302,Seqs!$A:$B,2,0),AK302,1),"")</f>
        <v>D</v>
      </c>
      <c r="AK302" s="3">
        <v>218</v>
      </c>
      <c r="AL302" s="3" t="str">
        <f>IFERROR(MID(VLOOKUP($B302,Seqs!$A:$B,2,0),AM302,1),"")</f>
        <v>V</v>
      </c>
      <c r="AM302" s="3">
        <v>256</v>
      </c>
      <c r="AN302" s="3" t="str">
        <f>IFERROR(MID(VLOOKUP($B302,Seqs!$A:$B,2,0),AO302,1),"")</f>
        <v>R</v>
      </c>
      <c r="AO302" s="3">
        <v>267</v>
      </c>
      <c r="AP302" s="3" t="str">
        <f>IFERROR(MID(VLOOKUP($B302,Seqs!$A:$B,2,0),AQ302,1),"")</f>
        <v>G</v>
      </c>
      <c r="AQ302" s="3">
        <v>300</v>
      </c>
      <c r="AR302" s="3" t="str">
        <f>IFERROR(MID(VLOOKUP($B302,Seqs!$A:$B,2,0),AS302,1),"")</f>
        <v>A</v>
      </c>
      <c r="AS302" s="3">
        <v>308</v>
      </c>
      <c r="AT302" s="3" t="str">
        <f>IFERROR(MID(VLOOKUP($B302,Seqs!$A:$B,2,0),AU302,1),"")</f>
        <v>L</v>
      </c>
      <c r="AU302" s="3">
        <v>333</v>
      </c>
      <c r="AV302" s="3" t="str">
        <f>IFERROR(MID(VLOOKUP($B302,Seqs!$A:$B,2,0),AW302,1),"")</f>
        <v>D</v>
      </c>
      <c r="AW302" s="3">
        <v>334</v>
      </c>
      <c r="AX302" s="3" t="str">
        <f>IFERROR(MID(VLOOKUP($B302,Seqs!$A:$B,2,0),AY302,1),"")</f>
        <v>F</v>
      </c>
      <c r="AY302" s="3">
        <v>346</v>
      </c>
      <c r="AZ302" s="77" t="str">
        <f>VLOOKUP(B302,Classification!A:D,2,0)</f>
        <v>A</v>
      </c>
      <c r="BA302" s="94" t="str">
        <f>VLOOKUP(B302,Classification!A:D,4,0)</f>
        <v>Opioid</v>
      </c>
      <c r="BB302" s="27" t="b">
        <f t="shared" si="2208"/>
        <v>1</v>
      </c>
      <c r="BC302" s="23">
        <f t="shared" si="1957"/>
        <v>250</v>
      </c>
      <c r="BD302" s="2" t="s">
        <v>23</v>
      </c>
      <c r="BE302" s="3" t="s">
        <v>1370</v>
      </c>
      <c r="BF302" s="118">
        <v>2.9</v>
      </c>
      <c r="BG302" s="49" t="s">
        <v>1373</v>
      </c>
      <c r="BH302" s="49" t="s">
        <v>1373</v>
      </c>
      <c r="BI302" s="1"/>
      <c r="BJ302" s="70" t="s">
        <v>1283</v>
      </c>
      <c r="BK302" s="57" t="s">
        <v>1283</v>
      </c>
      <c r="BL302" s="57" t="s">
        <v>1283</v>
      </c>
      <c r="BM302" s="57" t="s">
        <v>1283</v>
      </c>
      <c r="BN302" s="57" t="s">
        <v>1283</v>
      </c>
      <c r="BO302" s="57" t="s">
        <v>1283</v>
      </c>
      <c r="BP302" s="57" t="s">
        <v>1283</v>
      </c>
      <c r="BQ302" s="57" t="s">
        <v>1283</v>
      </c>
      <c r="BR302" s="57" t="s">
        <v>1283</v>
      </c>
      <c r="BS302" s="57" t="s">
        <v>1283</v>
      </c>
      <c r="BT302" s="57" t="s">
        <v>1283</v>
      </c>
      <c r="BU302" s="57" t="s">
        <v>1283</v>
      </c>
      <c r="BV302" s="70">
        <f t="shared" si="1958"/>
        <v>57</v>
      </c>
      <c r="BW302" s="71">
        <f t="shared" si="1959"/>
        <v>88</v>
      </c>
      <c r="BX302" s="72">
        <f t="shared" si="1960"/>
        <v>92</v>
      </c>
      <c r="BY302" s="71">
        <f t="shared" si="1961"/>
        <v>123</v>
      </c>
      <c r="BZ302" s="72">
        <f t="shared" si="1962"/>
        <v>127</v>
      </c>
      <c r="CA302" s="71" t="str">
        <f t="shared" si="1963"/>
        <v>-</v>
      </c>
      <c r="CB302" s="72">
        <f t="shared" si="1964"/>
        <v>170</v>
      </c>
      <c r="CC302" s="71">
        <f t="shared" si="1965"/>
        <v>210</v>
      </c>
      <c r="CD302" s="72">
        <f t="shared" si="1966"/>
        <v>218</v>
      </c>
      <c r="CE302" s="71">
        <f t="shared" si="1967"/>
        <v>267</v>
      </c>
      <c r="CF302" s="72">
        <f t="shared" si="1968"/>
        <v>308</v>
      </c>
      <c r="CG302" s="71">
        <f t="shared" si="1969"/>
        <v>334</v>
      </c>
      <c r="CH302" s="70">
        <f t="shared" si="1970"/>
        <v>87</v>
      </c>
      <c r="CI302" s="71">
        <f t="shared" si="1971"/>
        <v>91</v>
      </c>
      <c r="CJ302" s="72">
        <f t="shared" si="1972"/>
        <v>122</v>
      </c>
      <c r="CK302" s="72">
        <f t="shared" si="1973"/>
        <v>126</v>
      </c>
      <c r="CL302" s="72">
        <f t="shared" si="1974"/>
        <v>162</v>
      </c>
      <c r="CM302" s="72" t="str">
        <f t="shared" si="1975"/>
        <v>-</v>
      </c>
      <c r="CN302" s="72">
        <f t="shared" si="1976"/>
        <v>197</v>
      </c>
      <c r="CO302" s="72">
        <f t="shared" si="1977"/>
        <v>212</v>
      </c>
      <c r="CP302" s="72">
        <f t="shared" si="1978"/>
        <v>256</v>
      </c>
      <c r="CQ302" s="72">
        <f t="shared" si="1979"/>
        <v>300</v>
      </c>
      <c r="CR302" s="72">
        <f t="shared" si="1980"/>
        <v>333</v>
      </c>
      <c r="CS302" s="72">
        <f t="shared" si="1981"/>
        <v>346</v>
      </c>
      <c r="CT302" s="23">
        <f t="shared" si="1982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30" x14ac:dyDescent="0.2">
      <c r="A303" s="3" t="str">
        <f>CONCATENATE(B303,"_",C303)</f>
        <v>oprk_human_6B73</v>
      </c>
      <c r="B303" s="3" t="s">
        <v>335</v>
      </c>
      <c r="C303" s="3" t="s">
        <v>1459</v>
      </c>
      <c r="D303" s="3" t="str">
        <f>IFERROR(MID(VLOOKUP($B303,Seqs!$A:$B,2,0),E303,1),"")</f>
        <v>A</v>
      </c>
      <c r="E303" s="3">
        <v>57</v>
      </c>
      <c r="F303" s="3" t="str">
        <f>IFERROR(MID(VLOOKUP($B303,Seqs!$A:$B,2,0),G303,1),"")</f>
        <v>Y</v>
      </c>
      <c r="G303" s="3">
        <v>87</v>
      </c>
      <c r="H303" s="3" t="str">
        <f>IFERROR(MID(VLOOKUP($B303,Seqs!$A:$B,2,0),I303,1),"")</f>
        <v/>
      </c>
      <c r="I303" s="23" t="s">
        <v>23</v>
      </c>
      <c r="J303" s="3" t="str">
        <f>IFERROR(MID(VLOOKUP($B303,Seqs!$A:$B,2,0),K303,1),"")</f>
        <v/>
      </c>
      <c r="K303" s="23" t="s">
        <v>23</v>
      </c>
      <c r="L303" s="3" t="str">
        <f>IFERROR(MID(VLOOKUP($B303,Seqs!$A:$B,2,0),M303,1),"")</f>
        <v>T</v>
      </c>
      <c r="M303" s="3">
        <v>92</v>
      </c>
      <c r="N303" s="3" t="str">
        <f>IFERROR(MID(VLOOKUP($B303,Seqs!$A:$B,2,0),O303,1),"")</f>
        <v>N</v>
      </c>
      <c r="O303" s="3">
        <v>122</v>
      </c>
      <c r="P303" s="3" t="str">
        <f>IFERROR(MID(VLOOKUP($B303,Seqs!$A:$B,2,0),Q303,1),"")</f>
        <v>S</v>
      </c>
      <c r="Q303" s="3">
        <v>123</v>
      </c>
      <c r="R303" s="3" t="str">
        <f>IFERROR(MID(VLOOKUP($B303,Seqs!$A:$B,2,0),S303,1),"")</f>
        <v>F</v>
      </c>
      <c r="S303" s="3">
        <v>126</v>
      </c>
      <c r="T303" s="3" t="str">
        <f>IFERROR(MID(VLOOKUP($B303,Seqs!$A:$B,2,0),U303,1),"")</f>
        <v>G</v>
      </c>
      <c r="U303" s="3">
        <v>127</v>
      </c>
      <c r="V303" s="3" t="str">
        <f>IFERROR(MID(VLOOKUP($B303,Seqs!$A:$B,2,0),W303,1),"")</f>
        <v>H</v>
      </c>
      <c r="W303" s="3">
        <v>162</v>
      </c>
      <c r="X303" s="3" t="str">
        <f>IFERROR(MID(VLOOKUP($B303,Seqs!$A:$B,2,0),Y303,1),"")</f>
        <v>P</v>
      </c>
      <c r="Y303" s="3">
        <v>163</v>
      </c>
      <c r="Z303" s="3" t="str">
        <f>IFERROR(MID(VLOOKUP($B303,Seqs!$A:$B,2,0),AA303,1),"")</f>
        <v>R</v>
      </c>
      <c r="AA303" s="3">
        <v>170</v>
      </c>
      <c r="AB303" s="3" t="str">
        <f>IFERROR(MID(VLOOKUP($B303,Seqs!$A:$B,2,0),AC303,1),"")</f>
        <v>T</v>
      </c>
      <c r="AC303" s="3">
        <v>171</v>
      </c>
      <c r="AD303" s="3" t="str">
        <f>IFERROR(MID(VLOOKUP($B303,Seqs!$A:$B,2,0),AE303,1),"")</f>
        <v>G</v>
      </c>
      <c r="AE303" s="3">
        <v>197</v>
      </c>
      <c r="AF303" s="3" t="str">
        <f>IFERROR(MID(VLOOKUP($B303,Seqs!$A:$B,2,0),AG303,1),"")</f>
        <v>C</v>
      </c>
      <c r="AG303" s="3">
        <v>210</v>
      </c>
      <c r="AH303" s="3" t="str">
        <f>IFERROR(MID(VLOOKUP($B303,Seqs!$A:$B,2,0),AI303,1),"")</f>
        <v>L</v>
      </c>
      <c r="AI303" s="3">
        <v>212</v>
      </c>
      <c r="AJ303" s="3" t="str">
        <f>IFERROR(MID(VLOOKUP($B303,Seqs!$A:$B,2,0),AK303,1),"")</f>
        <v>W</v>
      </c>
      <c r="AK303" s="3">
        <v>221</v>
      </c>
      <c r="AL303" s="3" t="str">
        <f>IFERROR(MID(VLOOKUP($B303,Seqs!$A:$B,2,0),AM303,1),"")</f>
        <v>S</v>
      </c>
      <c r="AM303" s="3">
        <v>255</v>
      </c>
      <c r="AN303" s="3" t="str">
        <f>IFERROR(MID(VLOOKUP($B303,Seqs!$A:$B,2,0),AO303,1),"")</f>
        <v>S</v>
      </c>
      <c r="AO303" s="3">
        <v>262</v>
      </c>
      <c r="AP303" s="3" t="str">
        <f>IFERROR(MID(VLOOKUP($B303,Seqs!$A:$B,2,0),AQ303,1),"")</f>
        <v>G</v>
      </c>
      <c r="AQ303" s="3">
        <v>300</v>
      </c>
      <c r="AR303" s="3" t="str">
        <f>IFERROR(MID(VLOOKUP($B303,Seqs!$A:$B,2,0),AS303,1),"")</f>
        <v>S</v>
      </c>
      <c r="AS303" s="3">
        <v>305</v>
      </c>
      <c r="AT303" s="3" t="str">
        <f>IFERROR(MID(VLOOKUP($B303,Seqs!$A:$B,2,0),AU303,1),"")</f>
        <v>I</v>
      </c>
      <c r="AU303" s="3">
        <v>328</v>
      </c>
      <c r="AV303" s="3" t="str">
        <f>IFERROR(MID(VLOOKUP($B303,Seqs!$A:$B,2,0),AW303,1),"")</f>
        <v/>
      </c>
      <c r="AW303" s="3" t="s">
        <v>23</v>
      </c>
      <c r="AX303" s="3" t="str">
        <f>IFERROR(MID(VLOOKUP($B303,Seqs!$A:$B,2,0),AY303,1),"")</f>
        <v/>
      </c>
      <c r="AY303" s="3" t="s">
        <v>23</v>
      </c>
      <c r="AZ303" s="77" t="str">
        <f>VLOOKUP(B303,Classification!A:D,2,0)</f>
        <v>A</v>
      </c>
      <c r="BA303" s="94" t="str">
        <f>VLOOKUP(B303,Classification!A:D,4,0)</f>
        <v>Opioid</v>
      </c>
      <c r="BB303" s="27" t="b">
        <f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>_xlfn.AGGREGATE(9,6,CH303:CS303)-_xlfn.AGGREGATE(9,6,BV303:CG303)+12</f>
        <v>240</v>
      </c>
      <c r="BD303" s="2" t="s">
        <v>1371</v>
      </c>
      <c r="BE303" s="3" t="s">
        <v>1287</v>
      </c>
      <c r="BF303" s="118">
        <v>3.1</v>
      </c>
      <c r="BG303" s="49" t="s">
        <v>1</v>
      </c>
      <c r="BH303" s="49" t="s">
        <v>1</v>
      </c>
      <c r="BI303" s="1"/>
      <c r="BJ303" s="70" t="s">
        <v>1283</v>
      </c>
      <c r="BK303" s="57" t="s">
        <v>1283</v>
      </c>
      <c r="BL303" s="57" t="s">
        <v>1283</v>
      </c>
      <c r="BM303" s="57" t="s">
        <v>1283</v>
      </c>
      <c r="BN303" s="57" t="s">
        <v>1283</v>
      </c>
      <c r="BO303" s="57" t="s">
        <v>1283</v>
      </c>
      <c r="BP303" s="57" t="s">
        <v>1283</v>
      </c>
      <c r="BQ303" s="57" t="s">
        <v>1283</v>
      </c>
      <c r="BR303" s="57" t="s">
        <v>1283</v>
      </c>
      <c r="BS303" s="57" t="s">
        <v>1283</v>
      </c>
      <c r="BT303" s="57" t="s">
        <v>1283</v>
      </c>
      <c r="BU303" s="57" t="s">
        <v>1283</v>
      </c>
      <c r="BV303" s="70">
        <f>E303</f>
        <v>57</v>
      </c>
      <c r="BW303" s="71" t="str">
        <f>I303</f>
        <v>-</v>
      </c>
      <c r="BX303" s="72">
        <f>M303</f>
        <v>92</v>
      </c>
      <c r="BY303" s="71">
        <f>Q303</f>
        <v>123</v>
      </c>
      <c r="BZ303" s="72">
        <f>U303</f>
        <v>127</v>
      </c>
      <c r="CA303" s="71">
        <f>Y303</f>
        <v>163</v>
      </c>
      <c r="CB303" s="72">
        <f>AC303</f>
        <v>171</v>
      </c>
      <c r="CC303" s="71">
        <f>AG303</f>
        <v>210</v>
      </c>
      <c r="CD303" s="72">
        <f>AK303</f>
        <v>221</v>
      </c>
      <c r="CE303" s="71">
        <f>AO303</f>
        <v>262</v>
      </c>
      <c r="CF303" s="72">
        <f>AS303</f>
        <v>305</v>
      </c>
      <c r="CG303" s="71" t="str">
        <f>AW303</f>
        <v>-</v>
      </c>
      <c r="CH303" s="70">
        <f>G303</f>
        <v>87</v>
      </c>
      <c r="CI303" s="71" t="str">
        <f>K303</f>
        <v>-</v>
      </c>
      <c r="CJ303" s="72">
        <f>O303</f>
        <v>122</v>
      </c>
      <c r="CK303" s="72">
        <f>S303</f>
        <v>126</v>
      </c>
      <c r="CL303" s="72">
        <f>W303</f>
        <v>162</v>
      </c>
      <c r="CM303" s="72">
        <f>AA303</f>
        <v>170</v>
      </c>
      <c r="CN303" s="72">
        <f>AE303</f>
        <v>197</v>
      </c>
      <c r="CO303" s="72">
        <f>AI303</f>
        <v>212</v>
      </c>
      <c r="CP303" s="72">
        <f>AM303</f>
        <v>255</v>
      </c>
      <c r="CQ303" s="72">
        <f>AQ303</f>
        <v>300</v>
      </c>
      <c r="CR303" s="72">
        <f>AU303</f>
        <v>328</v>
      </c>
      <c r="CS303" s="72" t="str">
        <f>AY303</f>
        <v>-</v>
      </c>
      <c r="CT303" s="23" t="e">
        <f>M303-K303</f>
        <v>#VALUE!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>CONCATENATE(B304,"_",C304)</f>
        <v>oprk_human_6VI4</v>
      </c>
      <c r="B304" s="3" t="s">
        <v>335</v>
      </c>
      <c r="C304" s="3" t="s">
        <v>1661</v>
      </c>
      <c r="D304" s="3" t="str">
        <f>IFERROR(MID(VLOOKUP($B304,Seqs!$A:$B,2,0),E304,1),"")</f>
        <v>T</v>
      </c>
      <c r="E304" s="3">
        <v>63</v>
      </c>
      <c r="F304" s="3" t="str">
        <f>IFERROR(MID(VLOOKUP($B304,Seqs!$A:$B,2,0),G304,1),"")</f>
        <v>Y</v>
      </c>
      <c r="G304" s="3">
        <v>87</v>
      </c>
      <c r="H304" s="3" t="str">
        <f>IFERROR(MID(VLOOKUP($B304,Seqs!$A:$B,2,0),I304,1),"")</f>
        <v>T</v>
      </c>
      <c r="I304" s="23">
        <v>88</v>
      </c>
      <c r="J304" s="3" t="str">
        <f>IFERROR(MID(VLOOKUP($B304,Seqs!$A:$B,2,0),K304,1),"")</f>
        <v>K</v>
      </c>
      <c r="K304" s="23">
        <v>91</v>
      </c>
      <c r="L304" s="3" t="str">
        <f>IFERROR(MID(VLOOKUP($B304,Seqs!$A:$B,2,0),M304,1),"")</f>
        <v>T</v>
      </c>
      <c r="M304" s="3">
        <v>92</v>
      </c>
      <c r="N304" s="3" t="str">
        <f>IFERROR(MID(VLOOKUP($B304,Seqs!$A:$B,2,0),O304,1),"")</f>
        <v>N</v>
      </c>
      <c r="O304" s="3">
        <v>122</v>
      </c>
      <c r="P304" s="3" t="str">
        <f>IFERROR(MID(VLOOKUP($B304,Seqs!$A:$B,2,0),Q304,1),"")</f>
        <v>S</v>
      </c>
      <c r="Q304" s="3">
        <v>123</v>
      </c>
      <c r="R304" s="3" t="str">
        <f>IFERROR(MID(VLOOKUP($B304,Seqs!$A:$B,2,0),S304,1),"")</f>
        <v>F</v>
      </c>
      <c r="S304" s="3">
        <v>126</v>
      </c>
      <c r="T304" s="3" t="str">
        <f>IFERROR(MID(VLOOKUP($B304,Seqs!$A:$B,2,0),U304,1),"")</f>
        <v>D</v>
      </c>
      <c r="U304" s="3">
        <v>128</v>
      </c>
      <c r="V304" s="3" t="str">
        <f>IFERROR(MID(VLOOKUP($B304,Seqs!$A:$B,2,0),W304,1),"")</f>
        <v>H</v>
      </c>
      <c r="W304" s="3">
        <v>162</v>
      </c>
      <c r="X304" s="3" t="str">
        <f>IFERROR(MID(VLOOKUP($B304,Seqs!$A:$B,2,0),Y304,1),"")</f>
        <v>P</v>
      </c>
      <c r="Y304" s="3">
        <v>163</v>
      </c>
      <c r="Z304" s="3" t="str">
        <f>IFERROR(MID(VLOOKUP($B304,Seqs!$A:$B,2,0),AA304,1),"")</f>
        <v>R</v>
      </c>
      <c r="AA304" s="3">
        <v>170</v>
      </c>
      <c r="AB304" s="3" t="str">
        <f>IFERROR(MID(VLOOKUP($B304,Seqs!$A:$B,2,0),AC304,1),"")</f>
        <v>T</v>
      </c>
      <c r="AC304" s="3">
        <v>171</v>
      </c>
      <c r="AD304" s="3" t="str">
        <f>IFERROR(MID(VLOOKUP($B304,Seqs!$A:$B,2,0),AE304,1),"")</f>
        <v>G</v>
      </c>
      <c r="AE304" s="3">
        <v>197</v>
      </c>
      <c r="AF304" s="3" t="str">
        <f>IFERROR(MID(VLOOKUP($B304,Seqs!$A:$B,2,0),AG304,1),"")</f>
        <v>C</v>
      </c>
      <c r="AG304" s="3">
        <v>210</v>
      </c>
      <c r="AH304" s="3" t="str">
        <f>IFERROR(MID(VLOOKUP($B304,Seqs!$A:$B,2,0),AI304,1),"")</f>
        <v>L</v>
      </c>
      <c r="AI304" s="3">
        <v>212</v>
      </c>
      <c r="AJ304" s="3" t="str">
        <f>IFERROR(MID(VLOOKUP($B304,Seqs!$A:$B,2,0),AK304,1),"")</f>
        <v>Y</v>
      </c>
      <c r="AK304" s="3">
        <v>219</v>
      </c>
      <c r="AL304" s="3" t="str">
        <f>IFERROR(MID(VLOOKUP($B304,Seqs!$A:$B,2,0),AM304,1),"")</f>
        <v>V</v>
      </c>
      <c r="AM304" s="3">
        <v>256</v>
      </c>
      <c r="AN304" s="3" t="str">
        <f>IFERROR(MID(VLOOKUP($B304,Seqs!$A:$B,2,0),AO304,1),"")</f>
        <v>S</v>
      </c>
      <c r="AO304" s="3">
        <v>262</v>
      </c>
      <c r="AP304" s="3" t="str">
        <f>IFERROR(MID(VLOOKUP($B304,Seqs!$A:$B,2,0),AQ304,1),"")</f>
        <v>L</v>
      </c>
      <c r="AQ304" s="3">
        <v>299</v>
      </c>
      <c r="AR304" s="3" t="str">
        <f>IFERROR(MID(VLOOKUP($B304,Seqs!$A:$B,2,0),AS304,1),"")</f>
        <v>A</v>
      </c>
      <c r="AS304" s="3">
        <v>308</v>
      </c>
      <c r="AT304" s="3" t="str">
        <f>IFERROR(MID(VLOOKUP($B304,Seqs!$A:$B,2,0),AU304,1),"")</f>
        <v>L</v>
      </c>
      <c r="AU304" s="3">
        <v>333</v>
      </c>
      <c r="AV304" s="3" t="str">
        <f>IFERROR(MID(VLOOKUP($B304,Seqs!$A:$B,2,0),AW304,1),"")</f>
        <v>D</v>
      </c>
      <c r="AW304" s="3">
        <v>334</v>
      </c>
      <c r="AX304" s="3" t="str">
        <f>IFERROR(MID(VLOOKUP($B304,Seqs!$A:$B,2,0),AY304,1),"")</f>
        <v>F</v>
      </c>
      <c r="AY304" s="3">
        <v>346</v>
      </c>
      <c r="AZ304" s="77" t="str">
        <f>VLOOKUP(B304,Classification!A:D,2,0)</f>
        <v>A</v>
      </c>
      <c r="BA304" s="94" t="str">
        <f>VLOOKUP(B304,Classification!A:D,4,0)</f>
        <v>Opioid</v>
      </c>
      <c r="BB304" s="27" t="b">
        <f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>
        <f>_xlfn.AGGREGATE(9,6,CH304:CS304)-_xlfn.AGGREGATE(9,6,BV304:CG304)+12</f>
        <v>252</v>
      </c>
      <c r="BD304" s="2" t="s">
        <v>1372</v>
      </c>
      <c r="BE304" s="3" t="s">
        <v>1370</v>
      </c>
      <c r="BF304" s="118">
        <v>3.3</v>
      </c>
      <c r="BG304" s="49" t="s">
        <v>1277</v>
      </c>
      <c r="BH304" s="49" t="s">
        <v>1277</v>
      </c>
      <c r="BI304" s="1"/>
      <c r="BJ304" s="70" t="s">
        <v>1283</v>
      </c>
      <c r="BK304" s="57" t="s">
        <v>1283</v>
      </c>
      <c r="BL304" s="57" t="s">
        <v>1283</v>
      </c>
      <c r="BM304" s="57" t="s">
        <v>1283</v>
      </c>
      <c r="BN304" s="57" t="s">
        <v>1283</v>
      </c>
      <c r="BO304" s="57" t="s">
        <v>1283</v>
      </c>
      <c r="BP304" s="57" t="s">
        <v>1283</v>
      </c>
      <c r="BQ304" s="57" t="s">
        <v>1283</v>
      </c>
      <c r="BR304" s="57" t="s">
        <v>1283</v>
      </c>
      <c r="BS304" s="57" t="s">
        <v>1283</v>
      </c>
      <c r="BT304" s="57" t="s">
        <v>1283</v>
      </c>
      <c r="BU304" s="57" t="s">
        <v>1283</v>
      </c>
      <c r="BV304" s="70">
        <f>E304</f>
        <v>63</v>
      </c>
      <c r="BW304" s="71">
        <f>I304</f>
        <v>88</v>
      </c>
      <c r="BX304" s="72">
        <f>M304</f>
        <v>92</v>
      </c>
      <c r="BY304" s="71">
        <f>Q304</f>
        <v>123</v>
      </c>
      <c r="BZ304" s="72">
        <f>U304</f>
        <v>128</v>
      </c>
      <c r="CA304" s="71">
        <f>Y304</f>
        <v>163</v>
      </c>
      <c r="CB304" s="72">
        <f>AC304</f>
        <v>171</v>
      </c>
      <c r="CC304" s="71">
        <f>AG304</f>
        <v>210</v>
      </c>
      <c r="CD304" s="72">
        <f>AK304</f>
        <v>219</v>
      </c>
      <c r="CE304" s="71">
        <f>AO304</f>
        <v>262</v>
      </c>
      <c r="CF304" s="72">
        <f>AS304</f>
        <v>308</v>
      </c>
      <c r="CG304" s="71">
        <f>AW304</f>
        <v>334</v>
      </c>
      <c r="CH304" s="70">
        <f>G304</f>
        <v>87</v>
      </c>
      <c r="CI304" s="71">
        <f>K304</f>
        <v>91</v>
      </c>
      <c r="CJ304" s="72">
        <f>O304</f>
        <v>122</v>
      </c>
      <c r="CK304" s="72">
        <f>S304</f>
        <v>126</v>
      </c>
      <c r="CL304" s="72">
        <f>W304</f>
        <v>162</v>
      </c>
      <c r="CM304" s="72">
        <f>AA304</f>
        <v>170</v>
      </c>
      <c r="CN304" s="72">
        <f>AE304</f>
        <v>197</v>
      </c>
      <c r="CO304" s="72">
        <f>AI304</f>
        <v>212</v>
      </c>
      <c r="CP304" s="72">
        <f>AM304</f>
        <v>256</v>
      </c>
      <c r="CQ304" s="72">
        <f>AQ304</f>
        <v>299</v>
      </c>
      <c r="CR304" s="72">
        <f>AU304</f>
        <v>333</v>
      </c>
      <c r="CS304" s="72">
        <f>AY304</f>
        <v>346</v>
      </c>
      <c r="CT304" s="23">
        <f>M304-K304</f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si="2207"/>
        <v>oprm_mouse__wt</v>
      </c>
      <c r="B305" s="3" t="s">
        <v>913</v>
      </c>
      <c r="C305" s="3" t="s">
        <v>100</v>
      </c>
      <c r="D305" s="3" t="str">
        <f>IFERROR(MID(VLOOKUP($B305,Seqs!$A:$B,2,0),E305,1),"")</f>
        <v>M</v>
      </c>
      <c r="E305" s="3">
        <v>65</v>
      </c>
      <c r="F305" s="3" t="str">
        <f>IFERROR(MID(VLOOKUP($B305,Seqs!$A:$B,2,0),G305,1),"")</f>
        <v>Y</v>
      </c>
      <c r="G305" s="3">
        <v>96</v>
      </c>
      <c r="H305" s="3" t="str">
        <f>IFERROR(MID(VLOOKUP($B305,Seqs!$A:$B,2,0),I305,1),"")</f>
        <v>T</v>
      </c>
      <c r="I305" s="23">
        <v>97</v>
      </c>
      <c r="J305" s="3" t="str">
        <f>IFERROR(MID(VLOOKUP($B305,Seqs!$A:$B,2,0),K305,1),"")</f>
        <v>K</v>
      </c>
      <c r="K305" s="23">
        <v>100</v>
      </c>
      <c r="L305" s="3" t="str">
        <f>IFERROR(MID(VLOOKUP($B305,Seqs!$A:$B,2,0),M305,1),"")</f>
        <v>T</v>
      </c>
      <c r="M305" s="3">
        <v>101</v>
      </c>
      <c r="N305" s="3" t="str">
        <f>IFERROR(MID(VLOOKUP($B305,Seqs!$A:$B,2,0),O305,1),"")</f>
        <v>M</v>
      </c>
      <c r="O305" s="3">
        <v>130</v>
      </c>
      <c r="P305" s="3" t="str">
        <f>IFERROR(MID(VLOOKUP($B305,Seqs!$A:$B,2,0),Q305,1),"")</f>
        <v>T</v>
      </c>
      <c r="Q305" s="3">
        <v>132</v>
      </c>
      <c r="R305" s="3" t="str">
        <f>IFERROR(MID(VLOOKUP($B305,Seqs!$A:$B,2,0),S305,1),"")</f>
        <v>F</v>
      </c>
      <c r="S305" s="3">
        <v>135</v>
      </c>
      <c r="T305" s="3" t="str">
        <f>IFERROR(MID(VLOOKUP($B305,Seqs!$A:$B,2,0),U305,1),"")</f>
        <v>G</v>
      </c>
      <c r="U305" s="3">
        <v>136</v>
      </c>
      <c r="V305" s="3" t="str">
        <f>IFERROR(MID(VLOOKUP($B305,Seqs!$A:$B,2,0),W305,1),"")</f>
        <v>H</v>
      </c>
      <c r="W305" s="3">
        <v>171</v>
      </c>
      <c r="X305" s="3" t="str">
        <f>IFERROR(MID(VLOOKUP($B305,Seqs!$A:$B,2,0),Y305,1),"")</f>
        <v>P</v>
      </c>
      <c r="Y305" s="3">
        <v>172</v>
      </c>
      <c r="Z305" s="3" t="str">
        <f>IFERROR(MID(VLOOKUP($B305,Seqs!$A:$B,2,0),AA305,1),"")</f>
        <v>R</v>
      </c>
      <c r="AA305" s="3">
        <v>179</v>
      </c>
      <c r="AB305" s="3" t="str">
        <f>IFERROR(MID(VLOOKUP($B305,Seqs!$A:$B,2,0),AC305,1),"")</f>
        <v>T</v>
      </c>
      <c r="AC305" s="3">
        <v>180</v>
      </c>
      <c r="AD305" s="3" t="str">
        <f>IFERROR(MID(VLOOKUP($B305,Seqs!$A:$B,2,0),AE305,1),"")</f>
        <v>A</v>
      </c>
      <c r="AE305" s="3">
        <v>206</v>
      </c>
      <c r="AF305" s="3" t="str">
        <f>IFERROR(MID(VLOOKUP($B305,Seqs!$A:$B,2,0),AG305,1),"")</f>
        <v>C</v>
      </c>
      <c r="AG305" s="3">
        <v>217</v>
      </c>
      <c r="AH305" s="3" t="str">
        <f>IFERROR(MID(VLOOKUP($B305,Seqs!$A:$B,2,0),AI305,1),"")</f>
        <v>L</v>
      </c>
      <c r="AI305" s="3">
        <v>219</v>
      </c>
      <c r="AJ305" s="3" t="str">
        <f>IFERROR(MID(VLOOKUP($B305,Seqs!$A:$B,2,0),AK305,1),"")</f>
        <v>T</v>
      </c>
      <c r="AK305" s="3">
        <v>225</v>
      </c>
      <c r="AL305" s="3" t="str">
        <f>IFERROR(MID(VLOOKUP($B305,Seqs!$A:$B,2,0),AM305,1),"")</f>
        <v>V</v>
      </c>
      <c r="AM305" s="3">
        <v>262</v>
      </c>
      <c r="AN305" s="3" t="str">
        <f>IFERROR(MID(VLOOKUP($B305,Seqs!$A:$B,2,0),AO305,1),"")</f>
        <v>S</v>
      </c>
      <c r="AO305" s="3">
        <v>268</v>
      </c>
      <c r="AP305" s="3" t="str">
        <f>IFERROR(MID(VLOOKUP($B305,Seqs!$A:$B,2,0),AQ305,1),"")</f>
        <v>I</v>
      </c>
      <c r="AQ305" s="3">
        <v>306</v>
      </c>
      <c r="AR305" s="3" t="str">
        <f>IFERROR(MID(VLOOKUP($B305,Seqs!$A:$B,2,0),AS305,1),"")</f>
        <v>T</v>
      </c>
      <c r="AS305" s="3">
        <v>311</v>
      </c>
      <c r="AT305" s="3" t="str">
        <f>IFERROR(MID(VLOOKUP($B305,Seqs!$A:$B,2,0),AU305,1),"")</f>
        <v>L</v>
      </c>
      <c r="AU305" s="3">
        <v>339</v>
      </c>
      <c r="AV305" s="3" t="str">
        <f>IFERROR(MID(VLOOKUP($B305,Seqs!$A:$B,2,0),AW305,1),"")</f>
        <v>D</v>
      </c>
      <c r="AW305" s="3">
        <v>340</v>
      </c>
      <c r="AX305" s="3" t="str">
        <f>IFERROR(MID(VLOOKUP($B305,Seqs!$A:$B,2,0),AY305,1),"")</f>
        <v>I</v>
      </c>
      <c r="AY305" s="3">
        <v>352</v>
      </c>
      <c r="AZ305" s="77" t="str">
        <f>VLOOKUP(B305,Classification!A:D,2,0)</f>
        <v>A</v>
      </c>
      <c r="BA305" s="94" t="str">
        <f>VLOOKUP(B305,Classification!A:D,4,0)</f>
        <v>Opioid</v>
      </c>
      <c r="BB305" s="27" t="b">
        <f t="shared" si="2208"/>
        <v>1</v>
      </c>
      <c r="BC305" s="23">
        <f t="shared" si="1957"/>
        <v>263</v>
      </c>
      <c r="BD305" s="56" t="s">
        <v>23</v>
      </c>
      <c r="BE305" s="3" t="s">
        <v>23</v>
      </c>
      <c r="BF305" s="118" t="s">
        <v>23</v>
      </c>
      <c r="BG305" s="49" t="s">
        <v>1368</v>
      </c>
      <c r="BH305" s="49" t="s">
        <v>1373</v>
      </c>
      <c r="BI305" s="1"/>
      <c r="BJ305" s="70" t="s">
        <v>1283</v>
      </c>
      <c r="BK305" s="57" t="s">
        <v>1283</v>
      </c>
      <c r="BL305" s="57" t="s">
        <v>1283</v>
      </c>
      <c r="BM305" s="57" t="s">
        <v>1283</v>
      </c>
      <c r="BN305" s="57" t="s">
        <v>1283</v>
      </c>
      <c r="BO305" s="57" t="s">
        <v>1283</v>
      </c>
      <c r="BP305" s="57" t="s">
        <v>1283</v>
      </c>
      <c r="BQ305" s="57" t="s">
        <v>1283</v>
      </c>
      <c r="BR305" s="57" t="s">
        <v>1283</v>
      </c>
      <c r="BS305" s="57" t="s">
        <v>1283</v>
      </c>
      <c r="BT305" s="57" t="s">
        <v>1283</v>
      </c>
      <c r="BU305" s="57" t="s">
        <v>1283</v>
      </c>
      <c r="BV305" s="70">
        <f t="shared" si="1958"/>
        <v>65</v>
      </c>
      <c r="BW305" s="71">
        <f t="shared" si="1959"/>
        <v>97</v>
      </c>
      <c r="BX305" s="72">
        <f t="shared" si="1960"/>
        <v>101</v>
      </c>
      <c r="BY305" s="71">
        <f t="shared" si="1961"/>
        <v>132</v>
      </c>
      <c r="BZ305" s="72">
        <f t="shared" si="1962"/>
        <v>136</v>
      </c>
      <c r="CA305" s="71">
        <f t="shared" si="1963"/>
        <v>172</v>
      </c>
      <c r="CB305" s="72">
        <f t="shared" si="1964"/>
        <v>180</v>
      </c>
      <c r="CC305" s="71">
        <f t="shared" si="1965"/>
        <v>217</v>
      </c>
      <c r="CD305" s="72">
        <f t="shared" si="1966"/>
        <v>225</v>
      </c>
      <c r="CE305" s="71">
        <f t="shared" si="1967"/>
        <v>268</v>
      </c>
      <c r="CF305" s="72">
        <f t="shared" si="1968"/>
        <v>311</v>
      </c>
      <c r="CG305" s="71">
        <f t="shared" si="1969"/>
        <v>340</v>
      </c>
      <c r="CH305" s="70">
        <f t="shared" si="1970"/>
        <v>96</v>
      </c>
      <c r="CI305" s="71">
        <f t="shared" si="1971"/>
        <v>100</v>
      </c>
      <c r="CJ305" s="72">
        <f t="shared" si="1972"/>
        <v>130</v>
      </c>
      <c r="CK305" s="72">
        <f t="shared" si="1973"/>
        <v>135</v>
      </c>
      <c r="CL305" s="72">
        <f t="shared" si="1974"/>
        <v>171</v>
      </c>
      <c r="CM305" s="72">
        <f t="shared" si="1975"/>
        <v>179</v>
      </c>
      <c r="CN305" s="72">
        <f t="shared" si="1976"/>
        <v>206</v>
      </c>
      <c r="CO305" s="72">
        <f t="shared" si="1977"/>
        <v>219</v>
      </c>
      <c r="CP305" s="72">
        <f t="shared" si="1978"/>
        <v>262</v>
      </c>
      <c r="CQ305" s="72">
        <f t="shared" si="1979"/>
        <v>306</v>
      </c>
      <c r="CR305" s="72">
        <f t="shared" si="1980"/>
        <v>339</v>
      </c>
      <c r="CS305" s="72">
        <f t="shared" si="1981"/>
        <v>352</v>
      </c>
      <c r="CT305" s="23">
        <f t="shared" si="1982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2207"/>
        <v>oprm_mouse_4DKL</v>
      </c>
      <c r="B306" s="3" t="s">
        <v>913</v>
      </c>
      <c r="C306" s="3" t="s">
        <v>65</v>
      </c>
      <c r="D306" s="3" t="str">
        <f>IFERROR(MID(VLOOKUP($B306,Seqs!$A:$B,2,0),E306,1),"")</f>
        <v>M</v>
      </c>
      <c r="E306" s="3">
        <v>65</v>
      </c>
      <c r="F306" s="3" t="str">
        <f>IFERROR(MID(VLOOKUP($B306,Seqs!$A:$B,2,0),G306,1),"")</f>
        <v>Y</v>
      </c>
      <c r="G306" s="3">
        <v>96</v>
      </c>
      <c r="H306" s="3" t="str">
        <f>IFERROR(MID(VLOOKUP($B306,Seqs!$A:$B,2,0),I306,1),"")</f>
        <v>T</v>
      </c>
      <c r="I306" s="23">
        <v>97</v>
      </c>
      <c r="J306" s="3" t="str">
        <f>IFERROR(MID(VLOOKUP($B306,Seqs!$A:$B,2,0),K306,1),"")</f>
        <v>K</v>
      </c>
      <c r="K306" s="23">
        <v>100</v>
      </c>
      <c r="L306" s="3" t="str">
        <f>IFERROR(MID(VLOOKUP($B306,Seqs!$A:$B,2,0),M306,1),"")</f>
        <v>T</v>
      </c>
      <c r="M306" s="3">
        <v>101</v>
      </c>
      <c r="N306" s="3" t="str">
        <f>IFERROR(MID(VLOOKUP($B306,Seqs!$A:$B,2,0),O306,1),"")</f>
        <v>M</v>
      </c>
      <c r="O306" s="3">
        <v>130</v>
      </c>
      <c r="P306" s="3" t="str">
        <f>IFERROR(MID(VLOOKUP($B306,Seqs!$A:$B,2,0),Q306,1),"")</f>
        <v>T</v>
      </c>
      <c r="Q306" s="3">
        <v>132</v>
      </c>
      <c r="R306" s="3" t="str">
        <f>IFERROR(MID(VLOOKUP($B306,Seqs!$A:$B,2,0),S306,1),"")</f>
        <v>F</v>
      </c>
      <c r="S306" s="3">
        <v>135</v>
      </c>
      <c r="T306" s="3" t="str">
        <f>IFERROR(MID(VLOOKUP($B306,Seqs!$A:$B,2,0),U306,1),"")</f>
        <v>G</v>
      </c>
      <c r="U306" s="3">
        <v>136</v>
      </c>
      <c r="V306" s="3" t="str">
        <f>IFERROR(MID(VLOOKUP($B306,Seqs!$A:$B,2,0),W306,1),"")</f>
        <v>H</v>
      </c>
      <c r="W306" s="3">
        <v>171</v>
      </c>
      <c r="X306" s="3" t="str">
        <f>IFERROR(MID(VLOOKUP($B306,Seqs!$A:$B,2,0),Y306,1),"")</f>
        <v>P</v>
      </c>
      <c r="Y306" s="3">
        <v>172</v>
      </c>
      <c r="Z306" s="3" t="str">
        <f>IFERROR(MID(VLOOKUP($B306,Seqs!$A:$B,2,0),AA306,1),"")</f>
        <v>R</v>
      </c>
      <c r="AA306" s="3">
        <v>179</v>
      </c>
      <c r="AB306" s="3" t="str">
        <f>IFERROR(MID(VLOOKUP($B306,Seqs!$A:$B,2,0),AC306,1),"")</f>
        <v>T</v>
      </c>
      <c r="AC306" s="3">
        <v>180</v>
      </c>
      <c r="AD306" s="3" t="str">
        <f>IFERROR(MID(VLOOKUP($B306,Seqs!$A:$B,2,0),AE306,1),"")</f>
        <v>A</v>
      </c>
      <c r="AE306" s="3">
        <v>206</v>
      </c>
      <c r="AF306" s="3" t="str">
        <f>IFERROR(MID(VLOOKUP($B306,Seqs!$A:$B,2,0),AG306,1),"")</f>
        <v>C</v>
      </c>
      <c r="AG306" s="3">
        <v>217</v>
      </c>
      <c r="AH306" s="3" t="str">
        <f>IFERROR(MID(VLOOKUP($B306,Seqs!$A:$B,2,0),AI306,1),"")</f>
        <v>L</v>
      </c>
      <c r="AI306" s="3">
        <v>219</v>
      </c>
      <c r="AJ306" s="3" t="str">
        <f>IFERROR(MID(VLOOKUP($B306,Seqs!$A:$B,2,0),AK306,1),"")</f>
        <v>T</v>
      </c>
      <c r="AK306" s="3">
        <v>225</v>
      </c>
      <c r="AL306" s="3" t="str">
        <f>IFERROR(MID(VLOOKUP($B306,Seqs!$A:$B,2,0),AM306,1),"")</f>
        <v>L</v>
      </c>
      <c r="AM306" s="3">
        <v>257</v>
      </c>
      <c r="AN306" s="3" t="str">
        <f>IFERROR(MID(VLOOKUP($B306,Seqs!$A:$B,2,0),AO306,1),"")</f>
        <v>N</v>
      </c>
      <c r="AO306" s="3">
        <v>274</v>
      </c>
      <c r="AP306" s="3" t="str">
        <f>IFERROR(MID(VLOOKUP($B306,Seqs!$A:$B,2,0),AQ306,1),"")</f>
        <v>I</v>
      </c>
      <c r="AQ306" s="3">
        <v>306</v>
      </c>
      <c r="AR306" s="3" t="str">
        <f>IFERROR(MID(VLOOKUP($B306,Seqs!$A:$B,2,0),AS306,1),"")</f>
        <v>T</v>
      </c>
      <c r="AS306" s="3">
        <v>311</v>
      </c>
      <c r="AT306" s="3" t="str">
        <f>IFERROR(MID(VLOOKUP($B306,Seqs!$A:$B,2,0),AU306,1),"")</f>
        <v>L</v>
      </c>
      <c r="AU306" s="3">
        <v>339</v>
      </c>
      <c r="AV306" s="3" t="str">
        <f>IFERROR(MID(VLOOKUP($B306,Seqs!$A:$B,2,0),AW306,1),"")</f>
        <v>D</v>
      </c>
      <c r="AW306" s="3">
        <v>340</v>
      </c>
      <c r="AX306" s="3" t="str">
        <f>IFERROR(MID(VLOOKUP($B306,Seqs!$A:$B,2,0),AY306,1),"")</f>
        <v>I</v>
      </c>
      <c r="AY306" s="3">
        <v>352</v>
      </c>
      <c r="AZ306" s="77" t="str">
        <f>VLOOKUP(B306,Classification!A:D,2,0)</f>
        <v>A</v>
      </c>
      <c r="BA306" s="94" t="str">
        <f>VLOOKUP(B306,Classification!A:D,4,0)</f>
        <v>Opioid</v>
      </c>
      <c r="BB306" s="27" t="b">
        <f t="shared" si="2208"/>
        <v>1</v>
      </c>
      <c r="BC306" s="23">
        <f t="shared" si="1957"/>
        <v>252</v>
      </c>
      <c r="BD306" s="2" t="s">
        <v>1372</v>
      </c>
      <c r="BE306" s="3" t="s">
        <v>1370</v>
      </c>
      <c r="BF306" s="118">
        <v>2.8</v>
      </c>
      <c r="BG306" s="49" t="s">
        <v>1373</v>
      </c>
      <c r="BH306" s="49" t="s">
        <v>1373</v>
      </c>
      <c r="BI306" s="1"/>
      <c r="BJ306" s="70" t="s">
        <v>1283</v>
      </c>
      <c r="BK306" s="57" t="s">
        <v>1283</v>
      </c>
      <c r="BL306" s="57" t="s">
        <v>1283</v>
      </c>
      <c r="BM306" s="57" t="s">
        <v>1283</v>
      </c>
      <c r="BN306" s="57" t="s">
        <v>1283</v>
      </c>
      <c r="BO306" s="57" t="s">
        <v>1283</v>
      </c>
      <c r="BP306" s="57" t="s">
        <v>1283</v>
      </c>
      <c r="BQ306" s="57" t="s">
        <v>1283</v>
      </c>
      <c r="BR306" s="57" t="s">
        <v>1283</v>
      </c>
      <c r="BS306" s="57" t="s">
        <v>1283</v>
      </c>
      <c r="BT306" s="57" t="s">
        <v>1283</v>
      </c>
      <c r="BU306" s="57" t="s">
        <v>1283</v>
      </c>
      <c r="BV306" s="70">
        <f t="shared" si="1958"/>
        <v>65</v>
      </c>
      <c r="BW306" s="71">
        <f t="shared" si="1959"/>
        <v>97</v>
      </c>
      <c r="BX306" s="72">
        <f t="shared" si="1960"/>
        <v>101</v>
      </c>
      <c r="BY306" s="71">
        <f t="shared" si="1961"/>
        <v>132</v>
      </c>
      <c r="BZ306" s="72">
        <f t="shared" si="1962"/>
        <v>136</v>
      </c>
      <c r="CA306" s="71">
        <f t="shared" si="1963"/>
        <v>172</v>
      </c>
      <c r="CB306" s="72">
        <f t="shared" si="1964"/>
        <v>180</v>
      </c>
      <c r="CC306" s="71">
        <f t="shared" si="1965"/>
        <v>217</v>
      </c>
      <c r="CD306" s="72">
        <f t="shared" si="1966"/>
        <v>225</v>
      </c>
      <c r="CE306" s="71">
        <f t="shared" si="1967"/>
        <v>274</v>
      </c>
      <c r="CF306" s="72">
        <f t="shared" si="1968"/>
        <v>311</v>
      </c>
      <c r="CG306" s="71">
        <f t="shared" si="1969"/>
        <v>340</v>
      </c>
      <c r="CH306" s="70">
        <f t="shared" si="1970"/>
        <v>96</v>
      </c>
      <c r="CI306" s="71">
        <f t="shared" si="1971"/>
        <v>100</v>
      </c>
      <c r="CJ306" s="72">
        <f t="shared" si="1972"/>
        <v>130</v>
      </c>
      <c r="CK306" s="72">
        <f t="shared" si="1973"/>
        <v>135</v>
      </c>
      <c r="CL306" s="72">
        <f t="shared" si="1974"/>
        <v>171</v>
      </c>
      <c r="CM306" s="72">
        <f t="shared" si="1975"/>
        <v>179</v>
      </c>
      <c r="CN306" s="72">
        <f t="shared" si="1976"/>
        <v>206</v>
      </c>
      <c r="CO306" s="72">
        <f t="shared" si="1977"/>
        <v>219</v>
      </c>
      <c r="CP306" s="72">
        <f t="shared" si="1978"/>
        <v>257</v>
      </c>
      <c r="CQ306" s="72">
        <f t="shared" si="1979"/>
        <v>306</v>
      </c>
      <c r="CR306" s="72">
        <f t="shared" si="1980"/>
        <v>339</v>
      </c>
      <c r="CS306" s="72">
        <f t="shared" si="1981"/>
        <v>352</v>
      </c>
      <c r="CT306" s="23">
        <f t="shared" si="1982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si="2207"/>
        <v>oprm_mouse_5C1M</v>
      </c>
      <c r="B307" s="3" t="s">
        <v>913</v>
      </c>
      <c r="C307" s="3" t="s">
        <v>84</v>
      </c>
      <c r="D307" s="3" t="str">
        <f>IFERROR(MID(VLOOKUP($B307,Seqs!$A:$B,2,0),E307,1),"")</f>
        <v>M</v>
      </c>
      <c r="E307" s="3">
        <v>65</v>
      </c>
      <c r="F307" s="3" t="str">
        <f>IFERROR(MID(VLOOKUP($B307,Seqs!$A:$B,2,0),G307,1),"")</f>
        <v>Y</v>
      </c>
      <c r="G307" s="3">
        <v>96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T</v>
      </c>
      <c r="M307" s="3">
        <v>101</v>
      </c>
      <c r="N307" s="3" t="str">
        <f>IFERROR(MID(VLOOKUP($B307,Seqs!$A:$B,2,0),O307,1),"")</f>
        <v>M</v>
      </c>
      <c r="O307" s="3">
        <v>130</v>
      </c>
      <c r="P307" s="3" t="str">
        <f>IFERROR(MID(VLOOKUP($B307,Seqs!$A:$B,2,0),Q307,1),"")</f>
        <v>T</v>
      </c>
      <c r="Q307" s="3">
        <v>132</v>
      </c>
      <c r="R307" s="3" t="str">
        <f>IFERROR(MID(VLOOKUP($B307,Seqs!$A:$B,2,0),S307,1),"")</f>
        <v>F</v>
      </c>
      <c r="S307" s="3">
        <v>135</v>
      </c>
      <c r="T307" s="3" t="str">
        <f>IFERROR(MID(VLOOKUP($B307,Seqs!$A:$B,2,0),U307,1),"")</f>
        <v>G</v>
      </c>
      <c r="U307" s="3">
        <v>136</v>
      </c>
      <c r="V307" s="3" t="str">
        <f>IFERROR(MID(VLOOKUP($B307,Seqs!$A:$B,2,0),W307,1),"")</f>
        <v>H</v>
      </c>
      <c r="W307" s="3">
        <v>171</v>
      </c>
      <c r="X307" s="3" t="str">
        <f>IFERROR(MID(VLOOKUP($B307,Seqs!$A:$B,2,0),Y307,1),"")</f>
        <v>P</v>
      </c>
      <c r="Y307" s="3">
        <v>172</v>
      </c>
      <c r="Z307" s="3" t="str">
        <f>IFERROR(MID(VLOOKUP($B307,Seqs!$A:$B,2,0),AA307,1),"")</f>
        <v>R</v>
      </c>
      <c r="AA307" s="3">
        <v>179</v>
      </c>
      <c r="AB307" s="3" t="str">
        <f>IFERROR(MID(VLOOKUP($B307,Seqs!$A:$B,2,0),AC307,1),"")</f>
        <v>T</v>
      </c>
      <c r="AC307" s="3">
        <v>180</v>
      </c>
      <c r="AD307" s="3" t="str">
        <f>IFERROR(MID(VLOOKUP($B307,Seqs!$A:$B,2,0),AE307,1),"")</f>
        <v>A</v>
      </c>
      <c r="AE307" s="3">
        <v>206</v>
      </c>
      <c r="AF307" s="3" t="str">
        <f>IFERROR(MID(VLOOKUP($B307,Seqs!$A:$B,2,0),AG307,1),"")</f>
        <v>C</v>
      </c>
      <c r="AG307" s="3">
        <v>217</v>
      </c>
      <c r="AH307" s="3" t="str">
        <f>IFERROR(MID(VLOOKUP($B307,Seqs!$A:$B,2,0),AI307,1),"")</f>
        <v>L</v>
      </c>
      <c r="AI307" s="3">
        <v>219</v>
      </c>
      <c r="AJ307" s="3" t="str">
        <f>IFERROR(MID(VLOOKUP($B307,Seqs!$A:$B,2,0),AK307,1),"")</f>
        <v>T</v>
      </c>
      <c r="AK307" s="3">
        <v>225</v>
      </c>
      <c r="AL307" s="3" t="str">
        <f>IFERROR(MID(VLOOKUP($B307,Seqs!$A:$B,2,0),AM307,1),"")</f>
        <v>V</v>
      </c>
      <c r="AM307" s="3">
        <v>262</v>
      </c>
      <c r="AN307" s="3" t="str">
        <f>IFERROR(MID(VLOOKUP($B307,Seqs!$A:$B,2,0),AO307,1),"")</f>
        <v>S</v>
      </c>
      <c r="AO307" s="3">
        <v>268</v>
      </c>
      <c r="AP307" s="3" t="str">
        <f>IFERROR(MID(VLOOKUP($B307,Seqs!$A:$B,2,0),AQ307,1),"")</f>
        <v>I</v>
      </c>
      <c r="AQ307" s="3">
        <v>306</v>
      </c>
      <c r="AR307" s="3" t="str">
        <f>IFERROR(MID(VLOOKUP($B307,Seqs!$A:$B,2,0),AS307,1),"")</f>
        <v>T</v>
      </c>
      <c r="AS307" s="3">
        <v>311</v>
      </c>
      <c r="AT307" s="3" t="str">
        <f>IFERROR(MID(VLOOKUP($B307,Seqs!$A:$B,2,0),AU307,1),"")</f>
        <v>P</v>
      </c>
      <c r="AU307" s="3">
        <v>333</v>
      </c>
      <c r="AV307" s="3" t="str">
        <f>IFERROR(MID(VLOOKUP($B307,Seqs!$A:$B,2,0),AW307,1),"")</f>
        <v/>
      </c>
      <c r="AW307" s="3" t="s">
        <v>23</v>
      </c>
      <c r="AX307" s="3" t="str">
        <f>IFERROR(MID(VLOOKUP($B307,Seqs!$A:$B,2,0),AY307,1),"")</f>
        <v/>
      </c>
      <c r="AY307" s="3" t="s">
        <v>23</v>
      </c>
      <c r="AZ307" s="77" t="str">
        <f>VLOOKUP(B307,Classification!A:D,2,0)</f>
        <v>A</v>
      </c>
      <c r="BA307" s="94" t="str">
        <f>VLOOKUP(B307,Classification!A:D,4,0)</f>
        <v>Opioid</v>
      </c>
      <c r="BB307" s="27" t="b">
        <f t="shared" si="2208"/>
        <v>1</v>
      </c>
      <c r="BC307" s="23">
        <f t="shared" si="1957"/>
        <v>242</v>
      </c>
      <c r="BD307" s="5" t="s">
        <v>1371</v>
      </c>
      <c r="BE307" s="3" t="s">
        <v>1287</v>
      </c>
      <c r="BF307" s="118">
        <v>2.1</v>
      </c>
      <c r="BG307" s="49" t="s">
        <v>1373</v>
      </c>
      <c r="BH307" s="49" t="s">
        <v>1373</v>
      </c>
      <c r="BI307" s="1"/>
      <c r="BJ307" s="70" t="s">
        <v>1283</v>
      </c>
      <c r="BK307" s="57" t="s">
        <v>1283</v>
      </c>
      <c r="BL307" s="57" t="s">
        <v>1283</v>
      </c>
      <c r="BM307" s="57" t="s">
        <v>1283</v>
      </c>
      <c r="BN307" s="57" t="s">
        <v>1283</v>
      </c>
      <c r="BO307" s="57" t="s">
        <v>1283</v>
      </c>
      <c r="BP307" s="57" t="s">
        <v>1283</v>
      </c>
      <c r="BQ307" s="57" t="s">
        <v>1283</v>
      </c>
      <c r="BR307" s="57" t="s">
        <v>1283</v>
      </c>
      <c r="BS307" s="57" t="s">
        <v>1283</v>
      </c>
      <c r="BT307" s="57" t="s">
        <v>1283</v>
      </c>
      <c r="BU307" s="57" t="s">
        <v>1283</v>
      </c>
      <c r="BV307" s="70">
        <f t="shared" si="1958"/>
        <v>65</v>
      </c>
      <c r="BW307" s="71" t="str">
        <f t="shared" si="1959"/>
        <v>-</v>
      </c>
      <c r="BX307" s="72">
        <f t="shared" si="1960"/>
        <v>101</v>
      </c>
      <c r="BY307" s="71">
        <f t="shared" si="1961"/>
        <v>132</v>
      </c>
      <c r="BZ307" s="72">
        <f t="shared" si="1962"/>
        <v>136</v>
      </c>
      <c r="CA307" s="71">
        <f t="shared" si="1963"/>
        <v>172</v>
      </c>
      <c r="CB307" s="72">
        <f t="shared" si="1964"/>
        <v>180</v>
      </c>
      <c r="CC307" s="71">
        <f t="shared" si="1965"/>
        <v>217</v>
      </c>
      <c r="CD307" s="72">
        <f t="shared" si="1966"/>
        <v>225</v>
      </c>
      <c r="CE307" s="71">
        <f t="shared" si="1967"/>
        <v>268</v>
      </c>
      <c r="CF307" s="72">
        <f t="shared" si="1968"/>
        <v>311</v>
      </c>
      <c r="CG307" s="71" t="str">
        <f t="shared" si="1969"/>
        <v>-</v>
      </c>
      <c r="CH307" s="70">
        <f t="shared" si="1970"/>
        <v>96</v>
      </c>
      <c r="CI307" s="71" t="str">
        <f t="shared" si="1971"/>
        <v>-</v>
      </c>
      <c r="CJ307" s="72">
        <f t="shared" si="1972"/>
        <v>130</v>
      </c>
      <c r="CK307" s="72">
        <f t="shared" si="1973"/>
        <v>135</v>
      </c>
      <c r="CL307" s="72">
        <f t="shared" si="1974"/>
        <v>171</v>
      </c>
      <c r="CM307" s="72">
        <f t="shared" si="1975"/>
        <v>179</v>
      </c>
      <c r="CN307" s="72">
        <f t="shared" si="1976"/>
        <v>206</v>
      </c>
      <c r="CO307" s="72">
        <f t="shared" si="1977"/>
        <v>219</v>
      </c>
      <c r="CP307" s="72">
        <f t="shared" si="1978"/>
        <v>262</v>
      </c>
      <c r="CQ307" s="72">
        <f t="shared" si="1979"/>
        <v>306</v>
      </c>
      <c r="CR307" s="72">
        <f t="shared" si="1980"/>
        <v>333</v>
      </c>
      <c r="CS307" s="72" t="str">
        <f t="shared" si="1981"/>
        <v>-</v>
      </c>
      <c r="CT307" s="23" t="e">
        <f t="shared" si="1982"/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>CONCATENATE(B308,"_",C308)</f>
        <v>oprm_mouse_6DDE</v>
      </c>
      <c r="B308" s="3" t="s">
        <v>913</v>
      </c>
      <c r="C308" s="3" t="s">
        <v>1496</v>
      </c>
      <c r="D308" s="3" t="str">
        <f>IFERROR(MID(VLOOKUP($B308,Seqs!$A:$B,2,0),E308,1),"")</f>
        <v>T</v>
      </c>
      <c r="E308" s="3">
        <v>67</v>
      </c>
      <c r="F308" s="3" t="str">
        <f>IFERROR(MID(VLOOKUP($B308,Seqs!$A:$B,2,0),G308,1),"")</f>
        <v>K</v>
      </c>
      <c r="G308" s="3">
        <v>98</v>
      </c>
      <c r="H308" s="3" t="str">
        <f>IFERROR(MID(VLOOKUP($B308,Seqs!$A:$B,2,0),I308,1),"")</f>
        <v/>
      </c>
      <c r="I308" s="23" t="s">
        <v>23</v>
      </c>
      <c r="J308" s="3" t="str">
        <f>IFERROR(MID(VLOOKUP($B308,Seqs!$A:$B,2,0),K308,1),"")</f>
        <v/>
      </c>
      <c r="K308" s="23" t="s">
        <v>23</v>
      </c>
      <c r="L308" s="3" t="str">
        <f>IFERROR(MID(VLOOKUP($B308,Seqs!$A:$B,2,0),M308,1),"")</f>
        <v>A</v>
      </c>
      <c r="M308" s="3">
        <v>102</v>
      </c>
      <c r="N308" s="3" t="str">
        <f>IFERROR(MID(VLOOKUP($B308,Seqs!$A:$B,2,0),O308,1),"")</f>
        <v>G</v>
      </c>
      <c r="O308" s="3">
        <v>131</v>
      </c>
      <c r="P308" s="3" t="str">
        <f>IFERROR(MID(VLOOKUP($B308,Seqs!$A:$B,2,0),Q308,1),"")</f>
        <v>T</v>
      </c>
      <c r="Q308" s="3">
        <v>132</v>
      </c>
      <c r="R308" s="3" t="str">
        <f>IFERROR(MID(VLOOKUP($B308,Seqs!$A:$B,2,0),S308,1),"")</f>
        <v>F</v>
      </c>
      <c r="S308" s="3">
        <v>135</v>
      </c>
      <c r="T308" s="3" t="str">
        <f>IFERROR(MID(VLOOKUP($B308,Seqs!$A:$B,2,0),U308,1),"")</f>
        <v>G</v>
      </c>
      <c r="U308" s="3">
        <v>136</v>
      </c>
      <c r="V308" s="3" t="str">
        <f>IFERROR(MID(VLOOKUP($B308,Seqs!$A:$B,2,0),W308,1),"")</f>
        <v>H</v>
      </c>
      <c r="W308" s="3">
        <v>171</v>
      </c>
      <c r="X308" s="3" t="str">
        <f>IFERROR(MID(VLOOKUP($B308,Seqs!$A:$B,2,0),Y308,1),"")</f>
        <v>P</v>
      </c>
      <c r="Y308" s="3">
        <v>172</v>
      </c>
      <c r="Z308" s="3" t="str">
        <f>IFERROR(MID(VLOOKUP($B308,Seqs!$A:$B,2,0),AA308,1),"")</f>
        <v>R</v>
      </c>
      <c r="AA308" s="3">
        <v>179</v>
      </c>
      <c r="AB308" s="3" t="str">
        <f>IFERROR(MID(VLOOKUP($B308,Seqs!$A:$B,2,0),AC308,1),"")</f>
        <v>T</v>
      </c>
      <c r="AC308" s="3">
        <v>180</v>
      </c>
      <c r="AD308" s="3" t="str">
        <f>IFERROR(MID(VLOOKUP($B308,Seqs!$A:$B,2,0),AE308,1),"")</f>
        <v>F</v>
      </c>
      <c r="AE308" s="3">
        <v>204</v>
      </c>
      <c r="AF308" s="3" t="str">
        <f>IFERROR(MID(VLOOKUP($B308,Seqs!$A:$B,2,0),AG308,1),"")</f>
        <v>C</v>
      </c>
      <c r="AG308" s="3">
        <v>217</v>
      </c>
      <c r="AH308" s="3" t="str">
        <f>IFERROR(MID(VLOOKUP($B308,Seqs!$A:$B,2,0),AI308,1),"")</f>
        <v>L</v>
      </c>
      <c r="AI308" s="3">
        <v>219</v>
      </c>
      <c r="AJ308" s="3" t="str">
        <f>IFERROR(MID(VLOOKUP($B308,Seqs!$A:$B,2,0),AK308,1),"")</f>
        <v>Y</v>
      </c>
      <c r="AK308" s="3">
        <v>227</v>
      </c>
      <c r="AL308" s="3" t="str">
        <f>IFERROR(MID(VLOOKUP($B308,Seqs!$A:$B,2,0),AM308,1),"")</f>
        <v>V</v>
      </c>
      <c r="AM308" s="3">
        <v>262</v>
      </c>
      <c r="AN308" s="3" t="str">
        <f>IFERROR(MID(VLOOKUP($B308,Seqs!$A:$B,2,0),AO308,1),"")</f>
        <v>S</v>
      </c>
      <c r="AO308" s="3">
        <v>268</v>
      </c>
      <c r="AP308" s="3" t="str">
        <f>IFERROR(MID(VLOOKUP($B308,Seqs!$A:$B,2,0),AQ308,1),"")</f>
        <v>I</v>
      </c>
      <c r="AQ308" s="3">
        <v>306</v>
      </c>
      <c r="AR308" s="3" t="str">
        <f>IFERROR(MID(VLOOKUP($B308,Seqs!$A:$B,2,0),AS308,1),"")</f>
        <v>F</v>
      </c>
      <c r="AS308" s="3">
        <v>313</v>
      </c>
      <c r="AT308" s="3" t="str">
        <f>IFERROR(MID(VLOOKUP($B308,Seqs!$A:$B,2,0),AU308,1),"")</f>
        <v>Y</v>
      </c>
      <c r="AU308" s="3">
        <v>336</v>
      </c>
      <c r="AV308" s="3" t="str">
        <f>IFERROR(MID(VLOOKUP($B308,Seqs!$A:$B,2,0),AW308,1),"")</f>
        <v/>
      </c>
      <c r="AW308" s="3" t="s">
        <v>23</v>
      </c>
      <c r="AX308" s="3" t="str">
        <f>IFERROR(MID(VLOOKUP($B308,Seqs!$A:$B,2,0),AY308,1),"")</f>
        <v/>
      </c>
      <c r="AY308" s="3" t="s">
        <v>23</v>
      </c>
      <c r="AZ308" s="77" t="str">
        <f>VLOOKUP(B308,Classification!A:D,2,0)</f>
        <v>A</v>
      </c>
      <c r="BA308" s="94" t="str">
        <f>VLOOKUP(B308,Classification!A:D,4,0)</f>
        <v>Opioid</v>
      </c>
      <c r="BB308" s="27" t="b">
        <f>AND(E308&lt;G308,OR(G308&lt;I308,I308="-"),OR(I308&lt;K308,I308="-"),OR(K308&lt;M308,K308="-"),M308&lt;O308,OR(O308&lt;Q308,Q308="-"),OR(Q308&lt;S308,Q308="-"),OR(S308&lt;U308,S308="-"),U308&lt;W308,OR(W308&lt;Y308,Y308="-"),OR(Y308&lt;AA308,Y308="-"),OR(AA308&lt;AC308,AA308="-"),AC308&lt;AE308,OR(AE308&lt;AG308,AG308="-"),OR(AG308&lt;AI308,AG308="-"),OR(AI308&lt;AK308,AI308="-"),AK308&lt;AM308,AM308&lt;AO308,AO308&lt;AQ308,AQ308&lt;AS308,AS308&lt;AU308,OR(AU308&lt;AW308,AW308="-"),OR(AW308&lt;AY308,AW308="-"))</f>
        <v>1</v>
      </c>
      <c r="BC308" s="23">
        <f>_xlfn.AGGREGATE(9,6,CH308:CS308)-_xlfn.AGGREGATE(9,6,BV308:CG308)+12</f>
        <v>239</v>
      </c>
      <c r="BD308" s="5" t="s">
        <v>23</v>
      </c>
      <c r="BE308" s="3" t="s">
        <v>1287</v>
      </c>
      <c r="BF308" s="118">
        <v>3.5</v>
      </c>
      <c r="BG308" s="49" t="s">
        <v>1418</v>
      </c>
      <c r="BH308" s="49" t="s">
        <v>1418</v>
      </c>
      <c r="BI308" s="1"/>
      <c r="BJ308" s="70" t="s">
        <v>1283</v>
      </c>
      <c r="BK308" s="57" t="s">
        <v>1283</v>
      </c>
      <c r="BL308" s="57" t="s">
        <v>1283</v>
      </c>
      <c r="BM308" s="57" t="s">
        <v>1283</v>
      </c>
      <c r="BN308" s="57" t="s">
        <v>1283</v>
      </c>
      <c r="BO308" s="57" t="s">
        <v>1283</v>
      </c>
      <c r="BP308" s="57" t="s">
        <v>1283</v>
      </c>
      <c r="BQ308" s="57" t="s">
        <v>1283</v>
      </c>
      <c r="BR308" s="57" t="s">
        <v>1283</v>
      </c>
      <c r="BS308" s="57" t="s">
        <v>1283</v>
      </c>
      <c r="BT308" s="57" t="s">
        <v>1283</v>
      </c>
      <c r="BU308" s="57" t="s">
        <v>1283</v>
      </c>
      <c r="BV308" s="70">
        <f>E308</f>
        <v>67</v>
      </c>
      <c r="BW308" s="71" t="str">
        <f>I308</f>
        <v>-</v>
      </c>
      <c r="BX308" s="72">
        <f>M308</f>
        <v>102</v>
      </c>
      <c r="BY308" s="71">
        <f>Q308</f>
        <v>132</v>
      </c>
      <c r="BZ308" s="72">
        <f>U308</f>
        <v>136</v>
      </c>
      <c r="CA308" s="71">
        <f>Y308</f>
        <v>172</v>
      </c>
      <c r="CB308" s="72">
        <f>AC308</f>
        <v>180</v>
      </c>
      <c r="CC308" s="71">
        <f>AG308</f>
        <v>217</v>
      </c>
      <c r="CD308" s="72">
        <f>AK308</f>
        <v>227</v>
      </c>
      <c r="CE308" s="71">
        <f>AO308</f>
        <v>268</v>
      </c>
      <c r="CF308" s="72">
        <f>AS308</f>
        <v>313</v>
      </c>
      <c r="CG308" s="71" t="str">
        <f>AW308</f>
        <v>-</v>
      </c>
      <c r="CH308" s="70">
        <f>G308</f>
        <v>98</v>
      </c>
      <c r="CI308" s="71" t="str">
        <f>K308</f>
        <v>-</v>
      </c>
      <c r="CJ308" s="72">
        <f>O308</f>
        <v>131</v>
      </c>
      <c r="CK308" s="72">
        <f>S308</f>
        <v>135</v>
      </c>
      <c r="CL308" s="72">
        <f>W308</f>
        <v>171</v>
      </c>
      <c r="CM308" s="72">
        <f>AA308</f>
        <v>179</v>
      </c>
      <c r="CN308" s="72">
        <f>AE308</f>
        <v>204</v>
      </c>
      <c r="CO308" s="72">
        <f>AI308</f>
        <v>219</v>
      </c>
      <c r="CP308" s="72">
        <f>AM308</f>
        <v>262</v>
      </c>
      <c r="CQ308" s="72">
        <f>AQ308</f>
        <v>306</v>
      </c>
      <c r="CR308" s="72">
        <f>AU308</f>
        <v>336</v>
      </c>
      <c r="CS308" s="72" t="str">
        <f>AY308</f>
        <v>-</v>
      </c>
      <c r="CT308" s="23" t="e">
        <f>M308-K308</f>
        <v>#VALUE!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>CONCATENATE(B309,"_",C309)</f>
        <v>oprm_mouse_6DDF</v>
      </c>
      <c r="B309" s="3" t="s">
        <v>913</v>
      </c>
      <c r="C309" s="3" t="s">
        <v>1497</v>
      </c>
      <c r="D309" s="3" t="str">
        <f>IFERROR(MID(VLOOKUP($B309,Seqs!$A:$B,2,0),E309,1),"")</f>
        <v>T</v>
      </c>
      <c r="E309" s="3">
        <v>67</v>
      </c>
      <c r="F309" s="3" t="str">
        <f>IFERROR(MID(VLOOKUP($B309,Seqs!$A:$B,2,0),G309,1),"")</f>
        <v>K</v>
      </c>
      <c r="G309" s="3">
        <v>98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A</v>
      </c>
      <c r="M309" s="3">
        <v>102</v>
      </c>
      <c r="N309" s="3" t="str">
        <f>IFERROR(MID(VLOOKUP($B309,Seqs!$A:$B,2,0),O309,1),"")</f>
        <v>G</v>
      </c>
      <c r="O309" s="3">
        <v>131</v>
      </c>
      <c r="P309" s="3" t="str">
        <f>IFERROR(MID(VLOOKUP($B309,Seqs!$A:$B,2,0),Q309,1),"")</f>
        <v>T</v>
      </c>
      <c r="Q309" s="3">
        <v>132</v>
      </c>
      <c r="R309" s="3" t="str">
        <f>IFERROR(MID(VLOOKUP($B309,Seqs!$A:$B,2,0),S309,1),"")</f>
        <v>F</v>
      </c>
      <c r="S309" s="3">
        <v>135</v>
      </c>
      <c r="T309" s="3" t="str">
        <f>IFERROR(MID(VLOOKUP($B309,Seqs!$A:$B,2,0),U309,1),"")</f>
        <v>G</v>
      </c>
      <c r="U309" s="3">
        <v>136</v>
      </c>
      <c r="V309" s="3" t="str">
        <f>IFERROR(MID(VLOOKUP($B309,Seqs!$A:$B,2,0),W309,1),"")</f>
        <v>H</v>
      </c>
      <c r="W309" s="3">
        <v>171</v>
      </c>
      <c r="X309" s="3" t="str">
        <f>IFERROR(MID(VLOOKUP($B309,Seqs!$A:$B,2,0),Y309,1),"")</f>
        <v>P</v>
      </c>
      <c r="Y309" s="3">
        <v>172</v>
      </c>
      <c r="Z309" s="3" t="str">
        <f>IFERROR(MID(VLOOKUP($B309,Seqs!$A:$B,2,0),AA309,1),"")</f>
        <v>R</v>
      </c>
      <c r="AA309" s="3">
        <v>179</v>
      </c>
      <c r="AB309" s="3" t="str">
        <f>IFERROR(MID(VLOOKUP($B309,Seqs!$A:$B,2,0),AC309,1),"")</f>
        <v>T</v>
      </c>
      <c r="AC309" s="3">
        <v>180</v>
      </c>
      <c r="AD309" s="3" t="str">
        <f>IFERROR(MID(VLOOKUP($B309,Seqs!$A:$B,2,0),AE309,1),"")</f>
        <v>F</v>
      </c>
      <c r="AE309" s="3">
        <v>204</v>
      </c>
      <c r="AF309" s="3" t="str">
        <f>IFERROR(MID(VLOOKUP($B309,Seqs!$A:$B,2,0),AG309,1),"")</f>
        <v>C</v>
      </c>
      <c r="AG309" s="3">
        <v>217</v>
      </c>
      <c r="AH309" s="3" t="str">
        <f>IFERROR(MID(VLOOKUP($B309,Seqs!$A:$B,2,0),AI309,1),"")</f>
        <v>L</v>
      </c>
      <c r="AI309" s="3">
        <v>219</v>
      </c>
      <c r="AJ309" s="3" t="str">
        <f>IFERROR(MID(VLOOKUP($B309,Seqs!$A:$B,2,0),AK309,1),"")</f>
        <v>Y</v>
      </c>
      <c r="AK309" s="3">
        <v>227</v>
      </c>
      <c r="AL309" s="3" t="str">
        <f>IFERROR(MID(VLOOKUP($B309,Seqs!$A:$B,2,0),AM309,1),"")</f>
        <v>V</v>
      </c>
      <c r="AM309" s="3">
        <v>262</v>
      </c>
      <c r="AN309" s="3" t="str">
        <f>IFERROR(MID(VLOOKUP($B309,Seqs!$A:$B,2,0),AO309,1),"")</f>
        <v>S</v>
      </c>
      <c r="AO309" s="3">
        <v>268</v>
      </c>
      <c r="AP309" s="3" t="str">
        <f>IFERROR(MID(VLOOKUP($B309,Seqs!$A:$B,2,0),AQ309,1),"")</f>
        <v>I</v>
      </c>
      <c r="AQ309" s="3">
        <v>306</v>
      </c>
      <c r="AR309" s="3" t="str">
        <f>IFERROR(MID(VLOOKUP($B309,Seqs!$A:$B,2,0),AS309,1),"")</f>
        <v>F</v>
      </c>
      <c r="AS309" s="3">
        <v>313</v>
      </c>
      <c r="AT309" s="3" t="str">
        <f>IFERROR(MID(VLOOKUP($B309,Seqs!$A:$B,2,0),AU309,1),"")</f>
        <v>Y</v>
      </c>
      <c r="AU309" s="3">
        <v>336</v>
      </c>
      <c r="AV309" s="3" t="str">
        <f>IFERROR(MID(VLOOKUP($B309,Seqs!$A:$B,2,0),AW309,1),"")</f>
        <v/>
      </c>
      <c r="AW309" s="3" t="s">
        <v>23</v>
      </c>
      <c r="AX309" s="3" t="str">
        <f>IFERROR(MID(VLOOKUP($B309,Seqs!$A:$B,2,0),AY309,1),"")</f>
        <v/>
      </c>
      <c r="AY309" s="3" t="s">
        <v>23</v>
      </c>
      <c r="AZ309" s="77" t="str">
        <f>VLOOKUP(B309,Classification!A:D,2,0)</f>
        <v>A</v>
      </c>
      <c r="BA309" s="94" t="str">
        <f>VLOOKUP(B309,Classification!A:D,4,0)</f>
        <v>Opioid</v>
      </c>
      <c r="BB309" s="27" t="b">
        <f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23">
        <f>_xlfn.AGGREGATE(9,6,CH309:CS309)-_xlfn.AGGREGATE(9,6,BV309:CG309)+12</f>
        <v>239</v>
      </c>
      <c r="BD309" s="5" t="s">
        <v>23</v>
      </c>
      <c r="BE309" s="3" t="s">
        <v>1287</v>
      </c>
      <c r="BF309" s="118">
        <v>4.5</v>
      </c>
      <c r="BG309" s="49" t="s">
        <v>1418</v>
      </c>
      <c r="BH309" s="49" t="s">
        <v>1418</v>
      </c>
      <c r="BI309" s="1"/>
      <c r="BJ309" s="70" t="s">
        <v>1283</v>
      </c>
      <c r="BK309" s="57" t="s">
        <v>1283</v>
      </c>
      <c r="BL309" s="57" t="s">
        <v>1283</v>
      </c>
      <c r="BM309" s="57" t="s">
        <v>1283</v>
      </c>
      <c r="BN309" s="57" t="s">
        <v>1283</v>
      </c>
      <c r="BO309" s="57" t="s">
        <v>1283</v>
      </c>
      <c r="BP309" s="57" t="s">
        <v>1283</v>
      </c>
      <c r="BQ309" s="57" t="s">
        <v>1283</v>
      </c>
      <c r="BR309" s="57" t="s">
        <v>1283</v>
      </c>
      <c r="BS309" s="57" t="s">
        <v>1283</v>
      </c>
      <c r="BT309" s="57" t="s">
        <v>1283</v>
      </c>
      <c r="BU309" s="57" t="s">
        <v>1283</v>
      </c>
      <c r="BV309" s="70">
        <f>E309</f>
        <v>67</v>
      </c>
      <c r="BW309" s="71" t="str">
        <f>I309</f>
        <v>-</v>
      </c>
      <c r="BX309" s="72">
        <f>M309</f>
        <v>102</v>
      </c>
      <c r="BY309" s="71">
        <f>Q309</f>
        <v>132</v>
      </c>
      <c r="BZ309" s="72">
        <f>U309</f>
        <v>136</v>
      </c>
      <c r="CA309" s="71">
        <f>Y309</f>
        <v>172</v>
      </c>
      <c r="CB309" s="72">
        <f>AC309</f>
        <v>180</v>
      </c>
      <c r="CC309" s="71">
        <f>AG309</f>
        <v>217</v>
      </c>
      <c r="CD309" s="72">
        <f>AK309</f>
        <v>227</v>
      </c>
      <c r="CE309" s="71">
        <f>AO309</f>
        <v>268</v>
      </c>
      <c r="CF309" s="72">
        <f>AS309</f>
        <v>313</v>
      </c>
      <c r="CG309" s="71" t="str">
        <f>AW309</f>
        <v>-</v>
      </c>
      <c r="CH309" s="70">
        <f>G309</f>
        <v>98</v>
      </c>
      <c r="CI309" s="71" t="str">
        <f>K309</f>
        <v>-</v>
      </c>
      <c r="CJ309" s="72">
        <f>O309</f>
        <v>131</v>
      </c>
      <c r="CK309" s="72">
        <f>S309</f>
        <v>135</v>
      </c>
      <c r="CL309" s="72">
        <f>W309</f>
        <v>171</v>
      </c>
      <c r="CM309" s="72">
        <f>AA309</f>
        <v>179</v>
      </c>
      <c r="CN309" s="72">
        <f>AE309</f>
        <v>204</v>
      </c>
      <c r="CO309" s="72">
        <f>AI309</f>
        <v>219</v>
      </c>
      <c r="CP309" s="72">
        <f>AM309</f>
        <v>262</v>
      </c>
      <c r="CQ309" s="72">
        <f>AQ309</f>
        <v>306</v>
      </c>
      <c r="CR309" s="72">
        <f>AU309</f>
        <v>336</v>
      </c>
      <c r="CS309" s="72" t="str">
        <f>AY309</f>
        <v>-</v>
      </c>
      <c r="CT309" s="23" t="e">
        <f>M309-K309</f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2207"/>
        <v>oprx_human__wt</v>
      </c>
      <c r="B310" s="3" t="s">
        <v>1169</v>
      </c>
      <c r="C310" s="3" t="s">
        <v>100</v>
      </c>
      <c r="D310" s="3" t="str">
        <f>IFERROR(MID(VLOOKUP($B310,Seqs!$A:$B,2,0),E310,1),"")</f>
        <v>L</v>
      </c>
      <c r="E310" s="3">
        <v>48</v>
      </c>
      <c r="F310" s="3" t="str">
        <f>IFERROR(MID(VLOOKUP($B310,Seqs!$A:$B,2,0),G310,1),"")</f>
        <v>H</v>
      </c>
      <c r="G310" s="3">
        <v>79</v>
      </c>
      <c r="H310" s="3" t="str">
        <f>IFERROR(MID(VLOOKUP($B310,Seqs!$A:$B,2,0),I310,1),"")</f>
        <v>T</v>
      </c>
      <c r="I310" s="23">
        <v>80</v>
      </c>
      <c r="J310" s="3" t="str">
        <f>IFERROR(MID(VLOOKUP($B310,Seqs!$A:$B,2,0),K310,1),"")</f>
        <v>K</v>
      </c>
      <c r="K310" s="23">
        <v>83</v>
      </c>
      <c r="L310" s="3" t="str">
        <f>IFERROR(MID(VLOOKUP($B310,Seqs!$A:$B,2,0),M310,1),"")</f>
        <v>T</v>
      </c>
      <c r="M310" s="3">
        <v>84</v>
      </c>
      <c r="N310" s="3" t="str">
        <f>IFERROR(MID(VLOOKUP($B310,Seqs!$A:$B,2,0),O310,1),"")</f>
        <v>L</v>
      </c>
      <c r="O310" s="3">
        <v>113</v>
      </c>
      <c r="P310" s="3" t="str">
        <f>IFERROR(MID(VLOOKUP($B310,Seqs!$A:$B,2,0),Q310,1),"")</f>
        <v>F</v>
      </c>
      <c r="Q310" s="3">
        <v>115</v>
      </c>
      <c r="R310" s="3" t="str">
        <f>IFERROR(MID(VLOOKUP($B310,Seqs!$A:$B,2,0),S310,1),"")</f>
        <v>F</v>
      </c>
      <c r="S310" s="3">
        <v>118</v>
      </c>
      <c r="T310" s="3" t="str">
        <f>IFERROR(MID(VLOOKUP($B310,Seqs!$A:$B,2,0),U310,1),"")</f>
        <v>G</v>
      </c>
      <c r="U310" s="3">
        <v>119</v>
      </c>
      <c r="V310" s="3" t="str">
        <f>IFERROR(MID(VLOOKUP($B310,Seqs!$A:$B,2,0),W310,1),"")</f>
        <v>H</v>
      </c>
      <c r="W310" s="3">
        <v>154</v>
      </c>
      <c r="X310" s="3" t="str">
        <f>IFERROR(MID(VLOOKUP($B310,Seqs!$A:$B,2,0),Y310,1),"")</f>
        <v>P</v>
      </c>
      <c r="Y310" s="3">
        <v>155</v>
      </c>
      <c r="Z310" s="3" t="str">
        <f>IFERROR(MID(VLOOKUP($B310,Seqs!$A:$B,2,0),AA310,1),"")</f>
        <v>R</v>
      </c>
      <c r="AA310" s="3">
        <v>162</v>
      </c>
      <c r="AB310" s="3" t="str">
        <f>IFERROR(MID(VLOOKUP($B310,Seqs!$A:$B,2,0),AC310,1),"")</f>
        <v>T</v>
      </c>
      <c r="AC310" s="9">
        <v>163</v>
      </c>
      <c r="AD310" s="3" t="str">
        <f>IFERROR(MID(VLOOKUP($B310,Seqs!$A:$B,2,0),AE310,1),"")</f>
        <v>G</v>
      </c>
      <c r="AE310" s="3">
        <v>189</v>
      </c>
      <c r="AF310" s="3" t="str">
        <f>IFERROR(MID(VLOOKUP($B310,Seqs!$A:$B,2,0),AG310,1),"")</f>
        <v>C</v>
      </c>
      <c r="AG310" s="3">
        <v>200</v>
      </c>
      <c r="AH310" s="3" t="str">
        <f>IFERROR(MID(VLOOKUP($B310,Seqs!$A:$B,2,0),AI310,1),"")</f>
        <v>V</v>
      </c>
      <c r="AI310" s="3">
        <v>202</v>
      </c>
      <c r="AJ310" s="3" t="str">
        <f>IFERROR(MID(VLOOKUP($B310,Seqs!$A:$B,2,0),AK310,1),"")</f>
        <v>Q</v>
      </c>
      <c r="AK310" s="3">
        <v>208</v>
      </c>
      <c r="AL310" s="3" t="str">
        <f>IFERROR(MID(VLOOKUP($B310,Seqs!$A:$B,2,0),AM310,1),"")</f>
        <v>V</v>
      </c>
      <c r="AM310" s="3">
        <v>245</v>
      </c>
      <c r="AN310" s="3" t="str">
        <f>IFERROR(MID(VLOOKUP($B310,Seqs!$A:$B,2,0),AO310,1),"")</f>
        <v>S</v>
      </c>
      <c r="AO310" s="3">
        <v>251</v>
      </c>
      <c r="AP310" s="3" t="str">
        <f>IFERROR(MID(VLOOKUP($B310,Seqs!$A:$B,2,0),AQ310,1),"")</f>
        <v>G</v>
      </c>
      <c r="AQ310" s="3">
        <v>289</v>
      </c>
      <c r="AR310" s="3" t="str">
        <f>IFERROR(MID(VLOOKUP($B310,Seqs!$A:$B,2,0),AS310,1),"")</f>
        <v>S</v>
      </c>
      <c r="AS310" s="3">
        <v>294</v>
      </c>
      <c r="AT310" s="3" t="str">
        <f>IFERROR(MID(VLOOKUP($B310,Seqs!$A:$B,2,0),AU310,1),"")</f>
        <v>L</v>
      </c>
      <c r="AU310" s="3">
        <v>322</v>
      </c>
      <c r="AV310" s="3" t="str">
        <f>IFERROR(MID(VLOOKUP($B310,Seqs!$A:$B,2,0),AW310,1),"")</f>
        <v>D</v>
      </c>
      <c r="AW310" s="3">
        <v>323</v>
      </c>
      <c r="AX310" s="3" t="str">
        <f>IFERROR(MID(VLOOKUP($B310,Seqs!$A:$B,2,0),AY310,1),"")</f>
        <v>C</v>
      </c>
      <c r="AY310" s="3">
        <v>335</v>
      </c>
      <c r="AZ310" s="77" t="str">
        <f>VLOOKUP(B310,Classification!A:D,2,0)</f>
        <v>A</v>
      </c>
      <c r="BA310" s="94" t="str">
        <f>VLOOKUP(B310,Classification!A:D,4,0)</f>
        <v>Opioid</v>
      </c>
      <c r="BB310" s="27" t="b">
        <f t="shared" si="2208"/>
        <v>1</v>
      </c>
      <c r="BC310" s="23">
        <f t="shared" si="1957"/>
        <v>263</v>
      </c>
      <c r="BD310" s="56" t="s">
        <v>23</v>
      </c>
      <c r="BE310" s="3" t="s">
        <v>23</v>
      </c>
      <c r="BF310" s="118" t="s">
        <v>23</v>
      </c>
      <c r="BG310" s="49" t="s">
        <v>1368</v>
      </c>
      <c r="BH310" s="49" t="s">
        <v>1373</v>
      </c>
      <c r="BI310" s="1"/>
      <c r="BJ310" s="70" t="s">
        <v>1283</v>
      </c>
      <c r="BK310" s="57" t="s">
        <v>1283</v>
      </c>
      <c r="BL310" s="57" t="s">
        <v>1283</v>
      </c>
      <c r="BM310" s="57" t="s">
        <v>1283</v>
      </c>
      <c r="BN310" s="57" t="s">
        <v>1283</v>
      </c>
      <c r="BO310" s="57" t="s">
        <v>1283</v>
      </c>
      <c r="BP310" s="57" t="s">
        <v>1283</v>
      </c>
      <c r="BQ310" s="57" t="s">
        <v>1283</v>
      </c>
      <c r="BR310" s="57" t="s">
        <v>1283</v>
      </c>
      <c r="BS310" s="57" t="s">
        <v>1283</v>
      </c>
      <c r="BT310" s="57" t="s">
        <v>1283</v>
      </c>
      <c r="BU310" s="57" t="s">
        <v>1283</v>
      </c>
      <c r="BV310" s="70">
        <f t="shared" si="1958"/>
        <v>48</v>
      </c>
      <c r="BW310" s="71">
        <f t="shared" si="1959"/>
        <v>80</v>
      </c>
      <c r="BX310" s="72">
        <f t="shared" si="1960"/>
        <v>84</v>
      </c>
      <c r="BY310" s="71">
        <f t="shared" si="1961"/>
        <v>115</v>
      </c>
      <c r="BZ310" s="72">
        <f t="shared" si="1962"/>
        <v>119</v>
      </c>
      <c r="CA310" s="71">
        <f t="shared" si="1963"/>
        <v>155</v>
      </c>
      <c r="CB310" s="72">
        <f t="shared" si="1964"/>
        <v>163</v>
      </c>
      <c r="CC310" s="71">
        <f t="shared" si="1965"/>
        <v>200</v>
      </c>
      <c r="CD310" s="72">
        <f t="shared" si="1966"/>
        <v>208</v>
      </c>
      <c r="CE310" s="71">
        <f t="shared" si="1967"/>
        <v>251</v>
      </c>
      <c r="CF310" s="72">
        <f t="shared" si="1968"/>
        <v>294</v>
      </c>
      <c r="CG310" s="71">
        <f t="shared" si="1969"/>
        <v>323</v>
      </c>
      <c r="CH310" s="70">
        <f t="shared" si="1970"/>
        <v>79</v>
      </c>
      <c r="CI310" s="71">
        <f t="shared" si="1971"/>
        <v>83</v>
      </c>
      <c r="CJ310" s="72">
        <f t="shared" si="1972"/>
        <v>113</v>
      </c>
      <c r="CK310" s="72">
        <f t="shared" si="1973"/>
        <v>118</v>
      </c>
      <c r="CL310" s="72">
        <f t="shared" si="1974"/>
        <v>154</v>
      </c>
      <c r="CM310" s="72">
        <f t="shared" si="1975"/>
        <v>162</v>
      </c>
      <c r="CN310" s="72">
        <f t="shared" si="1976"/>
        <v>189</v>
      </c>
      <c r="CO310" s="72">
        <f t="shared" si="1977"/>
        <v>202</v>
      </c>
      <c r="CP310" s="72">
        <f t="shared" si="1978"/>
        <v>245</v>
      </c>
      <c r="CQ310" s="72">
        <f t="shared" si="1979"/>
        <v>289</v>
      </c>
      <c r="CR310" s="72">
        <f t="shared" si="1980"/>
        <v>322</v>
      </c>
      <c r="CS310" s="72">
        <f t="shared" si="1981"/>
        <v>335</v>
      </c>
      <c r="CT310" s="23">
        <f t="shared" si="1982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2207"/>
        <v>oprx_human_4EA3</v>
      </c>
      <c r="B311" s="3" t="s">
        <v>1169</v>
      </c>
      <c r="C311" s="3" t="s">
        <v>67</v>
      </c>
      <c r="D311" s="3" t="str">
        <f>IFERROR(MID(VLOOKUP($B311,Seqs!$A:$B,2,0),E311,1),"")</f>
        <v>L</v>
      </c>
      <c r="E311" s="3">
        <v>48</v>
      </c>
      <c r="F311" s="3" t="str">
        <f>IFERROR(MID(VLOOKUP($B311,Seqs!$A:$B,2,0),G311,1),"")</f>
        <v>H</v>
      </c>
      <c r="G311" s="3">
        <v>79</v>
      </c>
      <c r="H311" s="3" t="str">
        <f>IFERROR(MID(VLOOKUP($B311,Seqs!$A:$B,2,0),I311,1),"")</f>
        <v/>
      </c>
      <c r="I311" s="23" t="s">
        <v>23</v>
      </c>
      <c r="J311" s="3" t="str">
        <f>IFERROR(MID(VLOOKUP($B311,Seqs!$A:$B,2,0),K311,1),"")</f>
        <v/>
      </c>
      <c r="K311" s="23" t="s">
        <v>23</v>
      </c>
      <c r="L311" s="3" t="str">
        <f>IFERROR(MID(VLOOKUP($B311,Seqs!$A:$B,2,0),M311,1),"")</f>
        <v>T</v>
      </c>
      <c r="M311" s="3">
        <v>84</v>
      </c>
      <c r="N311" s="3" t="str">
        <f>IFERROR(MID(VLOOKUP($B311,Seqs!$A:$B,2,0),O311,1),"")</f>
        <v>L</v>
      </c>
      <c r="O311" s="3">
        <v>113</v>
      </c>
      <c r="P311" s="3" t="str">
        <f>IFERROR(MID(VLOOKUP($B311,Seqs!$A:$B,2,0),Q311,1),"")</f>
        <v>F</v>
      </c>
      <c r="Q311" s="3">
        <v>115</v>
      </c>
      <c r="R311" s="3" t="str">
        <f>IFERROR(MID(VLOOKUP($B311,Seqs!$A:$B,2,0),S311,1),"")</f>
        <v>F</v>
      </c>
      <c r="S311" s="3">
        <v>118</v>
      </c>
      <c r="T311" s="3" t="str">
        <f>IFERROR(MID(VLOOKUP($B311,Seqs!$A:$B,2,0),U311,1),"")</f>
        <v>G</v>
      </c>
      <c r="U311" s="3">
        <v>119</v>
      </c>
      <c r="V311" s="3" t="str">
        <f>IFERROR(MID(VLOOKUP($B311,Seqs!$A:$B,2,0),W311,1),"")</f>
        <v>H</v>
      </c>
      <c r="W311" s="3">
        <v>154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T</v>
      </c>
      <c r="AC311" s="9">
        <v>163</v>
      </c>
      <c r="AD311" s="3" t="str">
        <f>IFERROR(MID(VLOOKUP($B311,Seqs!$A:$B,2,0),AE311,1),"")</f>
        <v>G</v>
      </c>
      <c r="AE311" s="3">
        <v>189</v>
      </c>
      <c r="AF311" s="3" t="str">
        <f>IFERROR(MID(VLOOKUP($B311,Seqs!$A:$B,2,0),AG311,1),"")</f>
        <v>C</v>
      </c>
      <c r="AG311" s="3">
        <v>200</v>
      </c>
      <c r="AH311" s="3" t="str">
        <f>IFERROR(MID(VLOOKUP($B311,Seqs!$A:$B,2,0),AI311,1),"")</f>
        <v>V</v>
      </c>
      <c r="AI311" s="3">
        <v>202</v>
      </c>
      <c r="AJ311" s="3" t="str">
        <f>IFERROR(MID(VLOOKUP($B311,Seqs!$A:$B,2,0),AK311,1),"")</f>
        <v>Q</v>
      </c>
      <c r="AK311" s="3">
        <v>208</v>
      </c>
      <c r="AL311" s="3" t="str">
        <f>IFERROR(MID(VLOOKUP($B311,Seqs!$A:$B,2,0),AM311,1),"")</f>
        <v>L</v>
      </c>
      <c r="AM311" s="3">
        <v>242</v>
      </c>
      <c r="AN311" s="3" t="str">
        <f>IFERROR(MID(VLOOKUP($B311,Seqs!$A:$B,2,0),AO311,1),"")</f>
        <v>S</v>
      </c>
      <c r="AO311" s="3">
        <v>251</v>
      </c>
      <c r="AP311" s="3" t="str">
        <f>IFERROR(MID(VLOOKUP($B311,Seqs!$A:$B,2,0),AQ311,1),"")</f>
        <v>G</v>
      </c>
      <c r="AQ311" s="3">
        <v>289</v>
      </c>
      <c r="AR311" s="3" t="str">
        <f>IFERROR(MID(VLOOKUP($B311,Seqs!$A:$B,2,0),AS311,1),"")</f>
        <v>S</v>
      </c>
      <c r="AS311" s="3">
        <v>294</v>
      </c>
      <c r="AT311" s="3" t="str">
        <f>IFERROR(MID(VLOOKUP($B311,Seqs!$A:$B,2,0),AU311,1),"")</f>
        <v>L</v>
      </c>
      <c r="AU311" s="3">
        <v>322</v>
      </c>
      <c r="AV311" s="3" t="str">
        <f>IFERROR(MID(VLOOKUP($B311,Seqs!$A:$B,2,0),AW311,1),"")</f>
        <v>D</v>
      </c>
      <c r="AW311" s="3">
        <v>323</v>
      </c>
      <c r="AX311" s="3" t="str">
        <f>IFERROR(MID(VLOOKUP($B311,Seqs!$A:$B,2,0),AY311,1),"")</f>
        <v>R</v>
      </c>
      <c r="AY311" s="3">
        <v>331</v>
      </c>
      <c r="AZ311" s="77" t="str">
        <f>VLOOKUP(B311,Classification!A:D,2,0)</f>
        <v>A</v>
      </c>
      <c r="BA311" s="94" t="str">
        <f>VLOOKUP(B311,Classification!A:D,4,0)</f>
        <v>Opioid</v>
      </c>
      <c r="BB311" s="27" t="b">
        <f t="shared" si="2208"/>
        <v>1</v>
      </c>
      <c r="BC311" s="23">
        <f t="shared" si="1957"/>
        <v>246</v>
      </c>
      <c r="BD311" s="5" t="s">
        <v>23</v>
      </c>
      <c r="BE311" s="3" t="s">
        <v>1370</v>
      </c>
      <c r="BF311" s="118">
        <v>3.01</v>
      </c>
      <c r="BG311" s="49" t="s">
        <v>1373</v>
      </c>
      <c r="BH311" s="49" t="s">
        <v>1373</v>
      </c>
      <c r="BI311" s="1"/>
      <c r="BJ311" s="70" t="s">
        <v>1283</v>
      </c>
      <c r="BK311" s="57" t="s">
        <v>1283</v>
      </c>
      <c r="BL311" s="57" t="s">
        <v>1283</v>
      </c>
      <c r="BM311" s="57" t="s">
        <v>1283</v>
      </c>
      <c r="BN311" s="57" t="s">
        <v>1283</v>
      </c>
      <c r="BO311" s="57" t="s">
        <v>1283</v>
      </c>
      <c r="BP311" s="57" t="s">
        <v>1283</v>
      </c>
      <c r="BQ311" s="57" t="s">
        <v>1283</v>
      </c>
      <c r="BR311" s="57" t="s">
        <v>1283</v>
      </c>
      <c r="BS311" s="57" t="s">
        <v>1283</v>
      </c>
      <c r="BT311" s="57" t="s">
        <v>1283</v>
      </c>
      <c r="BU311" s="57" t="s">
        <v>1283</v>
      </c>
      <c r="BV311" s="70">
        <f t="shared" si="1958"/>
        <v>48</v>
      </c>
      <c r="BW311" s="71" t="str">
        <f t="shared" si="1959"/>
        <v>-</v>
      </c>
      <c r="BX311" s="72">
        <f t="shared" si="1960"/>
        <v>84</v>
      </c>
      <c r="BY311" s="71">
        <f t="shared" si="1961"/>
        <v>115</v>
      </c>
      <c r="BZ311" s="72">
        <f t="shared" si="1962"/>
        <v>119</v>
      </c>
      <c r="CA311" s="71" t="str">
        <f t="shared" si="1963"/>
        <v>-</v>
      </c>
      <c r="CB311" s="72">
        <f t="shared" si="1964"/>
        <v>163</v>
      </c>
      <c r="CC311" s="71">
        <f t="shared" si="1965"/>
        <v>200</v>
      </c>
      <c r="CD311" s="72">
        <f t="shared" si="1966"/>
        <v>208</v>
      </c>
      <c r="CE311" s="71">
        <f t="shared" si="1967"/>
        <v>251</v>
      </c>
      <c r="CF311" s="72">
        <f t="shared" si="1968"/>
        <v>294</v>
      </c>
      <c r="CG311" s="71">
        <f t="shared" si="1969"/>
        <v>323</v>
      </c>
      <c r="CH311" s="70">
        <f t="shared" si="1970"/>
        <v>79</v>
      </c>
      <c r="CI311" s="71" t="str">
        <f t="shared" si="1971"/>
        <v>-</v>
      </c>
      <c r="CJ311" s="72">
        <f t="shared" si="1972"/>
        <v>113</v>
      </c>
      <c r="CK311" s="72">
        <f t="shared" si="1973"/>
        <v>118</v>
      </c>
      <c r="CL311" s="72">
        <f t="shared" si="1974"/>
        <v>154</v>
      </c>
      <c r="CM311" s="72" t="str">
        <f t="shared" si="1975"/>
        <v>-</v>
      </c>
      <c r="CN311" s="72">
        <f t="shared" si="1976"/>
        <v>189</v>
      </c>
      <c r="CO311" s="72">
        <f t="shared" si="1977"/>
        <v>202</v>
      </c>
      <c r="CP311" s="72">
        <f t="shared" si="1978"/>
        <v>242</v>
      </c>
      <c r="CQ311" s="72">
        <f t="shared" si="1979"/>
        <v>289</v>
      </c>
      <c r="CR311" s="72">
        <f t="shared" si="1980"/>
        <v>322</v>
      </c>
      <c r="CS311" s="72">
        <f t="shared" si="1981"/>
        <v>331</v>
      </c>
      <c r="CT311" s="23" t="e">
        <f t="shared" si="1982"/>
        <v>#VALUE!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2207"/>
        <v>oprx_human_5DHG</v>
      </c>
      <c r="B312" s="3" t="s">
        <v>1169</v>
      </c>
      <c r="C312" s="3" t="s">
        <v>1351</v>
      </c>
      <c r="D312" s="3" t="str">
        <f>IFERROR(MID(VLOOKUP($B312,Seqs!$A:$B,2,0),E312,1),"")</f>
        <v>L</v>
      </c>
      <c r="E312" s="3">
        <v>48</v>
      </c>
      <c r="F312" s="3" t="str">
        <f>IFERROR(MID(VLOOKUP($B312,Seqs!$A:$B,2,0),G312,1),"")</f>
        <v>H</v>
      </c>
      <c r="G312" s="3">
        <v>79</v>
      </c>
      <c r="H312" s="3" t="str">
        <f>IFERROR(MID(VLOOKUP($B312,Seqs!$A:$B,2,0),I312,1),"")</f>
        <v/>
      </c>
      <c r="I312" s="23" t="s">
        <v>23</v>
      </c>
      <c r="J312" s="3" t="str">
        <f>IFERROR(MID(VLOOKUP($B312,Seqs!$A:$B,2,0),K312,1),"")</f>
        <v/>
      </c>
      <c r="K312" s="23" t="s">
        <v>23</v>
      </c>
      <c r="L312" s="3" t="str">
        <f>IFERROR(MID(VLOOKUP($B312,Seqs!$A:$B,2,0),M312,1),"")</f>
        <v>T</v>
      </c>
      <c r="M312" s="3">
        <v>84</v>
      </c>
      <c r="N312" s="3" t="str">
        <f>IFERROR(MID(VLOOKUP($B312,Seqs!$A:$B,2,0),O312,1),"")</f>
        <v>L</v>
      </c>
      <c r="O312" s="3">
        <v>113</v>
      </c>
      <c r="P312" s="3" t="str">
        <f>IFERROR(MID(VLOOKUP($B312,Seqs!$A:$B,2,0),Q312,1),"")</f>
        <v>F</v>
      </c>
      <c r="Q312" s="3">
        <v>115</v>
      </c>
      <c r="R312" s="3" t="str">
        <f>IFERROR(MID(VLOOKUP($B312,Seqs!$A:$B,2,0),S312,1),"")</f>
        <v>F</v>
      </c>
      <c r="S312" s="3">
        <v>118</v>
      </c>
      <c r="T312" s="3" t="str">
        <f>IFERROR(MID(VLOOKUP($B312,Seqs!$A:$B,2,0),U312,1),"")</f>
        <v>G</v>
      </c>
      <c r="U312" s="3">
        <v>119</v>
      </c>
      <c r="V312" s="3" t="str">
        <f>IFERROR(MID(VLOOKUP($B312,Seqs!$A:$B,2,0),W312,1),"")</f>
        <v>H</v>
      </c>
      <c r="W312" s="3">
        <v>154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T</v>
      </c>
      <c r="AC312" s="9">
        <v>163</v>
      </c>
      <c r="AD312" s="3" t="str">
        <f>IFERROR(MID(VLOOKUP($B312,Seqs!$A:$B,2,0),AE312,1),"")</f>
        <v>G</v>
      </c>
      <c r="AE312" s="3">
        <v>189</v>
      </c>
      <c r="AF312" s="3" t="str">
        <f>IFERROR(MID(VLOOKUP($B312,Seqs!$A:$B,2,0),AG312,1),"")</f>
        <v>C</v>
      </c>
      <c r="AG312" s="3">
        <v>200</v>
      </c>
      <c r="AH312" s="3" t="str">
        <f>IFERROR(MID(VLOOKUP($B312,Seqs!$A:$B,2,0),AI312,1),"")</f>
        <v>V</v>
      </c>
      <c r="AI312" s="3">
        <v>202</v>
      </c>
      <c r="AJ312" s="3" t="str">
        <f>IFERROR(MID(VLOOKUP($B312,Seqs!$A:$B,2,0),AK312,1),"")</f>
        <v>Q</v>
      </c>
      <c r="AK312" s="3">
        <v>208</v>
      </c>
      <c r="AL312" s="3" t="str">
        <f>IFERROR(MID(VLOOKUP($B312,Seqs!$A:$B,2,0),AM312,1),"")</f>
        <v>L</v>
      </c>
      <c r="AM312" s="3">
        <v>242</v>
      </c>
      <c r="AN312" s="3" t="str">
        <f>IFERROR(MID(VLOOKUP($B312,Seqs!$A:$B,2,0),AO312,1),"")</f>
        <v>S</v>
      </c>
      <c r="AO312" s="3">
        <v>251</v>
      </c>
      <c r="AP312" s="3" t="str">
        <f>IFERROR(MID(VLOOKUP($B312,Seqs!$A:$B,2,0),AQ312,1),"")</f>
        <v>G</v>
      </c>
      <c r="AQ312" s="3">
        <v>289</v>
      </c>
      <c r="AR312" s="3" t="str">
        <f>IFERROR(MID(VLOOKUP($B312,Seqs!$A:$B,2,0),AS312,1),"")</f>
        <v>S</v>
      </c>
      <c r="AS312" s="3">
        <v>294</v>
      </c>
      <c r="AT312" s="3" t="str">
        <f>IFERROR(MID(VLOOKUP($B312,Seqs!$A:$B,2,0),AU312,1),"")</f>
        <v>L</v>
      </c>
      <c r="AU312" s="3">
        <v>322</v>
      </c>
      <c r="AV312" s="3" t="str">
        <f>IFERROR(MID(VLOOKUP($B312,Seqs!$A:$B,2,0),AW312,1),"")</f>
        <v>D</v>
      </c>
      <c r="AW312" s="3">
        <v>323</v>
      </c>
      <c r="AX312" s="3" t="str">
        <f>IFERROR(MID(VLOOKUP($B312,Seqs!$A:$B,2,0),AY312,1),"")</f>
        <v>F</v>
      </c>
      <c r="AY312" s="3">
        <v>333</v>
      </c>
      <c r="AZ312" s="77" t="str">
        <f>VLOOKUP(B312,Classification!A:D,2,0)</f>
        <v>A</v>
      </c>
      <c r="BA312" s="94" t="str">
        <f>VLOOKUP(B312,Classification!A:D,4,0)</f>
        <v>Opioid</v>
      </c>
      <c r="BB312" s="27" t="b">
        <f t="shared" si="2208"/>
        <v>1</v>
      </c>
      <c r="BC312" s="23">
        <f t="shared" si="1957"/>
        <v>248</v>
      </c>
      <c r="BD312" s="16" t="s">
        <v>1372</v>
      </c>
      <c r="BE312" s="3" t="s">
        <v>1370</v>
      </c>
      <c r="BF312" s="118">
        <v>3</v>
      </c>
      <c r="BG312" s="49" t="s">
        <v>1277</v>
      </c>
      <c r="BH312" s="49" t="s">
        <v>1373</v>
      </c>
      <c r="BI312" s="1"/>
      <c r="BJ312" s="70" t="s">
        <v>1283</v>
      </c>
      <c r="BK312" s="57" t="s">
        <v>1283</v>
      </c>
      <c r="BL312" s="57" t="s">
        <v>1283</v>
      </c>
      <c r="BM312" s="57" t="s">
        <v>1283</v>
      </c>
      <c r="BN312" s="57" t="s">
        <v>1283</v>
      </c>
      <c r="BO312" s="57" t="s">
        <v>1283</v>
      </c>
      <c r="BP312" s="57" t="s">
        <v>1283</v>
      </c>
      <c r="BQ312" s="57" t="s">
        <v>1283</v>
      </c>
      <c r="BR312" s="57" t="s">
        <v>1283</v>
      </c>
      <c r="BS312" s="57" t="s">
        <v>1283</v>
      </c>
      <c r="BT312" s="57" t="s">
        <v>1283</v>
      </c>
      <c r="BU312" s="57" t="s">
        <v>1283</v>
      </c>
      <c r="BV312" s="70">
        <f t="shared" si="1958"/>
        <v>48</v>
      </c>
      <c r="BW312" s="71" t="str">
        <f t="shared" si="1959"/>
        <v>-</v>
      </c>
      <c r="BX312" s="72">
        <f t="shared" si="1960"/>
        <v>84</v>
      </c>
      <c r="BY312" s="71">
        <f t="shared" si="1961"/>
        <v>115</v>
      </c>
      <c r="BZ312" s="72">
        <f t="shared" si="1962"/>
        <v>119</v>
      </c>
      <c r="CA312" s="71" t="str">
        <f t="shared" si="1963"/>
        <v>-</v>
      </c>
      <c r="CB312" s="72">
        <f t="shared" si="1964"/>
        <v>163</v>
      </c>
      <c r="CC312" s="71">
        <f t="shared" si="1965"/>
        <v>200</v>
      </c>
      <c r="CD312" s="72">
        <f t="shared" si="1966"/>
        <v>208</v>
      </c>
      <c r="CE312" s="71">
        <f t="shared" si="1967"/>
        <v>251</v>
      </c>
      <c r="CF312" s="72">
        <f t="shared" si="1968"/>
        <v>294</v>
      </c>
      <c r="CG312" s="71">
        <f t="shared" si="1969"/>
        <v>323</v>
      </c>
      <c r="CH312" s="70">
        <f t="shared" si="1970"/>
        <v>79</v>
      </c>
      <c r="CI312" s="71" t="str">
        <f t="shared" si="1971"/>
        <v>-</v>
      </c>
      <c r="CJ312" s="72">
        <f t="shared" si="1972"/>
        <v>113</v>
      </c>
      <c r="CK312" s="72">
        <f t="shared" si="1973"/>
        <v>118</v>
      </c>
      <c r="CL312" s="72">
        <f t="shared" si="1974"/>
        <v>154</v>
      </c>
      <c r="CM312" s="72" t="str">
        <f t="shared" si="1975"/>
        <v>-</v>
      </c>
      <c r="CN312" s="72">
        <f t="shared" si="1976"/>
        <v>189</v>
      </c>
      <c r="CO312" s="72">
        <f t="shared" si="1977"/>
        <v>202</v>
      </c>
      <c r="CP312" s="72">
        <f t="shared" si="1978"/>
        <v>242</v>
      </c>
      <c r="CQ312" s="72">
        <f t="shared" si="1979"/>
        <v>289</v>
      </c>
      <c r="CR312" s="72">
        <f t="shared" si="1980"/>
        <v>322</v>
      </c>
      <c r="CS312" s="72">
        <f t="shared" si="1981"/>
        <v>333</v>
      </c>
      <c r="CT312" s="23" t="e">
        <f t="shared" si="1982"/>
        <v>#VALUE!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2207"/>
        <v>oprx_human_5DHH</v>
      </c>
      <c r="B313" s="3" t="s">
        <v>1169</v>
      </c>
      <c r="C313" s="3" t="s">
        <v>1352</v>
      </c>
      <c r="D313" s="3" t="str">
        <f>IFERROR(MID(VLOOKUP($B313,Seqs!$A:$B,2,0),E313,1),"")</f>
        <v>L</v>
      </c>
      <c r="E313" s="3">
        <v>48</v>
      </c>
      <c r="F313" s="3" t="str">
        <f>IFERROR(MID(VLOOKUP($B313,Seqs!$A:$B,2,0),G313,1),"")</f>
        <v>H</v>
      </c>
      <c r="G313" s="3">
        <v>79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T</v>
      </c>
      <c r="M313" s="3">
        <v>84</v>
      </c>
      <c r="N313" s="3" t="str">
        <f>IFERROR(MID(VLOOKUP($B313,Seqs!$A:$B,2,0),O313,1),"")</f>
        <v>L</v>
      </c>
      <c r="O313" s="3">
        <v>113</v>
      </c>
      <c r="P313" s="3" t="str">
        <f>IFERROR(MID(VLOOKUP($B313,Seqs!$A:$B,2,0),Q313,1),"")</f>
        <v>F</v>
      </c>
      <c r="Q313" s="3">
        <v>115</v>
      </c>
      <c r="R313" s="3" t="str">
        <f>IFERROR(MID(VLOOKUP($B313,Seqs!$A:$B,2,0),S313,1),"")</f>
        <v>F</v>
      </c>
      <c r="S313" s="3">
        <v>118</v>
      </c>
      <c r="T313" s="3" t="str">
        <f>IFERROR(MID(VLOOKUP($B313,Seqs!$A:$B,2,0),U313,1),"")</f>
        <v>G</v>
      </c>
      <c r="U313" s="3">
        <v>119</v>
      </c>
      <c r="V313" s="3" t="str">
        <f>IFERROR(MID(VLOOKUP($B313,Seqs!$A:$B,2,0),W313,1),"")</f>
        <v>H</v>
      </c>
      <c r="W313" s="3">
        <v>154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T</v>
      </c>
      <c r="AC313" s="9">
        <v>163</v>
      </c>
      <c r="AD313" s="3" t="str">
        <f>IFERROR(MID(VLOOKUP($B313,Seqs!$A:$B,2,0),AE313,1),"")</f>
        <v>G</v>
      </c>
      <c r="AE313" s="3">
        <v>189</v>
      </c>
      <c r="AF313" s="3" t="str">
        <f>IFERROR(MID(VLOOKUP($B313,Seqs!$A:$B,2,0),AG313,1),"")</f>
        <v>C</v>
      </c>
      <c r="AG313" s="3">
        <v>200</v>
      </c>
      <c r="AH313" s="3" t="str">
        <f>IFERROR(MID(VLOOKUP($B313,Seqs!$A:$B,2,0),AI313,1),"")</f>
        <v>V</v>
      </c>
      <c r="AI313" s="3">
        <v>202</v>
      </c>
      <c r="AJ313" s="3" t="str">
        <f>IFERROR(MID(VLOOKUP($B313,Seqs!$A:$B,2,0),AK313,1),"")</f>
        <v>Q</v>
      </c>
      <c r="AK313" s="3">
        <v>208</v>
      </c>
      <c r="AL313" s="3" t="str">
        <f>IFERROR(MID(VLOOKUP($B313,Seqs!$A:$B,2,0),AM313,1),"")</f>
        <v>L</v>
      </c>
      <c r="AM313" s="3">
        <v>242</v>
      </c>
      <c r="AN313" s="3" t="str">
        <f>IFERROR(MID(VLOOKUP($B313,Seqs!$A:$B,2,0),AO313,1),"")</f>
        <v>S</v>
      </c>
      <c r="AO313" s="3">
        <v>251</v>
      </c>
      <c r="AP313" s="3" t="str">
        <f>IFERROR(MID(VLOOKUP($B313,Seqs!$A:$B,2,0),AQ313,1),"")</f>
        <v>G</v>
      </c>
      <c r="AQ313" s="3">
        <v>289</v>
      </c>
      <c r="AR313" s="3" t="str">
        <f>IFERROR(MID(VLOOKUP($B313,Seqs!$A:$B,2,0),AS313,1),"")</f>
        <v>S</v>
      </c>
      <c r="AS313" s="3">
        <v>294</v>
      </c>
      <c r="AT313" s="3" t="str">
        <f>IFERROR(MID(VLOOKUP($B313,Seqs!$A:$B,2,0),AU313,1),"")</f>
        <v>L</v>
      </c>
      <c r="AU313" s="3">
        <v>322</v>
      </c>
      <c r="AV313" s="3" t="str">
        <f>IFERROR(MID(VLOOKUP($B313,Seqs!$A:$B,2,0),AW313,1),"")</f>
        <v>D</v>
      </c>
      <c r="AW313" s="3">
        <v>323</v>
      </c>
      <c r="AX313" s="3" t="str">
        <f>IFERROR(MID(VLOOKUP($B313,Seqs!$A:$B,2,0),AY313,1),"")</f>
        <v>R</v>
      </c>
      <c r="AY313" s="3">
        <v>331</v>
      </c>
      <c r="AZ313" s="77" t="str">
        <f>VLOOKUP(B313,Classification!A:D,2,0)</f>
        <v>A</v>
      </c>
      <c r="BA313" s="94" t="str">
        <f>VLOOKUP(B313,Classification!A:D,4,0)</f>
        <v>Opioid</v>
      </c>
      <c r="BB313" s="27" t="b">
        <f t="shared" si="2208"/>
        <v>1</v>
      </c>
      <c r="BC313" s="23">
        <f t="shared" si="1957"/>
        <v>246</v>
      </c>
      <c r="BD313" s="5" t="s">
        <v>23</v>
      </c>
      <c r="BE313" s="3" t="s">
        <v>1370</v>
      </c>
      <c r="BF313" s="118">
        <v>3</v>
      </c>
      <c r="BG313" s="49" t="s">
        <v>1</v>
      </c>
      <c r="BH313" s="49" t="s">
        <v>1373</v>
      </c>
      <c r="BI313" s="1" t="s">
        <v>1356</v>
      </c>
      <c r="BJ313" s="70" t="s">
        <v>1283</v>
      </c>
      <c r="BK313" s="57" t="s">
        <v>1283</v>
      </c>
      <c r="BL313" s="57" t="s">
        <v>1283</v>
      </c>
      <c r="BM313" s="57" t="s">
        <v>1283</v>
      </c>
      <c r="BN313" s="57" t="s">
        <v>1283</v>
      </c>
      <c r="BO313" s="57" t="s">
        <v>1283</v>
      </c>
      <c r="BP313" s="57" t="s">
        <v>1283</v>
      </c>
      <c r="BQ313" s="57" t="s">
        <v>1283</v>
      </c>
      <c r="BR313" s="57" t="s">
        <v>1283</v>
      </c>
      <c r="BS313" s="57" t="s">
        <v>1283</v>
      </c>
      <c r="BT313" s="57" t="s">
        <v>1283</v>
      </c>
      <c r="BU313" s="57" t="s">
        <v>1283</v>
      </c>
      <c r="BV313" s="70">
        <f t="shared" si="1958"/>
        <v>48</v>
      </c>
      <c r="BW313" s="71" t="str">
        <f t="shared" si="1959"/>
        <v>-</v>
      </c>
      <c r="BX313" s="72">
        <f t="shared" si="1960"/>
        <v>84</v>
      </c>
      <c r="BY313" s="71">
        <f t="shared" si="1961"/>
        <v>115</v>
      </c>
      <c r="BZ313" s="72">
        <f t="shared" si="1962"/>
        <v>119</v>
      </c>
      <c r="CA313" s="71" t="str">
        <f t="shared" si="1963"/>
        <v>-</v>
      </c>
      <c r="CB313" s="72">
        <f t="shared" si="1964"/>
        <v>163</v>
      </c>
      <c r="CC313" s="71">
        <f t="shared" si="1965"/>
        <v>200</v>
      </c>
      <c r="CD313" s="72">
        <f t="shared" si="1966"/>
        <v>208</v>
      </c>
      <c r="CE313" s="71">
        <f t="shared" si="1967"/>
        <v>251</v>
      </c>
      <c r="CF313" s="72">
        <f t="shared" si="1968"/>
        <v>294</v>
      </c>
      <c r="CG313" s="71">
        <f t="shared" si="1969"/>
        <v>323</v>
      </c>
      <c r="CH313" s="70">
        <f t="shared" si="1970"/>
        <v>79</v>
      </c>
      <c r="CI313" s="71" t="str">
        <f t="shared" si="1971"/>
        <v>-</v>
      </c>
      <c r="CJ313" s="72">
        <f t="shared" si="1972"/>
        <v>113</v>
      </c>
      <c r="CK313" s="72">
        <f t="shared" si="1973"/>
        <v>118</v>
      </c>
      <c r="CL313" s="72">
        <f t="shared" si="1974"/>
        <v>154</v>
      </c>
      <c r="CM313" s="72" t="str">
        <f t="shared" si="1975"/>
        <v>-</v>
      </c>
      <c r="CN313" s="72">
        <f t="shared" si="1976"/>
        <v>189</v>
      </c>
      <c r="CO313" s="72">
        <f t="shared" si="1977"/>
        <v>202</v>
      </c>
      <c r="CP313" s="72">
        <f t="shared" si="1978"/>
        <v>242</v>
      </c>
      <c r="CQ313" s="72">
        <f t="shared" si="1979"/>
        <v>289</v>
      </c>
      <c r="CR313" s="72">
        <f t="shared" si="1980"/>
        <v>322</v>
      </c>
      <c r="CS313" s="72">
        <f t="shared" si="1981"/>
        <v>331</v>
      </c>
      <c r="CT313" s="23" t="e">
        <f t="shared" si="1982"/>
        <v>#VALUE!</v>
      </c>
    </row>
    <row r="314" spans="1:1030" x14ac:dyDescent="0.2">
      <c r="A314" s="3" t="str">
        <f t="shared" si="2207"/>
        <v>opsd_bovin__wt</v>
      </c>
      <c r="B314" s="3" t="s">
        <v>915</v>
      </c>
      <c r="C314" s="3" t="s">
        <v>100</v>
      </c>
      <c r="D314" s="3" t="str">
        <f>IFERROR(MID(VLOOKUP($B314,Seqs!$A:$B,2,0),E314,1),"")</f>
        <v>E</v>
      </c>
      <c r="E314" s="105">
        <v>33</v>
      </c>
      <c r="F314" s="3" t="str">
        <f>IFERROR(MID(VLOOKUP($B314,Seqs!$A:$B,2,0),G314,1),"")</f>
        <v>H</v>
      </c>
      <c r="G314" s="3">
        <v>65</v>
      </c>
      <c r="H314" s="3" t="str">
        <f>IFERROR(MID(VLOOKUP($B314,Seqs!$A:$B,2,0),I314,1),"")</f>
        <v>K</v>
      </c>
      <c r="I314" s="23">
        <v>66</v>
      </c>
      <c r="J314" s="3" t="str">
        <f>IFERROR(MID(VLOOKUP($B314,Seqs!$A:$B,2,0),K314,1),"")</f>
        <v>R</v>
      </c>
      <c r="K314" s="23">
        <v>69</v>
      </c>
      <c r="L314" s="3" t="str">
        <f>IFERROR(MID(VLOOKUP($B314,Seqs!$A:$B,2,0),M314,1),"")</f>
        <v>T</v>
      </c>
      <c r="M314" s="3">
        <v>70</v>
      </c>
      <c r="N314" s="3" t="str">
        <f>IFERROR(MID(VLOOKUP($B314,Seqs!$A:$B,2,0),O314,1),"")</f>
        <v>H</v>
      </c>
      <c r="O314" s="3">
        <v>100</v>
      </c>
      <c r="P314" s="3" t="str">
        <f>IFERROR(MID(VLOOKUP($B314,Seqs!$A:$B,2,0),Q314,1),"")</f>
        <v>Y</v>
      </c>
      <c r="Q314" s="3">
        <v>102</v>
      </c>
      <c r="R314" s="3" t="str">
        <f>IFERROR(MID(VLOOKUP($B314,Seqs!$A:$B,2,0),S314,1),"")</f>
        <v>F</v>
      </c>
      <c r="S314" s="3">
        <v>105</v>
      </c>
      <c r="T314" s="3" t="str">
        <f>IFERROR(MID(VLOOKUP($B314,Seqs!$A:$B,2,0),U314,1),"")</f>
        <v>G</v>
      </c>
      <c r="U314" s="3">
        <v>106</v>
      </c>
      <c r="V314" s="3" t="str">
        <f>IFERROR(MID(VLOOKUP($B314,Seqs!$A:$B,2,0),W314,1),"")</f>
        <v>K</v>
      </c>
      <c r="W314" s="3">
        <v>141</v>
      </c>
      <c r="X314" s="3" t="str">
        <f>IFERROR(MID(VLOOKUP($B314,Seqs!$A:$B,2,0),Y314,1),"")</f>
        <v>P</v>
      </c>
      <c r="Y314" s="3">
        <v>142</v>
      </c>
      <c r="Z314" s="3" t="str">
        <f>IFERROR(MID(VLOOKUP($B314,Seqs!$A:$B,2,0),AA314,1),"")</f>
        <v>F</v>
      </c>
      <c r="AA314" s="105">
        <v>148</v>
      </c>
      <c r="AB314" s="3" t="str">
        <f>IFERROR(MID(VLOOKUP($B314,Seqs!$A:$B,2,0),AC314,1),"")</f>
        <v>G</v>
      </c>
      <c r="AC314" s="105">
        <v>149</v>
      </c>
      <c r="AD314" s="3" t="str">
        <f>IFERROR(MID(VLOOKUP($B314,Seqs!$A:$B,2,0),AE314,1),"")</f>
        <v>V</v>
      </c>
      <c r="AE314" s="3">
        <v>173</v>
      </c>
      <c r="AF314" s="3" t="str">
        <f>IFERROR(MID(VLOOKUP($B314,Seqs!$A:$B,2,0),AG314,1),"")</f>
        <v>C</v>
      </c>
      <c r="AG314" s="3">
        <v>187</v>
      </c>
      <c r="AH314" s="3" t="str">
        <f>IFERROR(MID(VLOOKUP($B314,Seqs!$A:$B,2,0),AI314,1),"")</f>
        <v>I</v>
      </c>
      <c r="AI314" s="3">
        <v>189</v>
      </c>
      <c r="AJ314" s="3" t="str">
        <f>IFERROR(MID(VLOOKUP($B314,Seqs!$A:$B,2,0),AK314,1),"")</f>
        <v>N</v>
      </c>
      <c r="AK314" s="3">
        <v>199</v>
      </c>
      <c r="AL314" s="3" t="str">
        <f>IFERROR(MID(VLOOKUP($B314,Seqs!$A:$B,2,0),AM314,1),"")</f>
        <v>Q</v>
      </c>
      <c r="AM314" s="3">
        <v>237</v>
      </c>
      <c r="AN314" s="3" t="str">
        <f>IFERROR(MID(VLOOKUP($B314,Seqs!$A:$B,2,0),AO314,1),"")</f>
        <v>S</v>
      </c>
      <c r="AO314" s="105">
        <v>240</v>
      </c>
      <c r="AP314" s="3" t="str">
        <f>IFERROR(MID(VLOOKUP($B314,Seqs!$A:$B,2,0),AQ314,1),"")</f>
        <v>H</v>
      </c>
      <c r="AQ314" s="3">
        <v>278</v>
      </c>
      <c r="AR314" s="3" t="str">
        <f>IFERROR(MID(VLOOKUP($B314,Seqs!$A:$B,2,0),AS314,1),"")</f>
        <v>G</v>
      </c>
      <c r="AS314" s="3">
        <v>284</v>
      </c>
      <c r="AT314" s="3" t="str">
        <f>IFERROR(MID(VLOOKUP($B314,Seqs!$A:$B,2,0),AU314,1),"")</f>
        <v>M</v>
      </c>
      <c r="AU314" s="3">
        <v>309</v>
      </c>
      <c r="AV314" s="3" t="str">
        <f>IFERROR(MID(VLOOKUP($B314,Seqs!$A:$B,2,0),AW314,1),"")</f>
        <v>N</v>
      </c>
      <c r="AW314" s="3">
        <v>310</v>
      </c>
      <c r="AX314" s="3" t="str">
        <f>IFERROR(MID(VLOOKUP($B314,Seqs!$A:$B,2,0),AY314,1),"")</f>
        <v>C</v>
      </c>
      <c r="AY314" s="3">
        <v>322</v>
      </c>
      <c r="AZ314" s="77" t="str">
        <f>VLOOKUP(B314,Classification!A:D,2,0)</f>
        <v>A</v>
      </c>
      <c r="BA314" s="94" t="str">
        <f>VLOOKUP(B314,Classification!A:D,4,0)</f>
        <v>Opsins</v>
      </c>
      <c r="BB314" s="27" t="b">
        <f t="shared" si="2208"/>
        <v>1</v>
      </c>
      <c r="BC314" s="23">
        <f t="shared" si="1957"/>
        <v>260</v>
      </c>
      <c r="BD314" s="34" t="s">
        <v>23</v>
      </c>
      <c r="BE314" s="3" t="s">
        <v>23</v>
      </c>
      <c r="BF314" s="118" t="s">
        <v>23</v>
      </c>
      <c r="BG314" s="49" t="s">
        <v>1368</v>
      </c>
      <c r="BH314" s="49" t="s">
        <v>1373</v>
      </c>
      <c r="BI314" s="1"/>
      <c r="BJ314" s="70" t="s">
        <v>1283</v>
      </c>
      <c r="BK314" s="57" t="s">
        <v>1283</v>
      </c>
      <c r="BL314" s="57" t="s">
        <v>1283</v>
      </c>
      <c r="BM314" s="57" t="s">
        <v>1283</v>
      </c>
      <c r="BN314" s="57" t="s">
        <v>1283</v>
      </c>
      <c r="BO314" s="57" t="s">
        <v>1283</v>
      </c>
      <c r="BP314" s="57" t="s">
        <v>1283</v>
      </c>
      <c r="BQ314" s="57" t="s">
        <v>1283</v>
      </c>
      <c r="BR314" s="57" t="s">
        <v>1283</v>
      </c>
      <c r="BS314" s="57" t="s">
        <v>1283</v>
      </c>
      <c r="BT314" s="57" t="s">
        <v>1283</v>
      </c>
      <c r="BU314" s="57" t="s">
        <v>1283</v>
      </c>
      <c r="BV314" s="70">
        <f t="shared" si="1958"/>
        <v>33</v>
      </c>
      <c r="BW314" s="71">
        <f t="shared" si="1959"/>
        <v>66</v>
      </c>
      <c r="BX314" s="72">
        <f t="shared" si="1960"/>
        <v>70</v>
      </c>
      <c r="BY314" s="71">
        <f t="shared" si="1961"/>
        <v>102</v>
      </c>
      <c r="BZ314" s="72">
        <f t="shared" si="1962"/>
        <v>106</v>
      </c>
      <c r="CA314" s="71">
        <f t="shared" si="1963"/>
        <v>142</v>
      </c>
      <c r="CB314" s="72">
        <f t="shared" si="1964"/>
        <v>149</v>
      </c>
      <c r="CC314" s="71">
        <f t="shared" si="1965"/>
        <v>187</v>
      </c>
      <c r="CD314" s="72">
        <f t="shared" si="1966"/>
        <v>199</v>
      </c>
      <c r="CE314" s="71">
        <f t="shared" si="1967"/>
        <v>240</v>
      </c>
      <c r="CF314" s="72">
        <f t="shared" si="1968"/>
        <v>284</v>
      </c>
      <c r="CG314" s="71">
        <f t="shared" si="1969"/>
        <v>310</v>
      </c>
      <c r="CH314" s="70">
        <f t="shared" si="1970"/>
        <v>65</v>
      </c>
      <c r="CI314" s="71">
        <f t="shared" si="1971"/>
        <v>69</v>
      </c>
      <c r="CJ314" s="72">
        <f t="shared" si="1972"/>
        <v>100</v>
      </c>
      <c r="CK314" s="72">
        <f t="shared" si="1973"/>
        <v>105</v>
      </c>
      <c r="CL314" s="72">
        <f t="shared" si="1974"/>
        <v>141</v>
      </c>
      <c r="CM314" s="72">
        <f t="shared" si="1975"/>
        <v>148</v>
      </c>
      <c r="CN314" s="72">
        <f t="shared" si="1976"/>
        <v>173</v>
      </c>
      <c r="CO314" s="72">
        <f t="shared" si="1977"/>
        <v>189</v>
      </c>
      <c r="CP314" s="72">
        <f t="shared" si="1978"/>
        <v>237</v>
      </c>
      <c r="CQ314" s="72">
        <f t="shared" si="1979"/>
        <v>278</v>
      </c>
      <c r="CR314" s="72">
        <f t="shared" si="1980"/>
        <v>309</v>
      </c>
      <c r="CS314" s="72">
        <f t="shared" si="1981"/>
        <v>322</v>
      </c>
      <c r="CT314" s="23">
        <f t="shared" si="1982"/>
        <v>1</v>
      </c>
    </row>
    <row r="315" spans="1:1030" x14ac:dyDescent="0.2">
      <c r="A315" s="3" t="str">
        <f t="shared" si="2207"/>
        <v>opsd_bovin_1GZM</v>
      </c>
      <c r="B315" s="3" t="s">
        <v>915</v>
      </c>
      <c r="C315" s="3" t="s">
        <v>1333</v>
      </c>
      <c r="D315" s="3" t="str">
        <f>IFERROR(MID(VLOOKUP($B315,Seqs!$A:$B,2,0),E315,1),"")</f>
        <v>E</v>
      </c>
      <c r="E315" s="105">
        <v>33</v>
      </c>
      <c r="F315" s="3" t="str">
        <f>IFERROR(MID(VLOOKUP($B315,Seqs!$A:$B,2,0),G315,1),"")</f>
        <v>H</v>
      </c>
      <c r="G315" s="3">
        <v>65</v>
      </c>
      <c r="H315" s="3" t="str">
        <f>IFERROR(MID(VLOOKUP($B315,Seqs!$A:$B,2,0),I315,1),"")</f>
        <v>K</v>
      </c>
      <c r="I315" s="23">
        <v>66</v>
      </c>
      <c r="J315" s="3" t="str">
        <f>IFERROR(MID(VLOOKUP($B315,Seqs!$A:$B,2,0),K315,1),"")</f>
        <v>R</v>
      </c>
      <c r="K315" s="23">
        <v>69</v>
      </c>
      <c r="L315" s="3" t="str">
        <f>IFERROR(MID(VLOOKUP($B315,Seqs!$A:$B,2,0),M315,1),"")</f>
        <v>T</v>
      </c>
      <c r="M315" s="3">
        <v>70</v>
      </c>
      <c r="N315" s="3" t="str">
        <f>IFERROR(MID(VLOOKUP($B315,Seqs!$A:$B,2,0),O315,1),"")</f>
        <v>H</v>
      </c>
      <c r="O315" s="3">
        <v>100</v>
      </c>
      <c r="P315" s="3" t="str">
        <f>IFERROR(MID(VLOOKUP($B315,Seqs!$A:$B,2,0),Q315,1),"")</f>
        <v>Y</v>
      </c>
      <c r="Q315" s="3">
        <v>102</v>
      </c>
      <c r="R315" s="3" t="str">
        <f>IFERROR(MID(VLOOKUP($B315,Seqs!$A:$B,2,0),S315,1),"")</f>
        <v>F</v>
      </c>
      <c r="S315" s="3">
        <v>105</v>
      </c>
      <c r="T315" s="3" t="str">
        <f>IFERROR(MID(VLOOKUP($B315,Seqs!$A:$B,2,0),U315,1),"")</f>
        <v>G</v>
      </c>
      <c r="U315" s="3">
        <v>106</v>
      </c>
      <c r="V315" s="3" t="str">
        <f>IFERROR(MID(VLOOKUP($B315,Seqs!$A:$B,2,0),W315,1),"")</f>
        <v>K</v>
      </c>
      <c r="W315" s="3">
        <v>141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G</v>
      </c>
      <c r="AC315" s="9">
        <v>149</v>
      </c>
      <c r="AD315" s="3" t="str">
        <f>IFERROR(MID(VLOOKUP($B315,Seqs!$A:$B,2,0),AE315,1),"")</f>
        <v>V</v>
      </c>
      <c r="AE315" s="3">
        <v>173</v>
      </c>
      <c r="AF315" s="3" t="str">
        <f>IFERROR(MID(VLOOKUP($B315,Seqs!$A:$B,2,0),AG315,1),"")</f>
        <v>C</v>
      </c>
      <c r="AG315" s="3">
        <v>187</v>
      </c>
      <c r="AH315" s="3" t="str">
        <f>IFERROR(MID(VLOOKUP($B315,Seqs!$A:$B,2,0),AI315,1),"")</f>
        <v>I</v>
      </c>
      <c r="AI315" s="3">
        <v>189</v>
      </c>
      <c r="AJ315" s="3" t="str">
        <f>IFERROR(MID(VLOOKUP($B315,Seqs!$A:$B,2,0),AK315,1),"")</f>
        <v>N</v>
      </c>
      <c r="AK315" s="3">
        <v>199</v>
      </c>
      <c r="AL315" s="3" t="str">
        <f>IFERROR(MID(VLOOKUP($B315,Seqs!$A:$B,2,0),AM315,1),"")</f>
        <v>A</v>
      </c>
      <c r="AM315" s="3">
        <v>233</v>
      </c>
      <c r="AN315" s="3" t="str">
        <f>IFERROR(MID(VLOOKUP($B315,Seqs!$A:$B,2,0),AO315,1),"")</f>
        <v>A</v>
      </c>
      <c r="AO315" s="3">
        <v>241</v>
      </c>
      <c r="AP315" s="3" t="str">
        <f>IFERROR(MID(VLOOKUP($B315,Seqs!$A:$B,2,0),AQ315,1),"")</f>
        <v>H</v>
      </c>
      <c r="AQ315" s="3">
        <v>278</v>
      </c>
      <c r="AR315" s="3" t="str">
        <f>IFERROR(MID(VLOOKUP($B315,Seqs!$A:$B,2,0),AS315,1),"")</f>
        <v>G</v>
      </c>
      <c r="AS315" s="3">
        <v>284</v>
      </c>
      <c r="AT315" s="3" t="str">
        <f>IFERROR(MID(VLOOKUP($B315,Seqs!$A:$B,2,0),AU315,1),"")</f>
        <v>M</v>
      </c>
      <c r="AU315" s="3">
        <v>309</v>
      </c>
      <c r="AV315" s="3" t="str">
        <f>IFERROR(MID(VLOOKUP($B315,Seqs!$A:$B,2,0),AW315,1),"")</f>
        <v>N</v>
      </c>
      <c r="AW315" s="3">
        <v>310</v>
      </c>
      <c r="AX315" s="3" t="str">
        <f>IFERROR(MID(VLOOKUP($B315,Seqs!$A:$B,2,0),AY315,1),"")</f>
        <v>C</v>
      </c>
      <c r="AY315" s="3">
        <v>322</v>
      </c>
      <c r="AZ315" s="77" t="str">
        <f>VLOOKUP(B315,Classification!A:D,2,0)</f>
        <v>A</v>
      </c>
      <c r="BA315" s="94" t="str">
        <f>VLOOKUP(B315,Classification!A:D,4,0)</f>
        <v>Opsins</v>
      </c>
      <c r="BB315" s="27" t="b">
        <f t="shared" si="2208"/>
        <v>1</v>
      </c>
      <c r="BC315" s="23">
        <f t="shared" si="1957"/>
        <v>249</v>
      </c>
      <c r="BD315" s="56" t="s">
        <v>1372</v>
      </c>
      <c r="BE315" s="3" t="s">
        <v>1370</v>
      </c>
      <c r="BF315" s="118">
        <v>2.65</v>
      </c>
      <c r="BG315" s="49" t="s">
        <v>1373</v>
      </c>
      <c r="BH315" s="49" t="s">
        <v>1373</v>
      </c>
      <c r="BI315" s="1"/>
      <c r="BJ315" s="70" t="s">
        <v>1283</v>
      </c>
      <c r="BK315" s="57" t="s">
        <v>1283</v>
      </c>
      <c r="BL315" s="57" t="s">
        <v>1283</v>
      </c>
      <c r="BM315" s="57" t="s">
        <v>1283</v>
      </c>
      <c r="BN315" s="57" t="s">
        <v>1283</v>
      </c>
      <c r="BO315" s="57" t="s">
        <v>1283</v>
      </c>
      <c r="BP315" s="57" t="s">
        <v>1283</v>
      </c>
      <c r="BQ315" s="57" t="s">
        <v>1283</v>
      </c>
      <c r="BR315" s="57" t="s">
        <v>1283</v>
      </c>
      <c r="BS315" s="57" t="s">
        <v>1283</v>
      </c>
      <c r="BT315" s="57" t="s">
        <v>1283</v>
      </c>
      <c r="BU315" s="57" t="s">
        <v>1283</v>
      </c>
      <c r="BV315" s="70">
        <f t="shared" si="1958"/>
        <v>33</v>
      </c>
      <c r="BW315" s="71">
        <f t="shared" si="1959"/>
        <v>66</v>
      </c>
      <c r="BX315" s="72">
        <f t="shared" si="1960"/>
        <v>70</v>
      </c>
      <c r="BY315" s="71">
        <f t="shared" si="1961"/>
        <v>102</v>
      </c>
      <c r="BZ315" s="72">
        <f t="shared" si="1962"/>
        <v>106</v>
      </c>
      <c r="CA315" s="71" t="str">
        <f t="shared" si="1963"/>
        <v>-</v>
      </c>
      <c r="CB315" s="72">
        <f t="shared" si="1964"/>
        <v>149</v>
      </c>
      <c r="CC315" s="71">
        <f t="shared" si="1965"/>
        <v>187</v>
      </c>
      <c r="CD315" s="72">
        <f t="shared" si="1966"/>
        <v>199</v>
      </c>
      <c r="CE315" s="71">
        <f t="shared" si="1967"/>
        <v>241</v>
      </c>
      <c r="CF315" s="72">
        <f t="shared" si="1968"/>
        <v>284</v>
      </c>
      <c r="CG315" s="71">
        <f t="shared" si="1969"/>
        <v>310</v>
      </c>
      <c r="CH315" s="70">
        <f t="shared" si="1970"/>
        <v>65</v>
      </c>
      <c r="CI315" s="71">
        <f t="shared" si="1971"/>
        <v>69</v>
      </c>
      <c r="CJ315" s="72">
        <f t="shared" si="1972"/>
        <v>100</v>
      </c>
      <c r="CK315" s="72">
        <f t="shared" si="1973"/>
        <v>105</v>
      </c>
      <c r="CL315" s="72">
        <f t="shared" si="1974"/>
        <v>141</v>
      </c>
      <c r="CM315" s="72" t="str">
        <f t="shared" si="1975"/>
        <v>-</v>
      </c>
      <c r="CN315" s="72">
        <f t="shared" si="1976"/>
        <v>173</v>
      </c>
      <c r="CO315" s="72">
        <f t="shared" si="1977"/>
        <v>189</v>
      </c>
      <c r="CP315" s="72">
        <f t="shared" si="1978"/>
        <v>233</v>
      </c>
      <c r="CQ315" s="72">
        <f t="shared" si="1979"/>
        <v>278</v>
      </c>
      <c r="CR315" s="72">
        <f t="shared" si="1980"/>
        <v>309</v>
      </c>
      <c r="CS315" s="72">
        <f t="shared" si="1981"/>
        <v>322</v>
      </c>
      <c r="CT315" s="23">
        <f t="shared" si="1982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x14ac:dyDescent="0.2">
      <c r="A316" s="3" t="str">
        <f t="shared" si="2207"/>
        <v>opsd_bovin_1U19</v>
      </c>
      <c r="B316" s="3" t="s">
        <v>915</v>
      </c>
      <c r="C316" s="3" t="s">
        <v>53</v>
      </c>
      <c r="D316" s="3" t="str">
        <f>IFERROR(MID(VLOOKUP($B316,Seqs!$A:$B,2,0),E316,1),"")</f>
        <v>E</v>
      </c>
      <c r="E316" s="105">
        <v>33</v>
      </c>
      <c r="F316" s="3" t="str">
        <f>IFERROR(MID(VLOOKUP($B316,Seqs!$A:$B,2,0),G316,1),"")</f>
        <v>H</v>
      </c>
      <c r="G316" s="3">
        <v>65</v>
      </c>
      <c r="H316" s="3" t="str">
        <f>IFERROR(MID(VLOOKUP($B316,Seqs!$A:$B,2,0),I316,1),"")</f>
        <v>K</v>
      </c>
      <c r="I316" s="23">
        <v>66</v>
      </c>
      <c r="J316" s="3" t="str">
        <f>IFERROR(MID(VLOOKUP($B316,Seqs!$A:$B,2,0),K316,1),"")</f>
        <v>R</v>
      </c>
      <c r="K316" s="23">
        <v>69</v>
      </c>
      <c r="L316" s="3" t="str">
        <f>IFERROR(MID(VLOOKUP($B316,Seqs!$A:$B,2,0),M316,1),"")</f>
        <v>T</v>
      </c>
      <c r="M316" s="3">
        <v>70</v>
      </c>
      <c r="N316" s="3" t="str">
        <f>IFERROR(MID(VLOOKUP($B316,Seqs!$A:$B,2,0),O316,1),"")</f>
        <v>H</v>
      </c>
      <c r="O316" s="3">
        <v>100</v>
      </c>
      <c r="P316" s="3" t="str">
        <f>IFERROR(MID(VLOOKUP($B316,Seqs!$A:$B,2,0),Q316,1),"")</f>
        <v>Y</v>
      </c>
      <c r="Q316" s="3">
        <v>102</v>
      </c>
      <c r="R316" s="3" t="str">
        <f>IFERROR(MID(VLOOKUP($B316,Seqs!$A:$B,2,0),S316,1),"")</f>
        <v>F</v>
      </c>
      <c r="S316" s="3">
        <v>105</v>
      </c>
      <c r="T316" s="3" t="str">
        <f>IFERROR(MID(VLOOKUP($B316,Seqs!$A:$B,2,0),U316,1),"")</f>
        <v>G</v>
      </c>
      <c r="U316" s="3">
        <v>106</v>
      </c>
      <c r="V316" s="3" t="str">
        <f>IFERROR(MID(VLOOKUP($B316,Seqs!$A:$B,2,0),W316,1),"")</f>
        <v>K</v>
      </c>
      <c r="W316" s="3">
        <v>141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G</v>
      </c>
      <c r="AC316" s="9">
        <v>149</v>
      </c>
      <c r="AD316" s="3" t="str">
        <f>IFERROR(MID(VLOOKUP($B316,Seqs!$A:$B,2,0),AE316,1),"")</f>
        <v>V</v>
      </c>
      <c r="AE316" s="3">
        <v>173</v>
      </c>
      <c r="AF316" s="3" t="str">
        <f>IFERROR(MID(VLOOKUP($B316,Seqs!$A:$B,2,0),AG316,1),"")</f>
        <v>C</v>
      </c>
      <c r="AG316" s="3">
        <v>187</v>
      </c>
      <c r="AH316" s="3" t="str">
        <f>IFERROR(MID(VLOOKUP($B316,Seqs!$A:$B,2,0),AI316,1),"")</f>
        <v>I</v>
      </c>
      <c r="AI316" s="3">
        <v>189</v>
      </c>
      <c r="AJ316" s="3" t="str">
        <f>IFERROR(MID(VLOOKUP($B316,Seqs!$A:$B,2,0),AK316,1),"")</f>
        <v>N</v>
      </c>
      <c r="AK316" s="3">
        <v>199</v>
      </c>
      <c r="AL316" s="3" t="str">
        <f>IFERROR(MID(VLOOKUP($B316,Seqs!$A:$B,2,0),AM316,1),"")</f>
        <v>Q</v>
      </c>
      <c r="AM316" s="3">
        <v>225</v>
      </c>
      <c r="AN316" s="3" t="str">
        <f>IFERROR(MID(VLOOKUP($B316,Seqs!$A:$B,2,0),AO316,1),"")</f>
        <v>T</v>
      </c>
      <c r="AO316" s="3">
        <v>243</v>
      </c>
      <c r="AP316" s="3" t="str">
        <f>IFERROR(MID(VLOOKUP($B316,Seqs!$A:$B,2,0),AQ316,1),"")</f>
        <v>H</v>
      </c>
      <c r="AQ316" s="3">
        <v>278</v>
      </c>
      <c r="AR316" s="3" t="str">
        <f>IFERROR(MID(VLOOKUP($B316,Seqs!$A:$B,2,0),AS316,1),"")</f>
        <v>G</v>
      </c>
      <c r="AS316" s="3">
        <v>284</v>
      </c>
      <c r="AT316" s="3" t="str">
        <f>IFERROR(MID(VLOOKUP($B316,Seqs!$A:$B,2,0),AU316,1),"")</f>
        <v>M</v>
      </c>
      <c r="AU316" s="3">
        <v>309</v>
      </c>
      <c r="AV316" s="3" t="str">
        <f>IFERROR(MID(VLOOKUP($B316,Seqs!$A:$B,2,0),AW316,1),"")</f>
        <v>N</v>
      </c>
      <c r="AW316" s="3">
        <v>310</v>
      </c>
      <c r="AX316" s="3" t="str">
        <f>IFERROR(MID(VLOOKUP($B316,Seqs!$A:$B,2,0),AY316,1),"")</f>
        <v>C</v>
      </c>
      <c r="AY316" s="3">
        <v>322</v>
      </c>
      <c r="AZ316" s="77" t="str">
        <f>VLOOKUP(B316,Classification!A:D,2,0)</f>
        <v>A</v>
      </c>
      <c r="BA316" s="94" t="str">
        <f>VLOOKUP(B316,Classification!A:D,4,0)</f>
        <v>Opsins</v>
      </c>
      <c r="BB316" s="27" t="b">
        <f t="shared" si="2208"/>
        <v>1</v>
      </c>
      <c r="BC316" s="23">
        <f t="shared" si="1957"/>
        <v>239</v>
      </c>
      <c r="BD316" s="74" t="s">
        <v>23</v>
      </c>
      <c r="BE316" s="3" t="s">
        <v>1370</v>
      </c>
      <c r="BF316" s="118">
        <v>2.2000000000000002</v>
      </c>
      <c r="BG316" s="49" t="s">
        <v>1</v>
      </c>
      <c r="BH316" s="49" t="s">
        <v>1373</v>
      </c>
      <c r="BI316" s="1"/>
      <c r="BJ316" s="70" t="s">
        <v>1283</v>
      </c>
      <c r="BK316" s="57" t="s">
        <v>1283</v>
      </c>
      <c r="BL316" s="57" t="s">
        <v>1283</v>
      </c>
      <c r="BM316" s="57" t="s">
        <v>1283</v>
      </c>
      <c r="BN316" s="57" t="s">
        <v>1283</v>
      </c>
      <c r="BO316" s="57" t="s">
        <v>1283</v>
      </c>
      <c r="BP316" s="57" t="s">
        <v>1283</v>
      </c>
      <c r="BQ316" s="57" t="s">
        <v>1283</v>
      </c>
      <c r="BR316" s="57" t="s">
        <v>1283</v>
      </c>
      <c r="BS316" s="57" t="s">
        <v>1283</v>
      </c>
      <c r="BT316" s="57" t="s">
        <v>1283</v>
      </c>
      <c r="BU316" s="57" t="s">
        <v>1283</v>
      </c>
      <c r="BV316" s="70">
        <f t="shared" si="1958"/>
        <v>33</v>
      </c>
      <c r="BW316" s="71">
        <f t="shared" si="1959"/>
        <v>66</v>
      </c>
      <c r="BX316" s="72">
        <f t="shared" si="1960"/>
        <v>70</v>
      </c>
      <c r="BY316" s="71">
        <f t="shared" si="1961"/>
        <v>102</v>
      </c>
      <c r="BZ316" s="72">
        <f t="shared" si="1962"/>
        <v>106</v>
      </c>
      <c r="CA316" s="71" t="str">
        <f t="shared" si="1963"/>
        <v>-</v>
      </c>
      <c r="CB316" s="72">
        <f t="shared" si="1964"/>
        <v>149</v>
      </c>
      <c r="CC316" s="71">
        <f t="shared" si="1965"/>
        <v>187</v>
      </c>
      <c r="CD316" s="72">
        <f t="shared" si="1966"/>
        <v>199</v>
      </c>
      <c r="CE316" s="71">
        <f t="shared" si="1967"/>
        <v>243</v>
      </c>
      <c r="CF316" s="72">
        <f t="shared" si="1968"/>
        <v>284</v>
      </c>
      <c r="CG316" s="71">
        <f t="shared" si="1969"/>
        <v>310</v>
      </c>
      <c r="CH316" s="70">
        <f t="shared" si="1970"/>
        <v>65</v>
      </c>
      <c r="CI316" s="71">
        <f t="shared" si="1971"/>
        <v>69</v>
      </c>
      <c r="CJ316" s="72">
        <f t="shared" si="1972"/>
        <v>100</v>
      </c>
      <c r="CK316" s="72">
        <f t="shared" si="1973"/>
        <v>105</v>
      </c>
      <c r="CL316" s="72">
        <f t="shared" si="1974"/>
        <v>141</v>
      </c>
      <c r="CM316" s="72" t="str">
        <f t="shared" si="1975"/>
        <v>-</v>
      </c>
      <c r="CN316" s="72">
        <f t="shared" si="1976"/>
        <v>173</v>
      </c>
      <c r="CO316" s="72">
        <f t="shared" si="1977"/>
        <v>189</v>
      </c>
      <c r="CP316" s="72">
        <f t="shared" si="1978"/>
        <v>225</v>
      </c>
      <c r="CQ316" s="72">
        <f t="shared" si="1979"/>
        <v>278</v>
      </c>
      <c r="CR316" s="72">
        <f t="shared" si="1980"/>
        <v>309</v>
      </c>
      <c r="CS316" s="72">
        <f t="shared" si="1981"/>
        <v>322</v>
      </c>
      <c r="CT316" s="23">
        <f t="shared" si="1982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30" x14ac:dyDescent="0.2">
      <c r="A317" s="3" t="str">
        <f t="shared" si="2207"/>
        <v>opsd_bovin_2X72</v>
      </c>
      <c r="B317" s="2" t="s">
        <v>915</v>
      </c>
      <c r="C317" s="3" t="s">
        <v>1365</v>
      </c>
      <c r="D317" s="3" t="str">
        <f>IFERROR(MID(VLOOKUP($B317,Seqs!$A:$B,2,0),E317,1),"")</f>
        <v>E</v>
      </c>
      <c r="E317" s="105">
        <v>33</v>
      </c>
      <c r="F317" s="3" t="str">
        <f>IFERROR(MID(VLOOKUP($B317,Seqs!$A:$B,2,0),G317,1),"")</f>
        <v>H</v>
      </c>
      <c r="G317" s="3">
        <v>65</v>
      </c>
      <c r="H317" s="3" t="str">
        <f>IFERROR(MID(VLOOKUP($B317,Seqs!$A:$B,2,0),I317,1),"")</f>
        <v>K</v>
      </c>
      <c r="I317" s="23">
        <v>66</v>
      </c>
      <c r="J317" s="3" t="str">
        <f>IFERROR(MID(VLOOKUP($B317,Seqs!$A:$B,2,0),K317,1),"")</f>
        <v>R</v>
      </c>
      <c r="K317" s="23">
        <v>69</v>
      </c>
      <c r="L317" s="3" t="str">
        <f>IFERROR(MID(VLOOKUP($B317,Seqs!$A:$B,2,0),M317,1),"")</f>
        <v>T</v>
      </c>
      <c r="M317" s="3">
        <v>70</v>
      </c>
      <c r="N317" s="3" t="str">
        <f>IFERROR(MID(VLOOKUP($B317,Seqs!$A:$B,2,0),O317,1),"")</f>
        <v>H</v>
      </c>
      <c r="O317" s="3">
        <v>100</v>
      </c>
      <c r="P317" s="3" t="str">
        <f>IFERROR(MID(VLOOKUP($B317,Seqs!$A:$B,2,0),Q317,1),"")</f>
        <v>Y</v>
      </c>
      <c r="Q317" s="3">
        <v>102</v>
      </c>
      <c r="R317" s="3" t="str">
        <f>IFERROR(MID(VLOOKUP($B317,Seqs!$A:$B,2,0),S317,1),"")</f>
        <v>F</v>
      </c>
      <c r="S317" s="3">
        <v>105</v>
      </c>
      <c r="T317" s="3" t="str">
        <f>IFERROR(MID(VLOOKUP($B317,Seqs!$A:$B,2,0),U317,1),"")</f>
        <v>G</v>
      </c>
      <c r="U317" s="3">
        <v>106</v>
      </c>
      <c r="V317" s="3" t="str">
        <f>IFERROR(MID(VLOOKUP($B317,Seqs!$A:$B,2,0),W317,1),"")</f>
        <v>K</v>
      </c>
      <c r="W317" s="3">
        <v>141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G</v>
      </c>
      <c r="AC317" s="9">
        <v>149</v>
      </c>
      <c r="AD317" s="3" t="str">
        <f>IFERROR(MID(VLOOKUP($B317,Seqs!$A:$B,2,0),AE317,1),"")</f>
        <v>V</v>
      </c>
      <c r="AE317" s="3">
        <v>173</v>
      </c>
      <c r="AF317" s="3" t="str">
        <f>IFERROR(MID(VLOOKUP($B317,Seqs!$A:$B,2,0),AG317,1),"")</f>
        <v>C</v>
      </c>
      <c r="AG317" s="3">
        <v>187</v>
      </c>
      <c r="AH317" s="3" t="str">
        <f>IFERROR(MID(VLOOKUP($B317,Seqs!$A:$B,2,0),AI317,1),"")</f>
        <v>I</v>
      </c>
      <c r="AI317" s="3">
        <v>189</v>
      </c>
      <c r="AJ317" s="3" t="str">
        <f>IFERROR(MID(VLOOKUP($B317,Seqs!$A:$B,2,0),AK317,1),"")</f>
        <v>N</v>
      </c>
      <c r="AK317" s="3">
        <v>199</v>
      </c>
      <c r="AL317" s="3" t="str">
        <f>IFERROR(MID(VLOOKUP($B317,Seqs!$A:$B,2,0),AM317,1),"")</f>
        <v>Q</v>
      </c>
      <c r="AM317" s="3">
        <v>237</v>
      </c>
      <c r="AN317" s="3" t="str">
        <f>IFERROR(MID(VLOOKUP($B317,Seqs!$A:$B,2,0),AO317,1),"")</f>
        <v>A</v>
      </c>
      <c r="AO317" s="3">
        <v>241</v>
      </c>
      <c r="AP317" s="3" t="str">
        <f>IFERROR(MID(VLOOKUP($B317,Seqs!$A:$B,2,0),AQ317,1),"")</f>
        <v>H</v>
      </c>
      <c r="AQ317" s="3">
        <v>278</v>
      </c>
      <c r="AR317" s="3" t="str">
        <f>IFERROR(MID(VLOOKUP($B317,Seqs!$A:$B,2,0),AS317,1),"")</f>
        <v>G</v>
      </c>
      <c r="AS317" s="3">
        <v>284</v>
      </c>
      <c r="AT317" s="3" t="str">
        <f>IFERROR(MID(VLOOKUP($B317,Seqs!$A:$B,2,0),AU317,1),"")</f>
        <v>M</v>
      </c>
      <c r="AU317" s="3">
        <v>309</v>
      </c>
      <c r="AV317" s="3" t="str">
        <f>IFERROR(MID(VLOOKUP($B317,Seqs!$A:$B,2,0),AW317,1),"")</f>
        <v>N</v>
      </c>
      <c r="AW317" s="3">
        <v>310</v>
      </c>
      <c r="AX317" s="3" t="str">
        <f>IFERROR(MID(VLOOKUP($B317,Seqs!$A:$B,2,0),AY317,1),"")</f>
        <v>C</v>
      </c>
      <c r="AY317" s="3">
        <v>322</v>
      </c>
      <c r="AZ317" s="77" t="str">
        <f>VLOOKUP(B317,Classification!A:D,2,0)</f>
        <v>A</v>
      </c>
      <c r="BA317" s="94" t="str">
        <f>VLOOKUP(B317,Classification!A:D,4,0)</f>
        <v>Opsins</v>
      </c>
      <c r="BB317" s="27" t="b">
        <f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23">
        <f>_xlfn.AGGREGATE(9,6,CH317:CS317)-_xlfn.AGGREGATE(9,6,BV317:CG317)+12</f>
        <v>253</v>
      </c>
      <c r="BD317" s="56" t="s">
        <v>23</v>
      </c>
      <c r="BE317" s="3" t="s">
        <v>1287</v>
      </c>
      <c r="BF317" s="118">
        <v>3</v>
      </c>
      <c r="BG317" s="49" t="s">
        <v>1373</v>
      </c>
      <c r="BH317" s="49" t="s">
        <v>1373</v>
      </c>
      <c r="BI317" s="1"/>
      <c r="BJ317" s="70" t="s">
        <v>1283</v>
      </c>
      <c r="BK317" s="57" t="s">
        <v>1283</v>
      </c>
      <c r="BL317" s="57" t="s">
        <v>1283</v>
      </c>
      <c r="BM317" s="57" t="s">
        <v>1283</v>
      </c>
      <c r="BN317" s="57" t="s">
        <v>1283</v>
      </c>
      <c r="BO317" s="57" t="s">
        <v>1283</v>
      </c>
      <c r="BP317" s="57" t="s">
        <v>1283</v>
      </c>
      <c r="BQ317" s="57" t="s">
        <v>1283</v>
      </c>
      <c r="BR317" s="57" t="s">
        <v>1283</v>
      </c>
      <c r="BS317" s="57" t="s">
        <v>1283</v>
      </c>
      <c r="BT317" s="57" t="s">
        <v>1283</v>
      </c>
      <c r="BU317" s="57" t="s">
        <v>1283</v>
      </c>
      <c r="BV317" s="70">
        <f>E317</f>
        <v>33</v>
      </c>
      <c r="BW317" s="71">
        <f>I317</f>
        <v>66</v>
      </c>
      <c r="BX317" s="72">
        <f>M317</f>
        <v>70</v>
      </c>
      <c r="BY317" s="71">
        <f>Q317</f>
        <v>102</v>
      </c>
      <c r="BZ317" s="72">
        <f>U317</f>
        <v>106</v>
      </c>
      <c r="CA317" s="71" t="str">
        <f>Y317</f>
        <v>-</v>
      </c>
      <c r="CB317" s="72">
        <f>AC317</f>
        <v>149</v>
      </c>
      <c r="CC317" s="71">
        <f>AG317</f>
        <v>187</v>
      </c>
      <c r="CD317" s="72">
        <f>AK317</f>
        <v>199</v>
      </c>
      <c r="CE317" s="71">
        <f>AO317</f>
        <v>241</v>
      </c>
      <c r="CF317" s="72">
        <f>AS317</f>
        <v>284</v>
      </c>
      <c r="CG317" s="71">
        <f>AW317</f>
        <v>310</v>
      </c>
      <c r="CH317" s="70">
        <f>G317</f>
        <v>65</v>
      </c>
      <c r="CI317" s="71">
        <f>K317</f>
        <v>69</v>
      </c>
      <c r="CJ317" s="72">
        <f>O317</f>
        <v>100</v>
      </c>
      <c r="CK317" s="72">
        <f>S317</f>
        <v>105</v>
      </c>
      <c r="CL317" s="72">
        <f>W317</f>
        <v>141</v>
      </c>
      <c r="CM317" s="72" t="str">
        <f>AA317</f>
        <v>-</v>
      </c>
      <c r="CN317" s="72">
        <f>AE317</f>
        <v>173</v>
      </c>
      <c r="CO317" s="72">
        <f>AI317</f>
        <v>189</v>
      </c>
      <c r="CP317" s="72">
        <f>AM317</f>
        <v>237</v>
      </c>
      <c r="CQ317" s="72">
        <f>AQ317</f>
        <v>278</v>
      </c>
      <c r="CR317" s="72">
        <f>AU317</f>
        <v>309</v>
      </c>
      <c r="CS317" s="72">
        <f>AY317</f>
        <v>322</v>
      </c>
      <c r="CT317" s="23">
        <f>M317-K317</f>
        <v>1</v>
      </c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"/>
      <c r="PA317" s="6"/>
      <c r="PB317" s="6"/>
      <c r="PC317" s="6"/>
      <c r="PD317" s="6"/>
      <c r="PE317" s="6"/>
      <c r="PF317" s="6"/>
      <c r="PG317" s="6"/>
      <c r="PH317" s="6"/>
      <c r="PI317" s="6"/>
      <c r="PJ317" s="6"/>
      <c r="PK317" s="6"/>
      <c r="PL317" s="6"/>
      <c r="PM317" s="6"/>
      <c r="PN317" s="6"/>
      <c r="PO317" s="6"/>
      <c r="PP317" s="6"/>
      <c r="PQ317" s="6"/>
      <c r="PR317" s="6"/>
      <c r="PS317" s="6"/>
      <c r="PT317" s="6"/>
      <c r="PU317" s="6"/>
      <c r="PV317" s="6"/>
      <c r="PW317" s="6"/>
      <c r="PX317" s="6"/>
      <c r="PY317" s="6"/>
      <c r="PZ317" s="6"/>
      <c r="QA317" s="6"/>
      <c r="QB317" s="6"/>
      <c r="QC317" s="6"/>
      <c r="QD317" s="6"/>
      <c r="QE317" s="6"/>
      <c r="QF317" s="6"/>
      <c r="QG317" s="6"/>
      <c r="QH317" s="6"/>
      <c r="QI317" s="6"/>
      <c r="QJ317" s="6"/>
      <c r="QK317" s="6"/>
      <c r="QL317" s="6"/>
      <c r="QM317" s="6"/>
      <c r="QN317" s="6"/>
      <c r="QO317" s="6"/>
      <c r="QP317" s="6"/>
      <c r="QQ317" s="6"/>
      <c r="QR317" s="6"/>
      <c r="QS317" s="6"/>
      <c r="QT317" s="6"/>
      <c r="QU317" s="6"/>
      <c r="QV317" s="6"/>
      <c r="QW317" s="6"/>
      <c r="QX317" s="6"/>
      <c r="QY317" s="6"/>
      <c r="QZ317" s="6"/>
      <c r="RA317" s="6"/>
      <c r="RB317" s="6"/>
      <c r="RC317" s="6"/>
      <c r="RD317" s="6"/>
      <c r="RE317" s="6"/>
      <c r="RF317" s="6"/>
      <c r="RG317" s="6"/>
      <c r="RH317" s="6"/>
      <c r="RI317" s="6"/>
      <c r="RJ317" s="6"/>
      <c r="RK317" s="6"/>
      <c r="RL317" s="6"/>
      <c r="RM317" s="6"/>
      <c r="RN317" s="6"/>
      <c r="RO317" s="6"/>
      <c r="RP317" s="6"/>
      <c r="RQ317" s="6"/>
      <c r="RR317" s="6"/>
      <c r="RS317" s="6"/>
      <c r="RT317" s="6"/>
      <c r="RU317" s="6"/>
      <c r="RV317" s="6"/>
      <c r="RW317" s="6"/>
      <c r="RX317" s="6"/>
      <c r="RY317" s="6"/>
      <c r="RZ317" s="6"/>
      <c r="SA317" s="6"/>
      <c r="SB317" s="6"/>
      <c r="SC317" s="6"/>
      <c r="SD317" s="6"/>
      <c r="SE317" s="6"/>
      <c r="SF317" s="6"/>
      <c r="SG317" s="6"/>
      <c r="SH317" s="6"/>
      <c r="SI317" s="6"/>
      <c r="SJ317" s="6"/>
      <c r="SK317" s="6"/>
      <c r="SL317" s="6"/>
      <c r="SM317" s="6"/>
      <c r="SN317" s="6"/>
      <c r="SO317" s="6"/>
      <c r="SP317" s="6"/>
      <c r="SQ317" s="6"/>
      <c r="SR317" s="6"/>
      <c r="SS317" s="6"/>
      <c r="ST317" s="6"/>
      <c r="SU317" s="6"/>
      <c r="SV317" s="6"/>
      <c r="SW317" s="6"/>
      <c r="SX317" s="6"/>
      <c r="SY317" s="6"/>
      <c r="SZ317" s="6"/>
      <c r="TA317" s="6"/>
      <c r="TB317" s="6"/>
      <c r="TC317" s="6"/>
      <c r="TD317" s="6"/>
      <c r="TE317" s="6"/>
      <c r="TF317" s="6"/>
      <c r="TG317" s="6"/>
      <c r="TH317" s="6"/>
      <c r="TI317" s="6"/>
      <c r="TJ317" s="6"/>
      <c r="TK317" s="6"/>
      <c r="TL317" s="6"/>
      <c r="TM317" s="6"/>
      <c r="TN317" s="6"/>
      <c r="TO317" s="6"/>
      <c r="TP317" s="6"/>
      <c r="TQ317" s="6"/>
      <c r="TR317" s="6"/>
      <c r="TS317" s="6"/>
      <c r="TT317" s="6"/>
      <c r="TU317" s="6"/>
      <c r="TV317" s="6"/>
      <c r="TW317" s="6"/>
      <c r="TX317" s="6"/>
      <c r="TY317" s="6"/>
      <c r="TZ317" s="6"/>
      <c r="UA317" s="6"/>
      <c r="UB317" s="6"/>
      <c r="UC317" s="6"/>
      <c r="UD317" s="6"/>
      <c r="UE317" s="6"/>
      <c r="UF317" s="6"/>
      <c r="UG317" s="6"/>
      <c r="UH317" s="6"/>
      <c r="UI317" s="6"/>
      <c r="UJ317" s="6"/>
      <c r="UK317" s="6"/>
      <c r="UL317" s="6"/>
      <c r="UM317" s="6"/>
      <c r="UN317" s="6"/>
      <c r="UO317" s="6"/>
      <c r="UP317" s="6"/>
      <c r="UQ317" s="6"/>
      <c r="UR317" s="6"/>
      <c r="US317" s="6"/>
      <c r="UT317" s="6"/>
      <c r="UU317" s="6"/>
      <c r="UV317" s="6"/>
      <c r="UW317" s="6"/>
      <c r="UX317" s="6"/>
      <c r="UY317" s="6"/>
      <c r="UZ317" s="6"/>
      <c r="VA317" s="6"/>
      <c r="VB317" s="6"/>
      <c r="VC317" s="6"/>
      <c r="VD317" s="6"/>
      <c r="VE317" s="6"/>
      <c r="VF317" s="6"/>
      <c r="VG317" s="6"/>
      <c r="VH317" s="6"/>
      <c r="VI317" s="6"/>
      <c r="VJ317" s="6"/>
      <c r="VK317" s="6"/>
      <c r="VL317" s="6"/>
      <c r="VM317" s="6"/>
      <c r="VN317" s="6"/>
      <c r="VO317" s="6"/>
      <c r="VP317" s="6"/>
      <c r="VQ317" s="6"/>
      <c r="VR317" s="6"/>
      <c r="VS317" s="6"/>
      <c r="VT317" s="6"/>
      <c r="VU317" s="6"/>
      <c r="VV317" s="6"/>
      <c r="VW317" s="6"/>
      <c r="VX317" s="6"/>
      <c r="VY317" s="6"/>
      <c r="VZ317" s="6"/>
      <c r="WA317" s="6"/>
      <c r="WB317" s="6"/>
      <c r="WC317" s="6"/>
      <c r="WD317" s="6"/>
      <c r="WE317" s="6"/>
      <c r="WF317" s="6"/>
      <c r="WG317" s="6"/>
      <c r="WH317" s="6"/>
      <c r="WI317" s="6"/>
      <c r="WJ317" s="6"/>
      <c r="WK317" s="6"/>
      <c r="WL317" s="6"/>
      <c r="WM317" s="6"/>
      <c r="WN317" s="6"/>
      <c r="WO317" s="6"/>
      <c r="WP317" s="6"/>
      <c r="WQ317" s="6"/>
      <c r="WR317" s="6"/>
      <c r="WS317" s="6"/>
      <c r="WT317" s="6"/>
      <c r="WU317" s="6"/>
      <c r="WV317" s="6"/>
      <c r="WW317" s="6"/>
      <c r="WX317" s="6"/>
      <c r="WY317" s="6"/>
      <c r="WZ317" s="6"/>
      <c r="XA317" s="6"/>
      <c r="XB317" s="6"/>
      <c r="XC317" s="6"/>
      <c r="XD317" s="6"/>
      <c r="XE317" s="6"/>
      <c r="XF317" s="6"/>
      <c r="XG317" s="6"/>
      <c r="XH317" s="6"/>
      <c r="XI317" s="6"/>
      <c r="XJ317" s="6"/>
      <c r="XK317" s="6"/>
      <c r="XL317" s="6"/>
      <c r="XM317" s="6"/>
      <c r="XN317" s="6"/>
      <c r="XO317" s="6"/>
      <c r="XP317" s="6"/>
      <c r="XQ317" s="6"/>
      <c r="XR317" s="6"/>
      <c r="XS317" s="6"/>
      <c r="XT317" s="6"/>
      <c r="XU317" s="6"/>
      <c r="XV317" s="6"/>
      <c r="XW317" s="6"/>
      <c r="XX317" s="6"/>
      <c r="XY317" s="6"/>
      <c r="XZ317" s="6"/>
      <c r="YA317" s="6"/>
      <c r="YB317" s="6"/>
      <c r="YC317" s="6"/>
      <c r="YD317" s="6"/>
      <c r="YE317" s="6"/>
      <c r="YF317" s="6"/>
      <c r="YG317" s="6"/>
      <c r="YH317" s="6"/>
      <c r="YI317" s="6"/>
      <c r="YJ317" s="6"/>
      <c r="YK317" s="6"/>
      <c r="YL317" s="6"/>
      <c r="YM317" s="6"/>
      <c r="YN317" s="6"/>
      <c r="YO317" s="6"/>
      <c r="YP317" s="6"/>
      <c r="YQ317" s="6"/>
      <c r="YR317" s="6"/>
      <c r="YS317" s="6"/>
      <c r="YT317" s="6"/>
      <c r="YU317" s="6"/>
      <c r="YV317" s="6"/>
      <c r="YW317" s="6"/>
      <c r="YX317" s="6"/>
      <c r="YY317" s="6"/>
      <c r="YZ317" s="6"/>
      <c r="ZA317" s="6"/>
      <c r="ZB317" s="6"/>
      <c r="ZC317" s="6"/>
      <c r="ZD317" s="6"/>
      <c r="ZE317" s="6"/>
      <c r="ZF317" s="6"/>
      <c r="ZG317" s="6"/>
      <c r="ZH317" s="6"/>
      <c r="ZI317" s="6"/>
      <c r="ZJ317" s="6"/>
      <c r="ZK317" s="6"/>
      <c r="ZL317" s="6"/>
      <c r="ZM317" s="6"/>
      <c r="ZN317" s="6"/>
      <c r="ZO317" s="6"/>
      <c r="ZP317" s="6"/>
      <c r="ZQ317" s="6"/>
      <c r="ZR317" s="6"/>
      <c r="ZS317" s="6"/>
      <c r="ZT317" s="6"/>
      <c r="ZU317" s="6"/>
      <c r="ZV317" s="6"/>
      <c r="ZW317" s="6"/>
      <c r="ZX317" s="6"/>
      <c r="ZY317" s="6"/>
      <c r="ZZ317" s="6"/>
      <c r="AAA317" s="6"/>
      <c r="AAB317" s="6"/>
      <c r="AAC317" s="6"/>
      <c r="AAD317" s="6"/>
      <c r="AAE317" s="6"/>
      <c r="AAF317" s="6"/>
      <c r="AAG317" s="6"/>
      <c r="AAH317" s="6"/>
      <c r="AAI317" s="6"/>
      <c r="AAJ317" s="6"/>
      <c r="AAK317" s="6"/>
      <c r="AAL317" s="6"/>
      <c r="AAM317" s="6"/>
      <c r="AAN317" s="6"/>
      <c r="AAO317" s="6"/>
      <c r="AAP317" s="6"/>
      <c r="AAQ317" s="6"/>
      <c r="AAR317" s="6"/>
      <c r="AAS317" s="6"/>
      <c r="AAT317" s="6"/>
      <c r="AAU317" s="6"/>
      <c r="AAV317" s="6"/>
      <c r="AAW317" s="6"/>
      <c r="AAX317" s="6"/>
      <c r="AAY317" s="6"/>
      <c r="AAZ317" s="6"/>
      <c r="ABA317" s="6"/>
      <c r="ABB317" s="6"/>
      <c r="ABC317" s="6"/>
      <c r="ABD317" s="6"/>
      <c r="ABE317" s="6"/>
      <c r="ABF317" s="6"/>
      <c r="ABG317" s="6"/>
      <c r="ABH317" s="6"/>
      <c r="ABI317" s="6"/>
      <c r="ABJ317" s="6"/>
      <c r="ABK317" s="6"/>
      <c r="ABL317" s="6"/>
      <c r="ABM317" s="6"/>
      <c r="ABN317" s="6"/>
      <c r="ABO317" s="6"/>
      <c r="ABP317" s="6"/>
      <c r="ABQ317" s="6"/>
      <c r="ABR317" s="6"/>
      <c r="ABS317" s="6"/>
      <c r="ABT317" s="6"/>
      <c r="ABU317" s="6"/>
      <c r="ABV317" s="6"/>
      <c r="ABW317" s="6"/>
      <c r="ABX317" s="6"/>
      <c r="ABY317" s="6"/>
      <c r="ABZ317" s="6"/>
      <c r="ACA317" s="6"/>
      <c r="ACB317" s="6"/>
      <c r="ACC317" s="6"/>
      <c r="ACD317" s="6"/>
      <c r="ACE317" s="6"/>
      <c r="ACF317" s="6"/>
      <c r="ACG317" s="6"/>
      <c r="ACH317" s="6"/>
      <c r="ACI317" s="6"/>
      <c r="ACJ317" s="6"/>
      <c r="ACK317" s="6"/>
      <c r="ACL317" s="6"/>
      <c r="ACM317" s="6"/>
      <c r="ACN317" s="6"/>
      <c r="ACO317" s="6"/>
      <c r="ACP317" s="6"/>
      <c r="ACQ317" s="6"/>
      <c r="ACR317" s="6"/>
      <c r="ACS317" s="6"/>
      <c r="ACT317" s="6"/>
      <c r="ACU317" s="6"/>
      <c r="ACV317" s="6"/>
      <c r="ACW317" s="6"/>
      <c r="ACX317" s="6"/>
      <c r="ACY317" s="6"/>
      <c r="ACZ317" s="6"/>
      <c r="ADA317" s="6"/>
      <c r="ADB317" s="6"/>
      <c r="ADC317" s="6"/>
      <c r="ADD317" s="6"/>
      <c r="ADE317" s="6"/>
      <c r="ADF317" s="6"/>
      <c r="ADG317" s="6"/>
      <c r="ADH317" s="6"/>
      <c r="ADI317" s="6"/>
      <c r="ADJ317" s="6"/>
      <c r="ADK317" s="6"/>
      <c r="ADL317" s="6"/>
      <c r="ADM317" s="6"/>
      <c r="ADN317" s="6"/>
      <c r="ADO317" s="6"/>
      <c r="ADP317" s="6"/>
      <c r="ADQ317" s="6"/>
      <c r="ADR317" s="6"/>
      <c r="ADS317" s="6"/>
      <c r="ADT317" s="6"/>
      <c r="ADU317" s="6"/>
      <c r="ADV317" s="6"/>
      <c r="ADW317" s="6"/>
      <c r="ADX317" s="6"/>
      <c r="ADY317" s="6"/>
      <c r="ADZ317" s="6"/>
      <c r="AEA317" s="6"/>
      <c r="AEB317" s="6"/>
      <c r="AEC317" s="6"/>
      <c r="AED317" s="6"/>
      <c r="AEE317" s="6"/>
      <c r="AEF317" s="6"/>
      <c r="AEG317" s="6"/>
      <c r="AEH317" s="6"/>
      <c r="AEI317" s="6"/>
      <c r="AEJ317" s="6"/>
      <c r="AEK317" s="6"/>
      <c r="AEL317" s="6"/>
      <c r="AEM317" s="6"/>
      <c r="AEN317" s="6"/>
      <c r="AEO317" s="6"/>
      <c r="AEP317" s="6"/>
      <c r="AEQ317" s="6"/>
      <c r="AER317" s="6"/>
      <c r="AES317" s="6"/>
      <c r="AET317" s="6"/>
      <c r="AEU317" s="6"/>
      <c r="AEV317" s="6"/>
      <c r="AEW317" s="6"/>
      <c r="AEX317" s="6"/>
      <c r="AEY317" s="6"/>
      <c r="AEZ317" s="6"/>
      <c r="AFA317" s="6"/>
      <c r="AFB317" s="6"/>
      <c r="AFC317" s="6"/>
      <c r="AFD317" s="6"/>
      <c r="AFE317" s="6"/>
      <c r="AFF317" s="6"/>
      <c r="AFG317" s="6"/>
      <c r="AFH317" s="6"/>
      <c r="AFI317" s="6"/>
      <c r="AFJ317" s="6"/>
      <c r="AFK317" s="6"/>
      <c r="AFL317" s="6"/>
      <c r="AFM317" s="6"/>
      <c r="AFN317" s="6"/>
      <c r="AFO317" s="6"/>
      <c r="AFP317" s="6"/>
      <c r="AFQ317" s="6"/>
      <c r="AFR317" s="6"/>
      <c r="AFS317" s="6"/>
      <c r="AFT317" s="6"/>
      <c r="AFU317" s="6"/>
      <c r="AFV317" s="6"/>
      <c r="AFW317" s="6"/>
      <c r="AFX317" s="6"/>
      <c r="AFY317" s="6"/>
      <c r="AFZ317" s="6"/>
      <c r="AGA317" s="6"/>
      <c r="AGB317" s="6"/>
      <c r="AGC317" s="6"/>
      <c r="AGD317" s="6"/>
      <c r="AGE317" s="6"/>
      <c r="AGF317" s="6"/>
      <c r="AGG317" s="6"/>
      <c r="AGH317" s="6"/>
      <c r="AGI317" s="6"/>
      <c r="AGJ317" s="6"/>
      <c r="AGK317" s="6"/>
      <c r="AGL317" s="6"/>
      <c r="AGM317" s="6"/>
      <c r="AGN317" s="6"/>
      <c r="AGO317" s="6"/>
      <c r="AGP317" s="6"/>
      <c r="AGQ317" s="6"/>
      <c r="AGR317" s="6"/>
      <c r="AGS317" s="6"/>
      <c r="AGT317" s="6"/>
      <c r="AGU317" s="6"/>
      <c r="AGV317" s="6"/>
      <c r="AGW317" s="6"/>
      <c r="AGX317" s="6"/>
      <c r="AGY317" s="6"/>
      <c r="AGZ317" s="6"/>
      <c r="AHA317" s="6"/>
      <c r="AHB317" s="6"/>
      <c r="AHC317" s="6"/>
      <c r="AHD317" s="6"/>
      <c r="AHE317" s="6"/>
      <c r="AHF317" s="6"/>
      <c r="AHG317" s="6"/>
      <c r="AHH317" s="6"/>
      <c r="AHI317" s="6"/>
      <c r="AHJ317" s="6"/>
      <c r="AHK317" s="6"/>
      <c r="AHL317" s="6"/>
      <c r="AHM317" s="6"/>
      <c r="AHN317" s="6"/>
      <c r="AHO317" s="6"/>
      <c r="AHP317" s="6"/>
      <c r="AHQ317" s="6"/>
      <c r="AHR317" s="6"/>
      <c r="AHS317" s="6"/>
      <c r="AHT317" s="6"/>
      <c r="AHU317" s="6"/>
      <c r="AHV317" s="6"/>
      <c r="AHW317" s="6"/>
      <c r="AHX317" s="6"/>
      <c r="AHY317" s="6"/>
      <c r="AHZ317" s="6"/>
      <c r="AIA317" s="6"/>
      <c r="AIB317" s="6"/>
      <c r="AIC317" s="6"/>
      <c r="AID317" s="6"/>
      <c r="AIE317" s="6"/>
      <c r="AIF317" s="6"/>
      <c r="AIG317" s="6"/>
      <c r="AIH317" s="6"/>
      <c r="AII317" s="6"/>
      <c r="AIJ317" s="6"/>
      <c r="AIK317" s="6"/>
      <c r="AIL317" s="6"/>
      <c r="AIM317" s="6"/>
      <c r="AIN317" s="6"/>
      <c r="AIO317" s="6"/>
      <c r="AIP317" s="6"/>
      <c r="AIQ317" s="6"/>
      <c r="AIR317" s="6"/>
      <c r="AIS317" s="6"/>
      <c r="AIT317" s="6"/>
      <c r="AIU317" s="6"/>
      <c r="AIV317" s="6"/>
      <c r="AIW317" s="6"/>
      <c r="AIX317" s="6"/>
      <c r="AIY317" s="6"/>
      <c r="AIZ317" s="6"/>
      <c r="AJA317" s="6"/>
      <c r="AJB317" s="6"/>
      <c r="AJC317" s="6"/>
      <c r="AJD317" s="6"/>
      <c r="AJE317" s="6"/>
      <c r="AJF317" s="6"/>
      <c r="AJG317" s="6"/>
      <c r="AJH317" s="6"/>
      <c r="AJI317" s="6"/>
      <c r="AJJ317" s="6"/>
      <c r="AJK317" s="6"/>
      <c r="AJL317" s="6"/>
      <c r="AJM317" s="6"/>
      <c r="AJN317" s="6"/>
      <c r="AJO317" s="6"/>
      <c r="AJP317" s="6"/>
      <c r="AJQ317" s="6"/>
      <c r="AJR317" s="6"/>
      <c r="AJS317" s="6"/>
      <c r="AJT317" s="6"/>
      <c r="AJU317" s="6"/>
      <c r="AJV317" s="6"/>
      <c r="AJW317" s="6"/>
      <c r="AJX317" s="6"/>
      <c r="AJY317" s="6"/>
      <c r="AJZ317" s="6"/>
      <c r="AKA317" s="6"/>
      <c r="AKB317" s="6"/>
      <c r="AKC317" s="6"/>
      <c r="AKD317" s="6"/>
      <c r="AKE317" s="6"/>
      <c r="AKF317" s="6"/>
      <c r="AKG317" s="6"/>
      <c r="AKH317" s="6"/>
      <c r="AKI317" s="6"/>
      <c r="AKJ317" s="6"/>
      <c r="AKK317" s="6"/>
      <c r="AKL317" s="6"/>
      <c r="AKM317" s="6"/>
      <c r="AKN317" s="6"/>
      <c r="AKO317" s="6"/>
      <c r="AKP317" s="6"/>
      <c r="AKQ317" s="6"/>
      <c r="AKR317" s="6"/>
      <c r="AKS317" s="6"/>
      <c r="AKT317" s="6"/>
      <c r="AKU317" s="6"/>
      <c r="AKV317" s="6"/>
      <c r="AKW317" s="6"/>
      <c r="AKX317" s="6"/>
      <c r="AKY317" s="6"/>
      <c r="AKZ317" s="6"/>
      <c r="ALA317" s="6"/>
      <c r="ALB317" s="6"/>
      <c r="ALC317" s="6"/>
      <c r="ALD317" s="6"/>
      <c r="ALE317" s="6"/>
      <c r="ALF317" s="6"/>
      <c r="ALG317" s="6"/>
      <c r="ALH317" s="6"/>
      <c r="ALI317" s="6"/>
      <c r="ALJ317" s="6"/>
      <c r="ALK317" s="6"/>
      <c r="ALL317" s="6"/>
      <c r="ALM317" s="6"/>
      <c r="ALN317" s="6"/>
      <c r="ALO317" s="6"/>
      <c r="ALP317" s="6"/>
      <c r="ALQ317" s="6"/>
      <c r="ALR317" s="6"/>
      <c r="ALS317" s="6"/>
      <c r="ALT317" s="6"/>
      <c r="ALU317" s="6"/>
      <c r="ALV317" s="6"/>
      <c r="ALW317" s="6"/>
      <c r="ALX317" s="6"/>
      <c r="ALY317" s="6"/>
      <c r="ALZ317" s="6"/>
      <c r="AMA317" s="6"/>
      <c r="AMB317" s="6"/>
      <c r="AMC317" s="6"/>
      <c r="AMD317" s="6"/>
      <c r="AME317" s="6"/>
      <c r="AMF317" s="6"/>
      <c r="AMG317" s="6"/>
      <c r="AMH317" s="6"/>
      <c r="AMI317" s="6"/>
      <c r="AMJ317" s="6"/>
      <c r="AMK317" s="6"/>
      <c r="AML317" s="6"/>
      <c r="AMM317" s="6"/>
      <c r="AMN317" s="6"/>
      <c r="AMO317" s="6"/>
      <c r="AMP317" s="6"/>
    </row>
    <row r="318" spans="1:1030" x14ac:dyDescent="0.2">
      <c r="A318" s="3" t="str">
        <f t="shared" si="2207"/>
        <v>opsd_bovin_3DQB</v>
      </c>
      <c r="B318" s="3" t="s">
        <v>915</v>
      </c>
      <c r="C318" s="3" t="s">
        <v>54</v>
      </c>
      <c r="D318" s="3" t="str">
        <f>IFERROR(MID(VLOOKUP($B318,Seqs!$A:$B,2,0),E318,1),"")</f>
        <v>E</v>
      </c>
      <c r="E318" s="105">
        <v>33</v>
      </c>
      <c r="F318" s="3" t="str">
        <f>IFERROR(MID(VLOOKUP($B318,Seqs!$A:$B,2,0),G318,1),"")</f>
        <v>H</v>
      </c>
      <c r="G318" s="3">
        <v>65</v>
      </c>
      <c r="H318" s="3" t="str">
        <f>IFERROR(MID(VLOOKUP($B318,Seqs!$A:$B,2,0),I318,1),"")</f>
        <v>K</v>
      </c>
      <c r="I318" s="23">
        <v>66</v>
      </c>
      <c r="J318" s="3" t="str">
        <f>IFERROR(MID(VLOOKUP($B318,Seqs!$A:$B,2,0),K318,1),"")</f>
        <v>R</v>
      </c>
      <c r="K318" s="23">
        <v>69</v>
      </c>
      <c r="L318" s="3" t="str">
        <f>IFERROR(MID(VLOOKUP($B318,Seqs!$A:$B,2,0),M318,1),"")</f>
        <v>T</v>
      </c>
      <c r="M318" s="3">
        <v>70</v>
      </c>
      <c r="N318" s="3" t="str">
        <f>IFERROR(MID(VLOOKUP($B318,Seqs!$A:$B,2,0),O318,1),"")</f>
        <v>H</v>
      </c>
      <c r="O318" s="3">
        <v>100</v>
      </c>
      <c r="P318" s="3" t="str">
        <f>IFERROR(MID(VLOOKUP($B318,Seqs!$A:$B,2,0),Q318,1),"")</f>
        <v>Y</v>
      </c>
      <c r="Q318" s="3">
        <v>102</v>
      </c>
      <c r="R318" s="3" t="str">
        <f>IFERROR(MID(VLOOKUP($B318,Seqs!$A:$B,2,0),S318,1),"")</f>
        <v>F</v>
      </c>
      <c r="S318" s="3">
        <v>105</v>
      </c>
      <c r="T318" s="3" t="str">
        <f>IFERROR(MID(VLOOKUP($B318,Seqs!$A:$B,2,0),U318,1),"")</f>
        <v>G</v>
      </c>
      <c r="U318" s="3">
        <v>106</v>
      </c>
      <c r="V318" s="3" t="str">
        <f>IFERROR(MID(VLOOKUP($B318,Seqs!$A:$B,2,0),W318,1),"")</f>
        <v>K</v>
      </c>
      <c r="W318" s="3">
        <v>141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G</v>
      </c>
      <c r="AC318" s="9">
        <v>149</v>
      </c>
      <c r="AD318" s="3" t="str">
        <f>IFERROR(MID(VLOOKUP($B318,Seqs!$A:$B,2,0),AE318,1),"")</f>
        <v>V</v>
      </c>
      <c r="AE318" s="3">
        <v>173</v>
      </c>
      <c r="AF318" s="3" t="str">
        <f>IFERROR(MID(VLOOKUP($B318,Seqs!$A:$B,2,0),AG318,1),"")</f>
        <v>C</v>
      </c>
      <c r="AG318" s="3">
        <v>187</v>
      </c>
      <c r="AH318" s="3" t="str">
        <f>IFERROR(MID(VLOOKUP($B318,Seqs!$A:$B,2,0),AI318,1),"")</f>
        <v>I</v>
      </c>
      <c r="AI318" s="3">
        <v>189</v>
      </c>
      <c r="AJ318" s="3" t="str">
        <f>IFERROR(MID(VLOOKUP($B318,Seqs!$A:$B,2,0),AK318,1),"")</f>
        <v>N</v>
      </c>
      <c r="AK318" s="3">
        <v>199</v>
      </c>
      <c r="AL318" s="3" t="str">
        <f>IFERROR(MID(VLOOKUP($B318,Seqs!$A:$B,2,0),AM318,1),"")</f>
        <v>Q</v>
      </c>
      <c r="AM318" s="3">
        <v>237</v>
      </c>
      <c r="AN318" s="3" t="str">
        <f>IFERROR(MID(VLOOKUP($B318,Seqs!$A:$B,2,0),AO318,1),"")</f>
        <v>A</v>
      </c>
      <c r="AO318" s="3">
        <v>241</v>
      </c>
      <c r="AP318" s="3" t="str">
        <f>IFERROR(MID(VLOOKUP($B318,Seqs!$A:$B,2,0),AQ318,1),"")</f>
        <v>H</v>
      </c>
      <c r="AQ318" s="3">
        <v>278</v>
      </c>
      <c r="AR318" s="3" t="str">
        <f>IFERROR(MID(VLOOKUP($B318,Seqs!$A:$B,2,0),AS318,1),"")</f>
        <v>G</v>
      </c>
      <c r="AS318" s="3">
        <v>284</v>
      </c>
      <c r="AT318" s="3" t="str">
        <f>IFERROR(MID(VLOOKUP($B318,Seqs!$A:$B,2,0),AU318,1),"")</f>
        <v>M</v>
      </c>
      <c r="AU318" s="3">
        <v>309</v>
      </c>
      <c r="AV318" s="3" t="str">
        <f>IFERROR(MID(VLOOKUP($B318,Seqs!$A:$B,2,0),AW318,1),"")</f>
        <v>N</v>
      </c>
      <c r="AW318" s="3">
        <v>310</v>
      </c>
      <c r="AX318" s="3" t="str">
        <f>IFERROR(MID(VLOOKUP($B318,Seqs!$A:$B,2,0),AY318,1),"")</f>
        <v>C</v>
      </c>
      <c r="AY318" s="3">
        <v>322</v>
      </c>
      <c r="AZ318" s="77" t="str">
        <f>VLOOKUP(B318,Classification!A:D,2,0)</f>
        <v>A</v>
      </c>
      <c r="BA318" s="94" t="str">
        <f>VLOOKUP(B318,Classification!A:D,4,0)</f>
        <v>Opsins</v>
      </c>
      <c r="BB318" s="27" t="b">
        <f t="shared" si="2208"/>
        <v>1</v>
      </c>
      <c r="BC318" s="23">
        <f>_xlfn.AGGREGATE(9,6,CH318:CS318)-_xlfn.AGGREGATE(9,6,BV318:CG318)+12</f>
        <v>253</v>
      </c>
      <c r="BD318" s="74" t="s">
        <v>23</v>
      </c>
      <c r="BE318" s="3" t="s">
        <v>1287</v>
      </c>
      <c r="BF318" s="118">
        <v>3.2</v>
      </c>
      <c r="BG318" s="49" t="s">
        <v>1373</v>
      </c>
      <c r="BH318" s="49" t="s">
        <v>1373</v>
      </c>
      <c r="BI318" s="1"/>
      <c r="BJ318" s="70" t="s">
        <v>1283</v>
      </c>
      <c r="BK318" s="57" t="s">
        <v>1283</v>
      </c>
      <c r="BL318" s="57" t="s">
        <v>1283</v>
      </c>
      <c r="BM318" s="57" t="s">
        <v>1283</v>
      </c>
      <c r="BN318" s="57" t="s">
        <v>1283</v>
      </c>
      <c r="BO318" s="57" t="s">
        <v>1283</v>
      </c>
      <c r="BP318" s="57" t="s">
        <v>1283</v>
      </c>
      <c r="BQ318" s="57" t="s">
        <v>1283</v>
      </c>
      <c r="BR318" s="57" t="s">
        <v>1283</v>
      </c>
      <c r="BS318" s="57" t="s">
        <v>1283</v>
      </c>
      <c r="BT318" s="57" t="s">
        <v>1283</v>
      </c>
      <c r="BU318" s="57" t="s">
        <v>1283</v>
      </c>
      <c r="BV318" s="70">
        <f>E318</f>
        <v>33</v>
      </c>
      <c r="BW318" s="71">
        <f>I318</f>
        <v>66</v>
      </c>
      <c r="BX318" s="72">
        <f>M318</f>
        <v>70</v>
      </c>
      <c r="BY318" s="71">
        <f>Q318</f>
        <v>102</v>
      </c>
      <c r="BZ318" s="72">
        <f>U318</f>
        <v>106</v>
      </c>
      <c r="CA318" s="71" t="str">
        <f>Y318</f>
        <v>-</v>
      </c>
      <c r="CB318" s="72">
        <f>AC318</f>
        <v>149</v>
      </c>
      <c r="CC318" s="71">
        <f>AG318</f>
        <v>187</v>
      </c>
      <c r="CD318" s="72">
        <f>AK318</f>
        <v>199</v>
      </c>
      <c r="CE318" s="71">
        <f>AO318</f>
        <v>241</v>
      </c>
      <c r="CF318" s="72">
        <f>AS318</f>
        <v>284</v>
      </c>
      <c r="CG318" s="71">
        <f>AW318</f>
        <v>310</v>
      </c>
      <c r="CH318" s="70">
        <f>G318</f>
        <v>65</v>
      </c>
      <c r="CI318" s="71">
        <f>K318</f>
        <v>69</v>
      </c>
      <c r="CJ318" s="72">
        <f>O318</f>
        <v>100</v>
      </c>
      <c r="CK318" s="72">
        <f>S318</f>
        <v>105</v>
      </c>
      <c r="CL318" s="72">
        <f>W318</f>
        <v>141</v>
      </c>
      <c r="CM318" s="72" t="str">
        <f>AA318</f>
        <v>-</v>
      </c>
      <c r="CN318" s="72">
        <f>AE318</f>
        <v>173</v>
      </c>
      <c r="CO318" s="72">
        <f>AI318</f>
        <v>189</v>
      </c>
      <c r="CP318" s="72">
        <f>AM318</f>
        <v>237</v>
      </c>
      <c r="CQ318" s="72">
        <f>AQ318</f>
        <v>278</v>
      </c>
      <c r="CR318" s="72">
        <f>AU318</f>
        <v>309</v>
      </c>
      <c r="CS318" s="72">
        <f>AY318</f>
        <v>322</v>
      </c>
      <c r="CT318" s="23">
        <f>M318-K318</f>
        <v>1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30" x14ac:dyDescent="0.2">
      <c r="A319" s="3" t="str">
        <f t="shared" si="2207"/>
        <v>opsd_bovin_3PQR</v>
      </c>
      <c r="B319" s="3" t="s">
        <v>915</v>
      </c>
      <c r="C319" s="3" t="s">
        <v>1028</v>
      </c>
      <c r="D319" s="3" t="str">
        <f>IFERROR(MID(VLOOKUP($B319,Seqs!$A:$B,2,0),E319,1),"")</f>
        <v>E</v>
      </c>
      <c r="E319" s="105">
        <v>33</v>
      </c>
      <c r="F319" s="3" t="str">
        <f>IFERROR(MID(VLOOKUP($B319,Seqs!$A:$B,2,0),G319,1),"")</f>
        <v>H</v>
      </c>
      <c r="G319" s="3">
        <v>65</v>
      </c>
      <c r="H319" s="3" t="str">
        <f>IFERROR(MID(VLOOKUP($B319,Seqs!$A:$B,2,0),I319,1),"")</f>
        <v>K</v>
      </c>
      <c r="I319" s="23">
        <v>66</v>
      </c>
      <c r="J319" s="3" t="str">
        <f>IFERROR(MID(VLOOKUP($B319,Seqs!$A:$B,2,0),K319,1),"")</f>
        <v>R</v>
      </c>
      <c r="K319" s="23">
        <v>69</v>
      </c>
      <c r="L319" s="3" t="str">
        <f>IFERROR(MID(VLOOKUP($B319,Seqs!$A:$B,2,0),M319,1),"")</f>
        <v>T</v>
      </c>
      <c r="M319" s="3">
        <v>70</v>
      </c>
      <c r="N319" s="3" t="str">
        <f>IFERROR(MID(VLOOKUP($B319,Seqs!$A:$B,2,0),O319,1),"")</f>
        <v>H</v>
      </c>
      <c r="O319" s="3">
        <v>100</v>
      </c>
      <c r="P319" s="3" t="str">
        <f>IFERROR(MID(VLOOKUP($B319,Seqs!$A:$B,2,0),Q319,1),"")</f>
        <v>Y</v>
      </c>
      <c r="Q319" s="3">
        <v>102</v>
      </c>
      <c r="R319" s="3" t="str">
        <f>IFERROR(MID(VLOOKUP($B319,Seqs!$A:$B,2,0),S319,1),"")</f>
        <v>F</v>
      </c>
      <c r="S319" s="3">
        <v>105</v>
      </c>
      <c r="T319" s="3" t="str">
        <f>IFERROR(MID(VLOOKUP($B319,Seqs!$A:$B,2,0),U319,1),"")</f>
        <v>G</v>
      </c>
      <c r="U319" s="3">
        <v>106</v>
      </c>
      <c r="V319" s="3" t="str">
        <f>IFERROR(MID(VLOOKUP($B319,Seqs!$A:$B,2,0),W319,1),"")</f>
        <v>K</v>
      </c>
      <c r="W319" s="3">
        <v>141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G</v>
      </c>
      <c r="AC319" s="9">
        <v>149</v>
      </c>
      <c r="AD319" s="3" t="str">
        <f>IFERROR(MID(VLOOKUP($B319,Seqs!$A:$B,2,0),AE319,1),"")</f>
        <v>V</v>
      </c>
      <c r="AE319" s="3">
        <v>173</v>
      </c>
      <c r="AF319" s="3" t="str">
        <f>IFERROR(MID(VLOOKUP($B319,Seqs!$A:$B,2,0),AG319,1),"")</f>
        <v>C</v>
      </c>
      <c r="AG319" s="3">
        <v>187</v>
      </c>
      <c r="AH319" s="3" t="str">
        <f>IFERROR(MID(VLOOKUP($B319,Seqs!$A:$B,2,0),AI319,1),"")</f>
        <v>I</v>
      </c>
      <c r="AI319" s="3">
        <v>189</v>
      </c>
      <c r="AJ319" s="3" t="str">
        <f>IFERROR(MID(VLOOKUP($B319,Seqs!$A:$B,2,0),AK319,1),"")</f>
        <v>N</v>
      </c>
      <c r="AK319" s="3">
        <v>199</v>
      </c>
      <c r="AL319" s="3" t="str">
        <f>IFERROR(MID(VLOOKUP($B319,Seqs!$A:$B,2,0),AM319,1),"")</f>
        <v>Q</v>
      </c>
      <c r="AM319" s="3">
        <v>237</v>
      </c>
      <c r="AN319" s="3" t="str">
        <f>IFERROR(MID(VLOOKUP($B319,Seqs!$A:$B,2,0),AO319,1),"")</f>
        <v>A</v>
      </c>
      <c r="AO319" s="3">
        <v>241</v>
      </c>
      <c r="AP319" s="3" t="str">
        <f>IFERROR(MID(VLOOKUP($B319,Seqs!$A:$B,2,0),AQ319,1),"")</f>
        <v>H</v>
      </c>
      <c r="AQ319" s="3">
        <v>278</v>
      </c>
      <c r="AR319" s="3" t="str">
        <f>IFERROR(MID(VLOOKUP($B319,Seqs!$A:$B,2,0),AS319,1),"")</f>
        <v>G</v>
      </c>
      <c r="AS319" s="3">
        <v>284</v>
      </c>
      <c r="AT319" s="3" t="str">
        <f>IFERROR(MID(VLOOKUP($B319,Seqs!$A:$B,2,0),AU319,1),"")</f>
        <v>M</v>
      </c>
      <c r="AU319" s="3">
        <v>309</v>
      </c>
      <c r="AV319" s="3" t="str">
        <f>IFERROR(MID(VLOOKUP($B319,Seqs!$A:$B,2,0),AW319,1),"")</f>
        <v>N</v>
      </c>
      <c r="AW319" s="3">
        <v>310</v>
      </c>
      <c r="AX319" s="3" t="str">
        <f>IFERROR(MID(VLOOKUP($B319,Seqs!$A:$B,2,0),AY319,1),"")</f>
        <v>C</v>
      </c>
      <c r="AY319" s="3">
        <v>322</v>
      </c>
      <c r="AZ319" s="77" t="str">
        <f>VLOOKUP(B319,Classification!A:D,2,0)</f>
        <v>A</v>
      </c>
      <c r="BA319" s="94" t="str">
        <f>VLOOKUP(B319,Classification!A:D,4,0)</f>
        <v>Opsins</v>
      </c>
      <c r="BB319" s="27" t="b">
        <f t="shared" si="2208"/>
        <v>1</v>
      </c>
      <c r="BC319" s="23">
        <f>_xlfn.AGGREGATE(9,6,CH319:CS319)-_xlfn.AGGREGATE(9,6,BV319:CG319)+12</f>
        <v>253</v>
      </c>
      <c r="BD319" s="4" t="s">
        <v>23</v>
      </c>
      <c r="BE319" s="3" t="s">
        <v>1287</v>
      </c>
      <c r="BF319" s="118">
        <v>2.85</v>
      </c>
      <c r="BG319" s="49" t="s">
        <v>1373</v>
      </c>
      <c r="BH319" s="49" t="s">
        <v>1373</v>
      </c>
      <c r="BI319" s="1"/>
      <c r="BJ319" s="70" t="s">
        <v>1283</v>
      </c>
      <c r="BK319" s="57" t="s">
        <v>1283</v>
      </c>
      <c r="BL319" s="57" t="s">
        <v>1283</v>
      </c>
      <c r="BM319" s="57" t="s">
        <v>1283</v>
      </c>
      <c r="BN319" s="57" t="s">
        <v>1283</v>
      </c>
      <c r="BO319" s="57" t="s">
        <v>1283</v>
      </c>
      <c r="BP319" s="57" t="s">
        <v>1283</v>
      </c>
      <c r="BQ319" s="57" t="s">
        <v>1283</v>
      </c>
      <c r="BR319" s="57" t="s">
        <v>1283</v>
      </c>
      <c r="BS319" s="57" t="s">
        <v>1283</v>
      </c>
      <c r="BT319" s="57" t="s">
        <v>1283</v>
      </c>
      <c r="BU319" s="57" t="s">
        <v>1283</v>
      </c>
      <c r="BV319" s="70">
        <f>E319</f>
        <v>33</v>
      </c>
      <c r="BW319" s="71">
        <f>I319</f>
        <v>66</v>
      </c>
      <c r="BX319" s="72">
        <f>M319</f>
        <v>70</v>
      </c>
      <c r="BY319" s="71">
        <f>Q319</f>
        <v>102</v>
      </c>
      <c r="BZ319" s="72">
        <f>U319</f>
        <v>106</v>
      </c>
      <c r="CA319" s="71" t="str">
        <f>Y319</f>
        <v>-</v>
      </c>
      <c r="CB319" s="72">
        <f>AC319</f>
        <v>149</v>
      </c>
      <c r="CC319" s="71">
        <f>AG319</f>
        <v>187</v>
      </c>
      <c r="CD319" s="72">
        <f>AK319</f>
        <v>199</v>
      </c>
      <c r="CE319" s="71">
        <f>AO319</f>
        <v>241</v>
      </c>
      <c r="CF319" s="72">
        <f>AS319</f>
        <v>284</v>
      </c>
      <c r="CG319" s="71">
        <f>AW319</f>
        <v>310</v>
      </c>
      <c r="CH319" s="70">
        <f>G319</f>
        <v>65</v>
      </c>
      <c r="CI319" s="71">
        <f>K319</f>
        <v>69</v>
      </c>
      <c r="CJ319" s="72">
        <f>O319</f>
        <v>100</v>
      </c>
      <c r="CK319" s="72">
        <f>S319</f>
        <v>105</v>
      </c>
      <c r="CL319" s="72">
        <f>W319</f>
        <v>141</v>
      </c>
      <c r="CM319" s="72" t="str">
        <f>AA319</f>
        <v>-</v>
      </c>
      <c r="CN319" s="72">
        <f>AE319</f>
        <v>173</v>
      </c>
      <c r="CO319" s="72">
        <f>AI319</f>
        <v>189</v>
      </c>
      <c r="CP319" s="72">
        <f>AM319</f>
        <v>237</v>
      </c>
      <c r="CQ319" s="72">
        <f>AQ319</f>
        <v>278</v>
      </c>
      <c r="CR319" s="72">
        <f>AU319</f>
        <v>309</v>
      </c>
      <c r="CS319" s="72">
        <f>AY319</f>
        <v>322</v>
      </c>
      <c r="CT319" s="23">
        <f>M319-K319</f>
        <v>1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30" x14ac:dyDescent="0.2">
      <c r="A320" s="3" t="str">
        <f t="shared" si="2207"/>
        <v>opsd_bovin_4A4M</v>
      </c>
      <c r="B320" s="2" t="s">
        <v>915</v>
      </c>
      <c r="C320" s="3" t="s">
        <v>1366</v>
      </c>
      <c r="D320" s="3" t="str">
        <f>IFERROR(MID(VLOOKUP($B320,Seqs!$A:$B,2,0),E320,1),"")</f>
        <v>E</v>
      </c>
      <c r="E320" s="105">
        <v>33</v>
      </c>
      <c r="F320" s="3" t="str">
        <f>IFERROR(MID(VLOOKUP($B320,Seqs!$A:$B,2,0),G320,1),"")</f>
        <v>H</v>
      </c>
      <c r="G320" s="3">
        <v>65</v>
      </c>
      <c r="H320" s="3" t="str">
        <f>IFERROR(MID(VLOOKUP($B320,Seqs!$A:$B,2,0),I320,1),"")</f>
        <v>K</v>
      </c>
      <c r="I320" s="23">
        <v>66</v>
      </c>
      <c r="J320" s="3" t="str">
        <f>IFERROR(MID(VLOOKUP($B320,Seqs!$A:$B,2,0),K320,1),"")</f>
        <v>R</v>
      </c>
      <c r="K320" s="23">
        <v>69</v>
      </c>
      <c r="L320" s="3" t="str">
        <f>IFERROR(MID(VLOOKUP($B320,Seqs!$A:$B,2,0),M320,1),"")</f>
        <v>T</v>
      </c>
      <c r="M320" s="3">
        <v>70</v>
      </c>
      <c r="N320" s="3" t="str">
        <f>IFERROR(MID(VLOOKUP($B320,Seqs!$A:$B,2,0),O320,1),"")</f>
        <v>H</v>
      </c>
      <c r="O320" s="3">
        <v>100</v>
      </c>
      <c r="P320" s="3" t="str">
        <f>IFERROR(MID(VLOOKUP($B320,Seqs!$A:$B,2,0),Q320,1),"")</f>
        <v>Y</v>
      </c>
      <c r="Q320" s="3">
        <v>102</v>
      </c>
      <c r="R320" s="3" t="str">
        <f>IFERROR(MID(VLOOKUP($B320,Seqs!$A:$B,2,0),S320,1),"")</f>
        <v>F</v>
      </c>
      <c r="S320" s="3">
        <v>105</v>
      </c>
      <c r="T320" s="3" t="str">
        <f>IFERROR(MID(VLOOKUP($B320,Seqs!$A:$B,2,0),U320,1),"")</f>
        <v>G</v>
      </c>
      <c r="U320" s="3">
        <v>106</v>
      </c>
      <c r="V320" s="3" t="str">
        <f>IFERROR(MID(VLOOKUP($B320,Seqs!$A:$B,2,0),W320,1),"")</f>
        <v>K</v>
      </c>
      <c r="W320" s="3">
        <v>141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G</v>
      </c>
      <c r="AC320" s="9">
        <v>149</v>
      </c>
      <c r="AD320" s="3" t="str">
        <f>IFERROR(MID(VLOOKUP($B320,Seqs!$A:$B,2,0),AE320,1),"")</f>
        <v>V</v>
      </c>
      <c r="AE320" s="3">
        <v>173</v>
      </c>
      <c r="AF320" s="3" t="str">
        <f>IFERROR(MID(VLOOKUP($B320,Seqs!$A:$B,2,0),AG320,1),"")</f>
        <v>C</v>
      </c>
      <c r="AG320" s="3">
        <v>187</v>
      </c>
      <c r="AH320" s="3" t="str">
        <f>IFERROR(MID(VLOOKUP($B320,Seqs!$A:$B,2,0),AI320,1),"")</f>
        <v>I</v>
      </c>
      <c r="AI320" s="3">
        <v>189</v>
      </c>
      <c r="AJ320" s="3" t="str">
        <f>IFERROR(MID(VLOOKUP($B320,Seqs!$A:$B,2,0),AK320,1),"")</f>
        <v>N</v>
      </c>
      <c r="AK320" s="3">
        <v>199</v>
      </c>
      <c r="AL320" s="3" t="str">
        <f>IFERROR(MID(VLOOKUP($B320,Seqs!$A:$B,2,0),AM320,1),"")</f>
        <v>Q</v>
      </c>
      <c r="AM320" s="3">
        <v>237</v>
      </c>
      <c r="AN320" s="3" t="str">
        <f>IFERROR(MID(VLOOKUP($B320,Seqs!$A:$B,2,0),AO320,1),"")</f>
        <v>A</v>
      </c>
      <c r="AO320" s="3">
        <v>241</v>
      </c>
      <c r="AP320" s="3" t="str">
        <f>IFERROR(MID(VLOOKUP($B320,Seqs!$A:$B,2,0),AQ320,1),"")</f>
        <v>H</v>
      </c>
      <c r="AQ320" s="3">
        <v>278</v>
      </c>
      <c r="AR320" s="3" t="str">
        <f>IFERROR(MID(VLOOKUP($B320,Seqs!$A:$B,2,0),AS320,1),"")</f>
        <v>G</v>
      </c>
      <c r="AS320" s="3">
        <v>284</v>
      </c>
      <c r="AT320" s="3" t="str">
        <f>IFERROR(MID(VLOOKUP($B320,Seqs!$A:$B,2,0),AU320,1),"")</f>
        <v>M</v>
      </c>
      <c r="AU320" s="3">
        <v>309</v>
      </c>
      <c r="AV320" s="3" t="str">
        <f>IFERROR(MID(VLOOKUP($B320,Seqs!$A:$B,2,0),AW320,1),"")</f>
        <v>N</v>
      </c>
      <c r="AW320" s="3">
        <v>310</v>
      </c>
      <c r="AX320" s="3" t="str">
        <f>IFERROR(MID(VLOOKUP($B320,Seqs!$A:$B,2,0),AY320,1),"")</f>
        <v>C</v>
      </c>
      <c r="AY320" s="3">
        <v>322</v>
      </c>
      <c r="AZ320" s="77" t="str">
        <f>VLOOKUP(B320,Classification!A:D,2,0)</f>
        <v>A</v>
      </c>
      <c r="BA320" s="94" t="str">
        <f>VLOOKUP(B320,Classification!A:D,4,0)</f>
        <v>Opsins</v>
      </c>
      <c r="BB320" s="27" t="b">
        <f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23">
        <f>_xlfn.AGGREGATE(9,6,CH320:CS320)-_xlfn.AGGREGATE(9,6,BV320:CG320)+12</f>
        <v>253</v>
      </c>
      <c r="BD320" s="4" t="s">
        <v>23</v>
      </c>
      <c r="BE320" s="3" t="s">
        <v>1287</v>
      </c>
      <c r="BF320" s="118">
        <v>3.3</v>
      </c>
      <c r="BG320" s="49" t="s">
        <v>1373</v>
      </c>
      <c r="BH320" s="49" t="s">
        <v>1373</v>
      </c>
      <c r="BI320" s="1"/>
      <c r="BJ320" s="70" t="s">
        <v>1283</v>
      </c>
      <c r="BK320" s="57" t="s">
        <v>1283</v>
      </c>
      <c r="BL320" s="57" t="s">
        <v>1283</v>
      </c>
      <c r="BM320" s="57" t="s">
        <v>1283</v>
      </c>
      <c r="BN320" s="57" t="s">
        <v>1283</v>
      </c>
      <c r="BO320" s="57" t="s">
        <v>1283</v>
      </c>
      <c r="BP320" s="57" t="s">
        <v>1283</v>
      </c>
      <c r="BQ320" s="57" t="s">
        <v>1283</v>
      </c>
      <c r="BR320" s="57" t="s">
        <v>1283</v>
      </c>
      <c r="BS320" s="57" t="s">
        <v>1283</v>
      </c>
      <c r="BT320" s="57" t="s">
        <v>1283</v>
      </c>
      <c r="BU320" s="57" t="s">
        <v>1283</v>
      </c>
      <c r="BV320" s="70">
        <f>E320</f>
        <v>33</v>
      </c>
      <c r="BW320" s="71">
        <f>I320</f>
        <v>66</v>
      </c>
      <c r="BX320" s="72">
        <f>M320</f>
        <v>70</v>
      </c>
      <c r="BY320" s="71">
        <f>Q320</f>
        <v>102</v>
      </c>
      <c r="BZ320" s="72">
        <f>U320</f>
        <v>106</v>
      </c>
      <c r="CA320" s="71" t="str">
        <f>Y320</f>
        <v>-</v>
      </c>
      <c r="CB320" s="72">
        <f>AC320</f>
        <v>149</v>
      </c>
      <c r="CC320" s="71">
        <f>AG320</f>
        <v>187</v>
      </c>
      <c r="CD320" s="72">
        <f>AK320</f>
        <v>199</v>
      </c>
      <c r="CE320" s="71">
        <f>AO320</f>
        <v>241</v>
      </c>
      <c r="CF320" s="72">
        <f>AS320</f>
        <v>284</v>
      </c>
      <c r="CG320" s="71">
        <f>AW320</f>
        <v>310</v>
      </c>
      <c r="CH320" s="70">
        <f>G320</f>
        <v>65</v>
      </c>
      <c r="CI320" s="71">
        <f>K320</f>
        <v>69</v>
      </c>
      <c r="CJ320" s="72">
        <f>O320</f>
        <v>100</v>
      </c>
      <c r="CK320" s="72">
        <f>S320</f>
        <v>105</v>
      </c>
      <c r="CL320" s="72">
        <f>W320</f>
        <v>141</v>
      </c>
      <c r="CM320" s="72" t="str">
        <f>AA320</f>
        <v>-</v>
      </c>
      <c r="CN320" s="72">
        <f>AE320</f>
        <v>173</v>
      </c>
      <c r="CO320" s="72">
        <f>AI320</f>
        <v>189</v>
      </c>
      <c r="CP320" s="72">
        <f>AM320</f>
        <v>237</v>
      </c>
      <c r="CQ320" s="72">
        <f>AQ320</f>
        <v>278</v>
      </c>
      <c r="CR320" s="72">
        <f>AU320</f>
        <v>309</v>
      </c>
      <c r="CS320" s="72">
        <f>AY320</f>
        <v>322</v>
      </c>
      <c r="CT320" s="23">
        <f>M320-K320</f>
        <v>1</v>
      </c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r="TU320" s="6"/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6"/>
      <c r="VM320" s="6"/>
      <c r="VN320" s="6"/>
      <c r="VO320" s="6"/>
      <c r="VP320" s="6"/>
      <c r="VQ320" s="6"/>
      <c r="VR320" s="6"/>
      <c r="VS320" s="6"/>
      <c r="VT320" s="6"/>
      <c r="VU320" s="6"/>
      <c r="VV320" s="6"/>
      <c r="VW320" s="6"/>
      <c r="VX320" s="6"/>
      <c r="VY320" s="6"/>
      <c r="VZ320" s="6"/>
      <c r="WA320" s="6"/>
      <c r="WB320" s="6"/>
      <c r="WC320" s="6"/>
      <c r="WD320" s="6"/>
      <c r="WE320" s="6"/>
      <c r="WF320" s="6"/>
      <c r="WG320" s="6"/>
      <c r="WH320" s="6"/>
      <c r="WI320" s="6"/>
      <c r="WJ320" s="6"/>
      <c r="WK320" s="6"/>
      <c r="WL320" s="6"/>
      <c r="WM320" s="6"/>
      <c r="WN320" s="6"/>
      <c r="WO320" s="6"/>
      <c r="WP320" s="6"/>
      <c r="WQ320" s="6"/>
      <c r="WR320" s="6"/>
      <c r="WS320" s="6"/>
      <c r="WT320" s="6"/>
      <c r="WU320" s="6"/>
      <c r="WV320" s="6"/>
      <c r="WW320" s="6"/>
      <c r="WX320" s="6"/>
      <c r="WY320" s="6"/>
      <c r="WZ320" s="6"/>
      <c r="XA320" s="6"/>
      <c r="XB320" s="6"/>
      <c r="XC320" s="6"/>
      <c r="XD320" s="6"/>
      <c r="XE320" s="6"/>
      <c r="XF320" s="6"/>
      <c r="XG320" s="6"/>
      <c r="XH320" s="6"/>
      <c r="XI320" s="6"/>
      <c r="XJ320" s="6"/>
      <c r="XK320" s="6"/>
      <c r="XL320" s="6"/>
      <c r="XM320" s="6"/>
      <c r="XN320" s="6"/>
      <c r="XO320" s="6"/>
      <c r="XP320" s="6"/>
      <c r="XQ320" s="6"/>
      <c r="XR320" s="6"/>
      <c r="XS320" s="6"/>
      <c r="XT320" s="6"/>
      <c r="XU320" s="6"/>
      <c r="XV320" s="6"/>
      <c r="XW320" s="6"/>
      <c r="XX320" s="6"/>
      <c r="XY320" s="6"/>
      <c r="XZ320" s="6"/>
      <c r="YA320" s="6"/>
      <c r="YB320" s="6"/>
      <c r="YC320" s="6"/>
      <c r="YD320" s="6"/>
      <c r="YE320" s="6"/>
      <c r="YF320" s="6"/>
      <c r="YG320" s="6"/>
      <c r="YH320" s="6"/>
      <c r="YI320" s="6"/>
      <c r="YJ320" s="6"/>
      <c r="YK320" s="6"/>
      <c r="YL320" s="6"/>
      <c r="YM320" s="6"/>
      <c r="YN320" s="6"/>
      <c r="YO320" s="6"/>
      <c r="YP320" s="6"/>
      <c r="YQ320" s="6"/>
      <c r="YR320" s="6"/>
      <c r="YS320" s="6"/>
      <c r="YT320" s="6"/>
      <c r="YU320" s="6"/>
      <c r="YV320" s="6"/>
      <c r="YW320" s="6"/>
      <c r="YX320" s="6"/>
      <c r="YY320" s="6"/>
      <c r="YZ320" s="6"/>
      <c r="ZA320" s="6"/>
      <c r="ZB320" s="6"/>
      <c r="ZC320" s="6"/>
      <c r="ZD320" s="6"/>
      <c r="ZE320" s="6"/>
      <c r="ZF320" s="6"/>
      <c r="ZG320" s="6"/>
      <c r="ZH320" s="6"/>
      <c r="ZI320" s="6"/>
      <c r="ZJ320" s="6"/>
      <c r="ZK320" s="6"/>
      <c r="ZL320" s="6"/>
      <c r="ZM320" s="6"/>
      <c r="ZN320" s="6"/>
      <c r="ZO320" s="6"/>
      <c r="ZP320" s="6"/>
      <c r="ZQ320" s="6"/>
      <c r="ZR320" s="6"/>
      <c r="ZS320" s="6"/>
      <c r="ZT320" s="6"/>
      <c r="ZU320" s="6"/>
      <c r="ZV320" s="6"/>
      <c r="ZW320" s="6"/>
      <c r="ZX320" s="6"/>
      <c r="ZY320" s="6"/>
      <c r="ZZ320" s="6"/>
      <c r="AAA320" s="6"/>
      <c r="AAB320" s="6"/>
      <c r="AAC320" s="6"/>
      <c r="AAD320" s="6"/>
      <c r="AAE320" s="6"/>
      <c r="AAF320" s="6"/>
      <c r="AAG320" s="6"/>
      <c r="AAH320" s="6"/>
      <c r="AAI320" s="6"/>
      <c r="AAJ320" s="6"/>
      <c r="AAK320" s="6"/>
      <c r="AAL320" s="6"/>
      <c r="AAM320" s="6"/>
      <c r="AAN320" s="6"/>
      <c r="AAO320" s="6"/>
      <c r="AAP320" s="6"/>
      <c r="AAQ320" s="6"/>
      <c r="AAR320" s="6"/>
      <c r="AAS320" s="6"/>
      <c r="AAT320" s="6"/>
      <c r="AAU320" s="6"/>
      <c r="AAV320" s="6"/>
      <c r="AAW320" s="6"/>
      <c r="AAX320" s="6"/>
      <c r="AAY320" s="6"/>
      <c r="AAZ320" s="6"/>
      <c r="ABA320" s="6"/>
      <c r="ABB320" s="6"/>
      <c r="ABC320" s="6"/>
      <c r="ABD320" s="6"/>
      <c r="ABE320" s="6"/>
      <c r="ABF320" s="6"/>
      <c r="ABG320" s="6"/>
      <c r="ABH320" s="6"/>
      <c r="ABI320" s="6"/>
      <c r="ABJ320" s="6"/>
      <c r="ABK320" s="6"/>
      <c r="ABL320" s="6"/>
      <c r="ABM320" s="6"/>
      <c r="ABN320" s="6"/>
      <c r="ABO320" s="6"/>
      <c r="ABP320" s="6"/>
      <c r="ABQ320" s="6"/>
      <c r="ABR320" s="6"/>
      <c r="ABS320" s="6"/>
      <c r="ABT320" s="6"/>
      <c r="ABU320" s="6"/>
      <c r="ABV320" s="6"/>
      <c r="ABW320" s="6"/>
      <c r="ABX320" s="6"/>
      <c r="ABY320" s="6"/>
      <c r="ABZ320" s="6"/>
      <c r="ACA320" s="6"/>
      <c r="ACB320" s="6"/>
      <c r="ACC320" s="6"/>
      <c r="ACD320" s="6"/>
      <c r="ACE320" s="6"/>
      <c r="ACF320" s="6"/>
      <c r="ACG320" s="6"/>
      <c r="ACH320" s="6"/>
      <c r="ACI320" s="6"/>
      <c r="ACJ320" s="6"/>
      <c r="ACK320" s="6"/>
      <c r="ACL320" s="6"/>
      <c r="ACM320" s="6"/>
      <c r="ACN320" s="6"/>
      <c r="ACO320" s="6"/>
      <c r="ACP320" s="6"/>
      <c r="ACQ320" s="6"/>
      <c r="ACR320" s="6"/>
      <c r="ACS320" s="6"/>
      <c r="ACT320" s="6"/>
      <c r="ACU320" s="6"/>
      <c r="ACV320" s="6"/>
      <c r="ACW320" s="6"/>
      <c r="ACX320" s="6"/>
      <c r="ACY320" s="6"/>
      <c r="ACZ320" s="6"/>
      <c r="ADA320" s="6"/>
      <c r="ADB320" s="6"/>
      <c r="ADC320" s="6"/>
      <c r="ADD320" s="6"/>
      <c r="ADE320" s="6"/>
      <c r="ADF320" s="6"/>
      <c r="ADG320" s="6"/>
      <c r="ADH320" s="6"/>
      <c r="ADI320" s="6"/>
      <c r="ADJ320" s="6"/>
      <c r="ADK320" s="6"/>
      <c r="ADL320" s="6"/>
      <c r="ADM320" s="6"/>
      <c r="ADN320" s="6"/>
      <c r="ADO320" s="6"/>
      <c r="ADP320" s="6"/>
      <c r="ADQ320" s="6"/>
      <c r="ADR320" s="6"/>
      <c r="ADS320" s="6"/>
      <c r="ADT320" s="6"/>
      <c r="ADU320" s="6"/>
      <c r="ADV320" s="6"/>
      <c r="ADW320" s="6"/>
      <c r="ADX320" s="6"/>
      <c r="ADY320" s="6"/>
      <c r="ADZ320" s="6"/>
      <c r="AEA320" s="6"/>
      <c r="AEB320" s="6"/>
      <c r="AEC320" s="6"/>
      <c r="AED320" s="6"/>
      <c r="AEE320" s="6"/>
      <c r="AEF320" s="6"/>
      <c r="AEG320" s="6"/>
      <c r="AEH320" s="6"/>
      <c r="AEI320" s="6"/>
      <c r="AEJ320" s="6"/>
      <c r="AEK320" s="6"/>
      <c r="AEL320" s="6"/>
      <c r="AEM320" s="6"/>
      <c r="AEN320" s="6"/>
      <c r="AEO320" s="6"/>
      <c r="AEP320" s="6"/>
      <c r="AEQ320" s="6"/>
      <c r="AER320" s="6"/>
      <c r="AES320" s="6"/>
      <c r="AET320" s="6"/>
      <c r="AEU320" s="6"/>
      <c r="AEV320" s="6"/>
      <c r="AEW320" s="6"/>
      <c r="AEX320" s="6"/>
      <c r="AEY320" s="6"/>
      <c r="AEZ320" s="6"/>
      <c r="AFA320" s="6"/>
      <c r="AFB320" s="6"/>
      <c r="AFC320" s="6"/>
      <c r="AFD320" s="6"/>
      <c r="AFE320" s="6"/>
      <c r="AFF320" s="6"/>
      <c r="AFG320" s="6"/>
      <c r="AFH320" s="6"/>
      <c r="AFI320" s="6"/>
      <c r="AFJ320" s="6"/>
      <c r="AFK320" s="6"/>
      <c r="AFL320" s="6"/>
      <c r="AFM320" s="6"/>
      <c r="AFN320" s="6"/>
      <c r="AFO320" s="6"/>
      <c r="AFP320" s="6"/>
      <c r="AFQ320" s="6"/>
      <c r="AFR320" s="6"/>
      <c r="AFS320" s="6"/>
      <c r="AFT320" s="6"/>
      <c r="AFU320" s="6"/>
      <c r="AFV320" s="6"/>
      <c r="AFW320" s="6"/>
      <c r="AFX320" s="6"/>
      <c r="AFY320" s="6"/>
      <c r="AFZ320" s="6"/>
      <c r="AGA320" s="6"/>
      <c r="AGB320" s="6"/>
      <c r="AGC320" s="6"/>
      <c r="AGD320" s="6"/>
      <c r="AGE320" s="6"/>
      <c r="AGF320" s="6"/>
      <c r="AGG320" s="6"/>
      <c r="AGH320" s="6"/>
      <c r="AGI320" s="6"/>
      <c r="AGJ320" s="6"/>
      <c r="AGK320" s="6"/>
      <c r="AGL320" s="6"/>
      <c r="AGM320" s="6"/>
      <c r="AGN320" s="6"/>
      <c r="AGO320" s="6"/>
      <c r="AGP320" s="6"/>
      <c r="AGQ320" s="6"/>
      <c r="AGR320" s="6"/>
      <c r="AGS320" s="6"/>
      <c r="AGT320" s="6"/>
      <c r="AGU320" s="6"/>
      <c r="AGV320" s="6"/>
      <c r="AGW320" s="6"/>
      <c r="AGX320" s="6"/>
      <c r="AGY320" s="6"/>
      <c r="AGZ320" s="6"/>
      <c r="AHA320" s="6"/>
      <c r="AHB320" s="6"/>
      <c r="AHC320" s="6"/>
      <c r="AHD320" s="6"/>
      <c r="AHE320" s="6"/>
      <c r="AHF320" s="6"/>
      <c r="AHG320" s="6"/>
      <c r="AHH320" s="6"/>
      <c r="AHI320" s="6"/>
      <c r="AHJ320" s="6"/>
      <c r="AHK320" s="6"/>
      <c r="AHL320" s="6"/>
      <c r="AHM320" s="6"/>
      <c r="AHN320" s="6"/>
      <c r="AHO320" s="6"/>
      <c r="AHP320" s="6"/>
      <c r="AHQ320" s="6"/>
      <c r="AHR320" s="6"/>
      <c r="AHS320" s="6"/>
      <c r="AHT320" s="6"/>
      <c r="AHU320" s="6"/>
      <c r="AHV320" s="6"/>
      <c r="AHW320" s="6"/>
      <c r="AHX320" s="6"/>
      <c r="AHY320" s="6"/>
      <c r="AHZ320" s="6"/>
      <c r="AIA320" s="6"/>
      <c r="AIB320" s="6"/>
      <c r="AIC320" s="6"/>
      <c r="AID320" s="6"/>
      <c r="AIE320" s="6"/>
      <c r="AIF320" s="6"/>
      <c r="AIG320" s="6"/>
      <c r="AIH320" s="6"/>
      <c r="AII320" s="6"/>
      <c r="AIJ320" s="6"/>
      <c r="AIK320" s="6"/>
      <c r="AIL320" s="6"/>
      <c r="AIM320" s="6"/>
      <c r="AIN320" s="6"/>
      <c r="AIO320" s="6"/>
      <c r="AIP320" s="6"/>
      <c r="AIQ320" s="6"/>
      <c r="AIR320" s="6"/>
      <c r="AIS320" s="6"/>
      <c r="AIT320" s="6"/>
      <c r="AIU320" s="6"/>
      <c r="AIV320" s="6"/>
      <c r="AIW320" s="6"/>
      <c r="AIX320" s="6"/>
      <c r="AIY320" s="6"/>
      <c r="AIZ320" s="6"/>
      <c r="AJA320" s="6"/>
      <c r="AJB320" s="6"/>
      <c r="AJC320" s="6"/>
      <c r="AJD320" s="6"/>
      <c r="AJE320" s="6"/>
      <c r="AJF320" s="6"/>
      <c r="AJG320" s="6"/>
      <c r="AJH320" s="6"/>
      <c r="AJI320" s="6"/>
      <c r="AJJ320" s="6"/>
      <c r="AJK320" s="6"/>
      <c r="AJL320" s="6"/>
      <c r="AJM320" s="6"/>
      <c r="AJN320" s="6"/>
      <c r="AJO320" s="6"/>
      <c r="AJP320" s="6"/>
      <c r="AJQ320" s="6"/>
      <c r="AJR320" s="6"/>
      <c r="AJS320" s="6"/>
      <c r="AJT320" s="6"/>
      <c r="AJU320" s="6"/>
      <c r="AJV320" s="6"/>
      <c r="AJW320" s="6"/>
      <c r="AJX320" s="6"/>
      <c r="AJY320" s="6"/>
      <c r="AJZ320" s="6"/>
      <c r="AKA320" s="6"/>
      <c r="AKB320" s="6"/>
      <c r="AKC320" s="6"/>
      <c r="AKD320" s="6"/>
      <c r="AKE320" s="6"/>
      <c r="AKF320" s="6"/>
      <c r="AKG320" s="6"/>
      <c r="AKH320" s="6"/>
      <c r="AKI320" s="6"/>
      <c r="AKJ320" s="6"/>
      <c r="AKK320" s="6"/>
      <c r="AKL320" s="6"/>
      <c r="AKM320" s="6"/>
      <c r="AKN320" s="6"/>
      <c r="AKO320" s="6"/>
      <c r="AKP320" s="6"/>
      <c r="AKQ320" s="6"/>
      <c r="AKR320" s="6"/>
      <c r="AKS320" s="6"/>
      <c r="AKT320" s="6"/>
      <c r="AKU320" s="6"/>
      <c r="AKV320" s="6"/>
      <c r="AKW320" s="6"/>
      <c r="AKX320" s="6"/>
      <c r="AKY320" s="6"/>
      <c r="AKZ320" s="6"/>
      <c r="ALA320" s="6"/>
      <c r="ALB320" s="6"/>
      <c r="ALC320" s="6"/>
      <c r="ALD320" s="6"/>
      <c r="ALE320" s="6"/>
      <c r="ALF320" s="6"/>
      <c r="ALG320" s="6"/>
      <c r="ALH320" s="6"/>
      <c r="ALI320" s="6"/>
      <c r="ALJ320" s="6"/>
      <c r="ALK320" s="6"/>
      <c r="ALL320" s="6"/>
      <c r="ALM320" s="6"/>
      <c r="ALN320" s="6"/>
      <c r="ALO320" s="6"/>
      <c r="ALP320" s="6"/>
      <c r="ALQ320" s="6"/>
      <c r="ALR320" s="6"/>
      <c r="ALS320" s="6"/>
      <c r="ALT320" s="6"/>
      <c r="ALU320" s="6"/>
      <c r="ALV320" s="6"/>
      <c r="ALW320" s="6"/>
      <c r="ALX320" s="6"/>
      <c r="ALY320" s="6"/>
      <c r="ALZ320" s="6"/>
      <c r="AMA320" s="6"/>
      <c r="AMB320" s="6"/>
      <c r="AMC320" s="6"/>
      <c r="AMD320" s="6"/>
      <c r="AME320" s="6"/>
      <c r="AMF320" s="6"/>
      <c r="AMG320" s="6"/>
      <c r="AMH320" s="6"/>
      <c r="AMI320" s="6"/>
      <c r="AMJ320" s="6"/>
      <c r="AMK320" s="6"/>
      <c r="AML320" s="6"/>
      <c r="AMM320" s="6"/>
      <c r="AMN320" s="6"/>
      <c r="AMO320" s="6"/>
      <c r="AMP320" s="6"/>
    </row>
    <row r="321" spans="1:1029" x14ac:dyDescent="0.2">
      <c r="A321" s="3" t="str">
        <f t="shared" si="2207"/>
        <v>opsd_bovin_4J4Q</v>
      </c>
      <c r="B321" s="3" t="s">
        <v>915</v>
      </c>
      <c r="C321" s="3" t="s">
        <v>1039</v>
      </c>
      <c r="D321" s="3" t="str">
        <f>IFERROR(MID(VLOOKUP($B321,Seqs!$A:$B,2,0),E321,1),"")</f>
        <v>E</v>
      </c>
      <c r="E321" s="105">
        <v>33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>K</v>
      </c>
      <c r="I321" s="23">
        <v>66</v>
      </c>
      <c r="J321" s="3" t="str">
        <f>IFERROR(MID(VLOOKUP($B321,Seqs!$A:$B,2,0),K321,1),"")</f>
        <v>R</v>
      </c>
      <c r="K321" s="23">
        <v>69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H</v>
      </c>
      <c r="O321" s="3">
        <v>100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G</v>
      </c>
      <c r="AC321" s="9">
        <v>149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199</v>
      </c>
      <c r="AL321" s="3" t="str">
        <f>IFERROR(MID(VLOOKUP($B321,Seqs!$A:$B,2,0),AM321,1),"")</f>
        <v>Q</v>
      </c>
      <c r="AM321" s="3">
        <v>237</v>
      </c>
      <c r="AN321" s="3" t="str">
        <f>IFERROR(MID(VLOOKUP($B321,Seqs!$A:$B,2,0),AO321,1),"")</f>
        <v>A</v>
      </c>
      <c r="AO321" s="3">
        <v>241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G</v>
      </c>
      <c r="AS321" s="3">
        <v>284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C</v>
      </c>
      <c r="AY321" s="3">
        <v>322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si="2208"/>
        <v>1</v>
      </c>
      <c r="BC321" s="23">
        <f t="shared" ref="BC321:BC408" si="2795">_xlfn.AGGREGATE(9,6,CH321:CS321)-_xlfn.AGGREGATE(9,6,BV321:CG321)+12</f>
        <v>253</v>
      </c>
      <c r="BD321" s="4" t="s">
        <v>23</v>
      </c>
      <c r="BE321" s="3" t="s">
        <v>1287</v>
      </c>
      <c r="BF321" s="118">
        <v>2.65</v>
      </c>
      <c r="BG321" s="49" t="s">
        <v>1373</v>
      </c>
      <c r="BH321" s="49" t="s">
        <v>1373</v>
      </c>
      <c r="BI321" s="1"/>
      <c r="BJ321" s="70" t="s">
        <v>1283</v>
      </c>
      <c r="BK321" s="57" t="s">
        <v>1283</v>
      </c>
      <c r="BL321" s="57" t="s">
        <v>1283</v>
      </c>
      <c r="BM321" s="57" t="s">
        <v>1283</v>
      </c>
      <c r="BN321" s="57" t="s">
        <v>1283</v>
      </c>
      <c r="BO321" s="57" t="s">
        <v>1283</v>
      </c>
      <c r="BP321" s="57" t="s">
        <v>1283</v>
      </c>
      <c r="BQ321" s="57" t="s">
        <v>1283</v>
      </c>
      <c r="BR321" s="57" t="s">
        <v>1283</v>
      </c>
      <c r="BS321" s="57" t="s">
        <v>1283</v>
      </c>
      <c r="BT321" s="57" t="s">
        <v>1283</v>
      </c>
      <c r="BU321" s="57" t="s">
        <v>1283</v>
      </c>
      <c r="BV321" s="70">
        <f t="shared" ref="BV321:BV408" si="2796">E321</f>
        <v>33</v>
      </c>
      <c r="BW321" s="71">
        <f t="shared" ref="BW321:BW408" si="2797">I321</f>
        <v>66</v>
      </c>
      <c r="BX321" s="72">
        <f t="shared" ref="BX321:BX408" si="2798">M321</f>
        <v>70</v>
      </c>
      <c r="BY321" s="71">
        <f t="shared" ref="BY321:BY408" si="2799">Q321</f>
        <v>102</v>
      </c>
      <c r="BZ321" s="72">
        <f t="shared" ref="BZ321:BZ408" si="2800">U321</f>
        <v>106</v>
      </c>
      <c r="CA321" s="71" t="str">
        <f t="shared" ref="CA321:CA408" si="2801">Y321</f>
        <v>-</v>
      </c>
      <c r="CB321" s="72">
        <f t="shared" ref="CB321:CB408" si="2802">AC321</f>
        <v>149</v>
      </c>
      <c r="CC321" s="71">
        <f t="shared" ref="CC321:CC408" si="2803">AG321</f>
        <v>187</v>
      </c>
      <c r="CD321" s="72">
        <f t="shared" ref="CD321:CD408" si="2804">AK321</f>
        <v>199</v>
      </c>
      <c r="CE321" s="71">
        <f t="shared" ref="CE321:CE408" si="2805">AO321</f>
        <v>241</v>
      </c>
      <c r="CF321" s="72">
        <f t="shared" ref="CF321:CF408" si="2806">AS321</f>
        <v>284</v>
      </c>
      <c r="CG321" s="71">
        <f t="shared" ref="CG321:CG408" si="2807">AW321</f>
        <v>310</v>
      </c>
      <c r="CH321" s="70">
        <f t="shared" ref="CH321:CH408" si="2808">G321</f>
        <v>65</v>
      </c>
      <c r="CI321" s="71">
        <f t="shared" ref="CI321:CI408" si="2809">K321</f>
        <v>69</v>
      </c>
      <c r="CJ321" s="72">
        <f t="shared" ref="CJ321:CJ408" si="2810">O321</f>
        <v>100</v>
      </c>
      <c r="CK321" s="72">
        <f t="shared" ref="CK321:CK408" si="2811">S321</f>
        <v>105</v>
      </c>
      <c r="CL321" s="72">
        <f t="shared" ref="CL321:CL408" si="2812">W321</f>
        <v>141</v>
      </c>
      <c r="CM321" s="72" t="str">
        <f t="shared" ref="CM321:CM408" si="2813">AA321</f>
        <v>-</v>
      </c>
      <c r="CN321" s="72">
        <f t="shared" ref="CN321:CN408" si="2814">AE321</f>
        <v>173</v>
      </c>
      <c r="CO321" s="72">
        <f t="shared" ref="CO321:CO408" si="2815">AI321</f>
        <v>189</v>
      </c>
      <c r="CP321" s="72">
        <f t="shared" ref="CP321:CP408" si="2816">AM321</f>
        <v>237</v>
      </c>
      <c r="CQ321" s="72">
        <f t="shared" ref="CQ321:CQ408" si="2817">AQ321</f>
        <v>278</v>
      </c>
      <c r="CR321" s="72">
        <f t="shared" ref="CR321:CR408" si="2818">AU321</f>
        <v>309</v>
      </c>
      <c r="CS321" s="72">
        <f t="shared" ref="CS321:CS408" si="2819">AY321</f>
        <v>322</v>
      </c>
      <c r="CT321" s="23">
        <f t="shared" ref="CT321:CT408" si="2820">M321-K321</f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29" x14ac:dyDescent="0.2">
      <c r="A322" s="3" t="str">
        <f t="shared" si="2207"/>
        <v>opsd_bovin_5DYS</v>
      </c>
      <c r="B322" s="3" t="s">
        <v>915</v>
      </c>
      <c r="C322" s="3" t="s">
        <v>1353</v>
      </c>
      <c r="D322" s="3" t="str">
        <f>IFERROR(MID(VLOOKUP($B322,Seqs!$A:$B,2,0),E322,1),"")</f>
        <v>E</v>
      </c>
      <c r="E322" s="105">
        <v>33</v>
      </c>
      <c r="F322" s="3" t="str">
        <f>IFERROR(MID(VLOOKUP($B322,Seqs!$A:$B,2,0),G322,1),"")</f>
        <v>H</v>
      </c>
      <c r="G322" s="3">
        <v>65</v>
      </c>
      <c r="H322" s="3" t="str">
        <f>IFERROR(MID(VLOOKUP($B322,Seqs!$A:$B,2,0),I322,1),"")</f>
        <v>K</v>
      </c>
      <c r="I322" s="23">
        <v>66</v>
      </c>
      <c r="J322" s="3" t="str">
        <f>IFERROR(MID(VLOOKUP($B322,Seqs!$A:$B,2,0),K322,1),"")</f>
        <v>R</v>
      </c>
      <c r="K322" s="23">
        <v>69</v>
      </c>
      <c r="L322" s="3" t="str">
        <f>IFERROR(MID(VLOOKUP($B322,Seqs!$A:$B,2,0),M322,1),"")</f>
        <v>T</v>
      </c>
      <c r="M322" s="3">
        <v>70</v>
      </c>
      <c r="N322" s="3" t="str">
        <f>IFERROR(MID(VLOOKUP($B322,Seqs!$A:$B,2,0),O322,1),"")</f>
        <v>H</v>
      </c>
      <c r="O322" s="3">
        <v>100</v>
      </c>
      <c r="P322" s="3" t="str">
        <f>IFERROR(MID(VLOOKUP($B322,Seqs!$A:$B,2,0),Q322,1),"")</f>
        <v>Y</v>
      </c>
      <c r="Q322" s="3">
        <v>102</v>
      </c>
      <c r="R322" s="3" t="str">
        <f>IFERROR(MID(VLOOKUP($B322,Seqs!$A:$B,2,0),S322,1),"")</f>
        <v>F</v>
      </c>
      <c r="S322" s="3">
        <v>105</v>
      </c>
      <c r="T322" s="3" t="str">
        <f>IFERROR(MID(VLOOKUP($B322,Seqs!$A:$B,2,0),U322,1),"")</f>
        <v>G</v>
      </c>
      <c r="U322" s="3">
        <v>106</v>
      </c>
      <c r="V322" s="3" t="str">
        <f>IFERROR(MID(VLOOKUP($B322,Seqs!$A:$B,2,0),W322,1),"")</f>
        <v>K</v>
      </c>
      <c r="W322" s="3">
        <v>141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G</v>
      </c>
      <c r="AC322" s="9">
        <v>149</v>
      </c>
      <c r="AD322" s="3" t="str">
        <f>IFERROR(MID(VLOOKUP($B322,Seqs!$A:$B,2,0),AE322,1),"")</f>
        <v>V</v>
      </c>
      <c r="AE322" s="3">
        <v>173</v>
      </c>
      <c r="AF322" s="3" t="str">
        <f>IFERROR(MID(VLOOKUP($B322,Seqs!$A:$B,2,0),AG322,1),"")</f>
        <v>C</v>
      </c>
      <c r="AG322" s="3">
        <v>187</v>
      </c>
      <c r="AH322" s="3" t="str">
        <f>IFERROR(MID(VLOOKUP($B322,Seqs!$A:$B,2,0),AI322,1),"")</f>
        <v>I</v>
      </c>
      <c r="AI322" s="3">
        <v>189</v>
      </c>
      <c r="AJ322" s="3" t="str">
        <f>IFERROR(MID(VLOOKUP($B322,Seqs!$A:$B,2,0),AK322,1),"")</f>
        <v>N</v>
      </c>
      <c r="AK322" s="3">
        <v>199</v>
      </c>
      <c r="AL322" s="3" t="str">
        <f>IFERROR(MID(VLOOKUP($B322,Seqs!$A:$B,2,0),AM322,1),"")</f>
        <v>Q</v>
      </c>
      <c r="AM322" s="3">
        <v>237</v>
      </c>
      <c r="AN322" s="3" t="str">
        <f>IFERROR(MID(VLOOKUP($B322,Seqs!$A:$B,2,0),AO322,1),"")</f>
        <v>A</v>
      </c>
      <c r="AO322" s="3">
        <v>241</v>
      </c>
      <c r="AP322" s="3" t="str">
        <f>IFERROR(MID(VLOOKUP($B322,Seqs!$A:$B,2,0),AQ322,1),"")</f>
        <v>H</v>
      </c>
      <c r="AQ322" s="3">
        <v>278</v>
      </c>
      <c r="AR322" s="3" t="str">
        <f>IFERROR(MID(VLOOKUP($B322,Seqs!$A:$B,2,0),AS322,1),"")</f>
        <v>G</v>
      </c>
      <c r="AS322" s="3">
        <v>284</v>
      </c>
      <c r="AT322" s="3" t="str">
        <f>IFERROR(MID(VLOOKUP($B322,Seqs!$A:$B,2,0),AU322,1),"")</f>
        <v>M</v>
      </c>
      <c r="AU322" s="3">
        <v>309</v>
      </c>
      <c r="AV322" s="3" t="str">
        <f>IFERROR(MID(VLOOKUP($B322,Seqs!$A:$B,2,0),AW322,1),"")</f>
        <v>N</v>
      </c>
      <c r="AW322" s="3">
        <v>310</v>
      </c>
      <c r="AX322" s="3" t="str">
        <f>IFERROR(MID(VLOOKUP($B322,Seqs!$A:$B,2,0),AY322,1),"")</f>
        <v>C</v>
      </c>
      <c r="AY322" s="3">
        <v>322</v>
      </c>
      <c r="AZ322" s="77" t="str">
        <f>VLOOKUP(B322,Classification!A:D,2,0)</f>
        <v>A</v>
      </c>
      <c r="BA322" s="94" t="str">
        <f>VLOOKUP(B322,Classification!A:D,4,0)</f>
        <v>Opsins</v>
      </c>
      <c r="BB322" s="27" t="b">
        <f t="shared" si="2208"/>
        <v>1</v>
      </c>
      <c r="BC322" s="23">
        <f t="shared" si="2795"/>
        <v>253</v>
      </c>
      <c r="BD322" s="5" t="s">
        <v>23</v>
      </c>
      <c r="BE322" s="3" t="s">
        <v>1287</v>
      </c>
      <c r="BF322" s="118">
        <v>2.2999999999999998</v>
      </c>
      <c r="BG322" s="49" t="s">
        <v>1373</v>
      </c>
      <c r="BH322" s="49" t="s">
        <v>1373</v>
      </c>
      <c r="BI322" s="1"/>
      <c r="BJ322" s="70" t="s">
        <v>1283</v>
      </c>
      <c r="BK322" s="57" t="s">
        <v>1283</v>
      </c>
      <c r="BL322" s="57" t="s">
        <v>1283</v>
      </c>
      <c r="BM322" s="57" t="s">
        <v>1283</v>
      </c>
      <c r="BN322" s="57" t="s">
        <v>1283</v>
      </c>
      <c r="BO322" s="57" t="s">
        <v>1283</v>
      </c>
      <c r="BP322" s="57" t="s">
        <v>1283</v>
      </c>
      <c r="BQ322" s="57" t="s">
        <v>1283</v>
      </c>
      <c r="BR322" s="57" t="s">
        <v>1283</v>
      </c>
      <c r="BS322" s="57" t="s">
        <v>1283</v>
      </c>
      <c r="BT322" s="57" t="s">
        <v>1283</v>
      </c>
      <c r="BU322" s="57" t="s">
        <v>1283</v>
      </c>
      <c r="BV322" s="70">
        <f t="shared" si="2796"/>
        <v>33</v>
      </c>
      <c r="BW322" s="71">
        <f t="shared" si="2797"/>
        <v>66</v>
      </c>
      <c r="BX322" s="72">
        <f t="shared" si="2798"/>
        <v>70</v>
      </c>
      <c r="BY322" s="71">
        <f t="shared" si="2799"/>
        <v>102</v>
      </c>
      <c r="BZ322" s="72">
        <f t="shared" si="2800"/>
        <v>106</v>
      </c>
      <c r="CA322" s="71" t="str">
        <f t="shared" si="2801"/>
        <v>-</v>
      </c>
      <c r="CB322" s="72">
        <f t="shared" si="2802"/>
        <v>149</v>
      </c>
      <c r="CC322" s="71">
        <f t="shared" si="2803"/>
        <v>187</v>
      </c>
      <c r="CD322" s="72">
        <f t="shared" si="2804"/>
        <v>199</v>
      </c>
      <c r="CE322" s="71">
        <f t="shared" si="2805"/>
        <v>241</v>
      </c>
      <c r="CF322" s="72">
        <f t="shared" si="2806"/>
        <v>284</v>
      </c>
      <c r="CG322" s="71">
        <f t="shared" si="2807"/>
        <v>310</v>
      </c>
      <c r="CH322" s="70">
        <f t="shared" si="2808"/>
        <v>65</v>
      </c>
      <c r="CI322" s="71">
        <f t="shared" si="2809"/>
        <v>69</v>
      </c>
      <c r="CJ322" s="72">
        <f t="shared" si="2810"/>
        <v>100</v>
      </c>
      <c r="CK322" s="72">
        <f t="shared" si="2811"/>
        <v>105</v>
      </c>
      <c r="CL322" s="72">
        <f t="shared" si="2812"/>
        <v>141</v>
      </c>
      <c r="CM322" s="72" t="str">
        <f t="shared" si="2813"/>
        <v>-</v>
      </c>
      <c r="CN322" s="72">
        <f t="shared" si="2814"/>
        <v>173</v>
      </c>
      <c r="CO322" s="72">
        <f t="shared" si="2815"/>
        <v>189</v>
      </c>
      <c r="CP322" s="72">
        <f t="shared" si="2816"/>
        <v>237</v>
      </c>
      <c r="CQ322" s="72">
        <f t="shared" si="2817"/>
        <v>278</v>
      </c>
      <c r="CR322" s="72">
        <f t="shared" si="2818"/>
        <v>309</v>
      </c>
      <c r="CS322" s="72">
        <f t="shared" si="2819"/>
        <v>322</v>
      </c>
      <c r="CT322" s="23">
        <f t="shared" si="2820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29" x14ac:dyDescent="0.2">
      <c r="A323" s="3" t="str">
        <f t="shared" ref="A323:A433" si="2821">CONCATENATE(B323,"_",C323)</f>
        <v>opsd_bovin_5EN0</v>
      </c>
      <c r="B323" s="3" t="s">
        <v>915</v>
      </c>
      <c r="C323" s="3" t="s">
        <v>1354</v>
      </c>
      <c r="D323" s="3" t="str">
        <f>IFERROR(MID(VLOOKUP($B323,Seqs!$A:$B,2,0),E323,1),"")</f>
        <v>E</v>
      </c>
      <c r="E323" s="105">
        <v>33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H</v>
      </c>
      <c r="O323" s="3">
        <v>100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V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237</v>
      </c>
      <c r="AN323" s="3" t="str">
        <f>IFERROR(MID(VLOOKUP($B323,Seqs!$A:$B,2,0),AO323,1),"")</f>
        <v>A</v>
      </c>
      <c r="AO323" s="3">
        <v>241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 t="shared" ref="BB323:BB433" si="2822"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 t="shared" si="2795"/>
        <v>253</v>
      </c>
      <c r="BD323" s="4" t="s">
        <v>23</v>
      </c>
      <c r="BE323" s="3" t="s">
        <v>1287</v>
      </c>
      <c r="BF323" s="118">
        <v>2.81</v>
      </c>
      <c r="BG323" s="49" t="s">
        <v>1373</v>
      </c>
      <c r="BH323" s="49" t="s">
        <v>1373</v>
      </c>
      <c r="BI323" s="1"/>
      <c r="BJ323" s="70" t="s">
        <v>1283</v>
      </c>
      <c r="BK323" s="57" t="s">
        <v>1283</v>
      </c>
      <c r="BL323" s="57" t="s">
        <v>1283</v>
      </c>
      <c r="BM323" s="57" t="s">
        <v>1283</v>
      </c>
      <c r="BN323" s="57" t="s">
        <v>1283</v>
      </c>
      <c r="BO323" s="57" t="s">
        <v>1283</v>
      </c>
      <c r="BP323" s="57" t="s">
        <v>1283</v>
      </c>
      <c r="BQ323" s="57" t="s">
        <v>1283</v>
      </c>
      <c r="BR323" s="57" t="s">
        <v>1283</v>
      </c>
      <c r="BS323" s="57" t="s">
        <v>1283</v>
      </c>
      <c r="BT323" s="57" t="s">
        <v>1283</v>
      </c>
      <c r="BU323" s="57" t="s">
        <v>1283</v>
      </c>
      <c r="BV323" s="70">
        <f t="shared" si="2796"/>
        <v>33</v>
      </c>
      <c r="BW323" s="71">
        <f t="shared" si="2797"/>
        <v>66</v>
      </c>
      <c r="BX323" s="72">
        <f t="shared" si="2798"/>
        <v>70</v>
      </c>
      <c r="BY323" s="71">
        <f t="shared" si="2799"/>
        <v>102</v>
      </c>
      <c r="BZ323" s="72">
        <f t="shared" si="2800"/>
        <v>106</v>
      </c>
      <c r="CA323" s="71" t="str">
        <f t="shared" si="2801"/>
        <v>-</v>
      </c>
      <c r="CB323" s="72">
        <f t="shared" si="2802"/>
        <v>149</v>
      </c>
      <c r="CC323" s="71">
        <f t="shared" si="2803"/>
        <v>187</v>
      </c>
      <c r="CD323" s="72">
        <f t="shared" si="2804"/>
        <v>199</v>
      </c>
      <c r="CE323" s="71">
        <f t="shared" si="2805"/>
        <v>241</v>
      </c>
      <c r="CF323" s="72">
        <f t="shared" si="2806"/>
        <v>284</v>
      </c>
      <c r="CG323" s="71">
        <f t="shared" si="2807"/>
        <v>310</v>
      </c>
      <c r="CH323" s="70">
        <f t="shared" si="2808"/>
        <v>65</v>
      </c>
      <c r="CI323" s="71">
        <f t="shared" si="2809"/>
        <v>69</v>
      </c>
      <c r="CJ323" s="72">
        <f t="shared" si="2810"/>
        <v>100</v>
      </c>
      <c r="CK323" s="72">
        <f t="shared" si="2811"/>
        <v>105</v>
      </c>
      <c r="CL323" s="72">
        <f t="shared" si="2812"/>
        <v>141</v>
      </c>
      <c r="CM323" s="72" t="str">
        <f t="shared" si="2813"/>
        <v>-</v>
      </c>
      <c r="CN323" s="72">
        <f t="shared" si="2814"/>
        <v>173</v>
      </c>
      <c r="CO323" s="72">
        <f t="shared" si="2815"/>
        <v>189</v>
      </c>
      <c r="CP323" s="72">
        <f t="shared" si="2816"/>
        <v>237</v>
      </c>
      <c r="CQ323" s="72">
        <f t="shared" si="2817"/>
        <v>278</v>
      </c>
      <c r="CR323" s="72">
        <f t="shared" si="2818"/>
        <v>309</v>
      </c>
      <c r="CS323" s="72">
        <f t="shared" si="2819"/>
        <v>322</v>
      </c>
      <c r="CT323" s="23">
        <f t="shared" si="2820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29" x14ac:dyDescent="0.2">
      <c r="A324" s="3" t="str">
        <f t="shared" ref="A324:A334" si="2823">CONCATENATE(B324,"_",C324)</f>
        <v>opsd_bovin_5TE3</v>
      </c>
      <c r="B324" s="3" t="s">
        <v>915</v>
      </c>
      <c r="C324" s="3" t="s">
        <v>1395</v>
      </c>
      <c r="D324" s="3" t="str">
        <f>IFERROR(MID(VLOOKUP($B324,Seqs!$A:$B,2,0),E324,1),"")</f>
        <v>E</v>
      </c>
      <c r="E324" s="105">
        <v>33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H</v>
      </c>
      <c r="O324" s="3">
        <v>100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G</v>
      </c>
      <c r="AC324" s="3">
        <v>149</v>
      </c>
      <c r="AD324" s="3" t="str">
        <f>IFERROR(MID(VLOOKUP($B324,Seqs!$A:$B,2,0),AE324,1),"")</f>
        <v>V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 t="shared" ref="BB324:BB334" si="2824"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 t="shared" ref="BC324:BC334" si="2825">_xlfn.AGGREGATE(9,6,CH324:CS324)-_xlfn.AGGREGATE(9,6,BV324:CG324)+12</f>
        <v>253</v>
      </c>
      <c r="BD324" s="2" t="s">
        <v>23</v>
      </c>
      <c r="BE324" s="3" t="s">
        <v>1287</v>
      </c>
      <c r="BF324" s="118">
        <v>2.7</v>
      </c>
      <c r="BG324" s="49" t="s">
        <v>1</v>
      </c>
      <c r="BH324" s="49" t="s">
        <v>1373</v>
      </c>
      <c r="BI324" s="1"/>
      <c r="BJ324" s="70" t="s">
        <v>1283</v>
      </c>
      <c r="BK324" s="57" t="s">
        <v>1283</v>
      </c>
      <c r="BL324" s="57" t="s">
        <v>1283</v>
      </c>
      <c r="BM324" s="57" t="s">
        <v>1283</v>
      </c>
      <c r="BN324" s="57" t="s">
        <v>1283</v>
      </c>
      <c r="BO324" s="57" t="s">
        <v>1283</v>
      </c>
      <c r="BP324" s="57" t="s">
        <v>1283</v>
      </c>
      <c r="BQ324" s="57" t="s">
        <v>1283</v>
      </c>
      <c r="BR324" s="57" t="s">
        <v>1283</v>
      </c>
      <c r="BS324" s="57" t="s">
        <v>1283</v>
      </c>
      <c r="BT324" s="57" t="s">
        <v>1283</v>
      </c>
      <c r="BU324" s="57" t="s">
        <v>1283</v>
      </c>
      <c r="BV324" s="70">
        <f t="shared" ref="BV324:BV334" si="2826">E324</f>
        <v>33</v>
      </c>
      <c r="BW324" s="71">
        <f t="shared" ref="BW324:BW334" si="2827">I324</f>
        <v>66</v>
      </c>
      <c r="BX324" s="72">
        <f t="shared" ref="BX324:BX334" si="2828">M324</f>
        <v>70</v>
      </c>
      <c r="BY324" s="71">
        <f t="shared" ref="BY324:BY334" si="2829">Q324</f>
        <v>102</v>
      </c>
      <c r="BZ324" s="72">
        <f t="shared" ref="BZ324:BZ334" si="2830">U324</f>
        <v>106</v>
      </c>
      <c r="CA324" s="71" t="str">
        <f t="shared" ref="CA324:CA334" si="2831">Y324</f>
        <v>-</v>
      </c>
      <c r="CB324" s="72">
        <f t="shared" ref="CB324:CB334" si="2832">AC324</f>
        <v>149</v>
      </c>
      <c r="CC324" s="71">
        <f t="shared" ref="CC324:CC334" si="2833">AG324</f>
        <v>187</v>
      </c>
      <c r="CD324" s="72">
        <f t="shared" ref="CD324:CD334" si="2834">AK324</f>
        <v>199</v>
      </c>
      <c r="CE324" s="71">
        <f t="shared" ref="CE324:CE334" si="2835">AO324</f>
        <v>241</v>
      </c>
      <c r="CF324" s="72">
        <f t="shared" ref="CF324:CF334" si="2836">AS324</f>
        <v>284</v>
      </c>
      <c r="CG324" s="71">
        <f t="shared" ref="CG324:CG334" si="2837">AW324</f>
        <v>310</v>
      </c>
      <c r="CH324" s="70">
        <f t="shared" ref="CH324:CH334" si="2838">G324</f>
        <v>65</v>
      </c>
      <c r="CI324" s="71">
        <f t="shared" ref="CI324:CI334" si="2839">K324</f>
        <v>69</v>
      </c>
      <c r="CJ324" s="72">
        <f t="shared" ref="CJ324:CJ334" si="2840">O324</f>
        <v>100</v>
      </c>
      <c r="CK324" s="72">
        <f t="shared" ref="CK324:CK334" si="2841">S324</f>
        <v>105</v>
      </c>
      <c r="CL324" s="72">
        <f t="shared" ref="CL324:CL334" si="2842">W324</f>
        <v>141</v>
      </c>
      <c r="CM324" s="72" t="str">
        <f t="shared" ref="CM324:CM334" si="2843">AA324</f>
        <v>-</v>
      </c>
      <c r="CN324" s="72">
        <f t="shared" ref="CN324:CN334" si="2844">AE324</f>
        <v>173</v>
      </c>
      <c r="CO324" s="72">
        <f t="shared" ref="CO324:CO334" si="2845">AI324</f>
        <v>189</v>
      </c>
      <c r="CP324" s="72">
        <f t="shared" ref="CP324:CP334" si="2846">AM324</f>
        <v>237</v>
      </c>
      <c r="CQ324" s="72">
        <f t="shared" ref="CQ324:CQ334" si="2847">AQ324</f>
        <v>278</v>
      </c>
      <c r="CR324" s="72">
        <f t="shared" ref="CR324:CR334" si="2848">AU324</f>
        <v>309</v>
      </c>
      <c r="CS324" s="72">
        <f t="shared" ref="CS324:CS334" si="2849">AY324</f>
        <v>322</v>
      </c>
      <c r="CT324" s="23">
        <f t="shared" ref="CT324:CT334" si="2850"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29" x14ac:dyDescent="0.2">
      <c r="A325" s="3" t="str">
        <f t="shared" si="2823"/>
        <v>opsd_bovin_5TE5</v>
      </c>
      <c r="B325" s="3" t="s">
        <v>915</v>
      </c>
      <c r="C325" s="3" t="s">
        <v>1396</v>
      </c>
      <c r="D325" s="3" t="str">
        <f>IFERROR(MID(VLOOKUP($B325,Seqs!$A:$B,2,0),E325,1),"")</f>
        <v>Q</v>
      </c>
      <c r="E325" s="3">
        <v>36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G</v>
      </c>
      <c r="O325" s="3">
        <v>101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G</v>
      </c>
      <c r="AC325" s="3">
        <v>149</v>
      </c>
      <c r="AD325" s="3" t="str">
        <f>IFERROR(MID(VLOOKUP($B325,Seqs!$A:$B,2,0),AE325,1),"")</f>
        <v>V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S</v>
      </c>
      <c r="AK325" s="3">
        <v>202</v>
      </c>
      <c r="AL325" s="3" t="str">
        <f>IFERROR(MID(VLOOKUP($B325,Seqs!$A:$B,2,0),AM325,1),"")</f>
        <v>L</v>
      </c>
      <c r="AM325" s="3">
        <v>226</v>
      </c>
      <c r="AN325" s="3" t="str">
        <f>IFERROR(MID(VLOOKUP($B325,Seqs!$A:$B,2,0),AO325,1),"")</f>
        <v>T</v>
      </c>
      <c r="AO325" s="3">
        <v>243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P</v>
      </c>
      <c r="AS325" s="3">
        <v>285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323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2824"/>
        <v>1</v>
      </c>
      <c r="BC325" s="23">
        <f t="shared" si="2825"/>
        <v>235</v>
      </c>
      <c r="BD325" s="2" t="s">
        <v>23</v>
      </c>
      <c r="BE325" s="3" t="s">
        <v>1370</v>
      </c>
      <c r="BF325" s="118">
        <v>4.01</v>
      </c>
      <c r="BG325" s="49" t="s">
        <v>1373</v>
      </c>
      <c r="BH325" s="49" t="s">
        <v>1373</v>
      </c>
      <c r="BI325" s="1"/>
      <c r="BJ325" s="70" t="s">
        <v>1283</v>
      </c>
      <c r="BK325" s="57" t="s">
        <v>1283</v>
      </c>
      <c r="BL325" s="57" t="s">
        <v>1283</v>
      </c>
      <c r="BM325" s="57" t="s">
        <v>1283</v>
      </c>
      <c r="BN325" s="57" t="s">
        <v>1283</v>
      </c>
      <c r="BO325" s="57" t="s">
        <v>1283</v>
      </c>
      <c r="BP325" s="57" t="s">
        <v>1283</v>
      </c>
      <c r="BQ325" s="57" t="s">
        <v>1283</v>
      </c>
      <c r="BR325" s="57" t="s">
        <v>1283</v>
      </c>
      <c r="BS325" s="57" t="s">
        <v>1283</v>
      </c>
      <c r="BT325" s="57" t="s">
        <v>1283</v>
      </c>
      <c r="BU325" s="57" t="s">
        <v>1283</v>
      </c>
      <c r="BV325" s="70">
        <f t="shared" si="2826"/>
        <v>36</v>
      </c>
      <c r="BW325" s="71">
        <f t="shared" si="2827"/>
        <v>66</v>
      </c>
      <c r="BX325" s="72">
        <f t="shared" si="2828"/>
        <v>70</v>
      </c>
      <c r="BY325" s="71">
        <f t="shared" si="2829"/>
        <v>102</v>
      </c>
      <c r="BZ325" s="72">
        <f t="shared" si="2830"/>
        <v>106</v>
      </c>
      <c r="CA325" s="71" t="str">
        <f t="shared" si="2831"/>
        <v>-</v>
      </c>
      <c r="CB325" s="72">
        <f t="shared" si="2832"/>
        <v>149</v>
      </c>
      <c r="CC325" s="71">
        <f t="shared" si="2833"/>
        <v>187</v>
      </c>
      <c r="CD325" s="72">
        <f t="shared" si="2834"/>
        <v>202</v>
      </c>
      <c r="CE325" s="71">
        <f t="shared" si="2835"/>
        <v>243</v>
      </c>
      <c r="CF325" s="72">
        <f t="shared" si="2836"/>
        <v>285</v>
      </c>
      <c r="CG325" s="71">
        <f t="shared" si="2837"/>
        <v>310</v>
      </c>
      <c r="CH325" s="70">
        <f t="shared" si="2838"/>
        <v>65</v>
      </c>
      <c r="CI325" s="71">
        <f t="shared" si="2839"/>
        <v>69</v>
      </c>
      <c r="CJ325" s="72">
        <f t="shared" si="2840"/>
        <v>101</v>
      </c>
      <c r="CK325" s="72">
        <f t="shared" si="2841"/>
        <v>105</v>
      </c>
      <c r="CL325" s="72">
        <f t="shared" si="2842"/>
        <v>141</v>
      </c>
      <c r="CM325" s="72" t="str">
        <f t="shared" si="2843"/>
        <v>-</v>
      </c>
      <c r="CN325" s="72">
        <f t="shared" si="2844"/>
        <v>173</v>
      </c>
      <c r="CO325" s="72">
        <f t="shared" si="2845"/>
        <v>189</v>
      </c>
      <c r="CP325" s="72">
        <f t="shared" si="2846"/>
        <v>226</v>
      </c>
      <c r="CQ325" s="72">
        <f t="shared" si="2847"/>
        <v>278</v>
      </c>
      <c r="CR325" s="72">
        <f t="shared" si="2848"/>
        <v>309</v>
      </c>
      <c r="CS325" s="72">
        <f t="shared" si="2849"/>
        <v>323</v>
      </c>
      <c r="CT325" s="23">
        <f t="shared" si="2850"/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29" x14ac:dyDescent="0.2">
      <c r="A326" s="3" t="str">
        <f t="shared" si="2823"/>
        <v>opsd_bovin_5WKT</v>
      </c>
      <c r="B326" s="3" t="s">
        <v>915</v>
      </c>
      <c r="C326" s="3" t="s">
        <v>1446</v>
      </c>
      <c r="D326" s="3" t="str">
        <f>IFERROR(MID(VLOOKUP($B326,Seqs!$A:$B,2,0),E326,1),"")</f>
        <v>E</v>
      </c>
      <c r="E326" s="3">
        <v>33</v>
      </c>
      <c r="F326" s="3" t="str">
        <f>IFERROR(MID(VLOOKUP($B326,Seqs!$A:$B,2,0),G326,1),"")</f>
        <v>Q</v>
      </c>
      <c r="G326" s="3">
        <v>64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N</v>
      </c>
      <c r="M326" s="3">
        <v>73</v>
      </c>
      <c r="N326" s="3" t="str">
        <f>IFERROR(MID(VLOOKUP($B326,Seqs!$A:$B,2,0),O326,1),"")</f>
        <v>G</v>
      </c>
      <c r="O326" s="3">
        <v>101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G</v>
      </c>
      <c r="AC326" s="3">
        <v>149</v>
      </c>
      <c r="AD326" s="3" t="str">
        <f>IFERROR(MID(VLOOKUP($B326,Seqs!$A:$B,2,0),AE326,1),"")</f>
        <v>V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236</v>
      </c>
      <c r="AN326" s="3" t="str">
        <f>IFERROR(MID(VLOOKUP($B326,Seqs!$A:$B,2,0),AO326,1),"")</f>
        <v>S</v>
      </c>
      <c r="AO326" s="3">
        <v>240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 t="shared" si="2824"/>
        <v>1</v>
      </c>
      <c r="BC326" s="23">
        <f t="shared" si="2825"/>
        <v>250</v>
      </c>
      <c r="BD326" s="2" t="s">
        <v>23</v>
      </c>
      <c r="BE326" s="3" t="s">
        <v>1287</v>
      </c>
      <c r="BF326" s="118">
        <v>3.2</v>
      </c>
      <c r="BG326" s="49" t="s">
        <v>1</v>
      </c>
      <c r="BH326" s="49" t="s">
        <v>1</v>
      </c>
      <c r="BI326" s="1"/>
      <c r="BJ326" s="70" t="s">
        <v>1283</v>
      </c>
      <c r="BK326" s="57" t="s">
        <v>1283</v>
      </c>
      <c r="BL326" s="57" t="s">
        <v>1283</v>
      </c>
      <c r="BM326" s="57" t="s">
        <v>1283</v>
      </c>
      <c r="BN326" s="57" t="s">
        <v>1283</v>
      </c>
      <c r="BO326" s="57" t="s">
        <v>1283</v>
      </c>
      <c r="BP326" s="57" t="s">
        <v>1283</v>
      </c>
      <c r="BQ326" s="57" t="s">
        <v>1283</v>
      </c>
      <c r="BR326" s="57" t="s">
        <v>1283</v>
      </c>
      <c r="BS326" s="57" t="s">
        <v>1283</v>
      </c>
      <c r="BT326" s="57" t="s">
        <v>1283</v>
      </c>
      <c r="BU326" s="57" t="s">
        <v>1283</v>
      </c>
      <c r="BV326" s="70">
        <f t="shared" si="2826"/>
        <v>33</v>
      </c>
      <c r="BW326" s="71">
        <f t="shared" si="2827"/>
        <v>66</v>
      </c>
      <c r="BX326" s="72">
        <f t="shared" si="2828"/>
        <v>73</v>
      </c>
      <c r="BY326" s="71">
        <f t="shared" si="2829"/>
        <v>102</v>
      </c>
      <c r="BZ326" s="72">
        <f t="shared" si="2830"/>
        <v>106</v>
      </c>
      <c r="CA326" s="71" t="str">
        <f t="shared" si="2831"/>
        <v>-</v>
      </c>
      <c r="CB326" s="72">
        <f t="shared" si="2832"/>
        <v>149</v>
      </c>
      <c r="CC326" s="71">
        <f t="shared" si="2833"/>
        <v>187</v>
      </c>
      <c r="CD326" s="72">
        <f t="shared" si="2834"/>
        <v>199</v>
      </c>
      <c r="CE326" s="71">
        <f t="shared" si="2835"/>
        <v>240</v>
      </c>
      <c r="CF326" s="72">
        <f t="shared" si="2836"/>
        <v>284</v>
      </c>
      <c r="CG326" s="71">
        <f t="shared" si="2837"/>
        <v>310</v>
      </c>
      <c r="CH326" s="70">
        <f t="shared" si="2838"/>
        <v>64</v>
      </c>
      <c r="CI326" s="71">
        <f t="shared" si="2839"/>
        <v>69</v>
      </c>
      <c r="CJ326" s="72">
        <f t="shared" si="2840"/>
        <v>101</v>
      </c>
      <c r="CK326" s="72">
        <f t="shared" si="2841"/>
        <v>105</v>
      </c>
      <c r="CL326" s="72">
        <f t="shared" si="2842"/>
        <v>141</v>
      </c>
      <c r="CM326" s="72" t="str">
        <f t="shared" si="2843"/>
        <v>-</v>
      </c>
      <c r="CN326" s="72">
        <f t="shared" si="2844"/>
        <v>173</v>
      </c>
      <c r="CO326" s="72">
        <f t="shared" si="2845"/>
        <v>189</v>
      </c>
      <c r="CP326" s="72">
        <f t="shared" si="2846"/>
        <v>236</v>
      </c>
      <c r="CQ326" s="72">
        <f t="shared" si="2847"/>
        <v>278</v>
      </c>
      <c r="CR326" s="72">
        <f t="shared" si="2848"/>
        <v>309</v>
      </c>
      <c r="CS326" s="72">
        <f t="shared" si="2849"/>
        <v>322</v>
      </c>
      <c r="CT326" s="23">
        <f t="shared" si="2850"/>
        <v>4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29" x14ac:dyDescent="0.2">
      <c r="A327" s="3" t="str">
        <f t="shared" si="2823"/>
        <v>opsd_bovin_6FK6</v>
      </c>
      <c r="B327" s="3" t="s">
        <v>915</v>
      </c>
      <c r="C327" s="3" t="s">
        <v>1477</v>
      </c>
      <c r="D327" s="3" t="str">
        <f>IFERROR(MID(VLOOKUP($B327,Seqs!$A:$B,2,0),E327,1),"")</f>
        <v>E</v>
      </c>
      <c r="E327" s="3">
        <v>33</v>
      </c>
      <c r="F327" s="3" t="str">
        <f>IFERROR(MID(VLOOKUP($B327,Seqs!$A:$B,2,0),G327,1),"")</f>
        <v>Q</v>
      </c>
      <c r="G327" s="3">
        <v>64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N</v>
      </c>
      <c r="M327" s="3">
        <v>73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G</v>
      </c>
      <c r="AC327" s="3">
        <v>149</v>
      </c>
      <c r="AD327" s="3" t="str">
        <f>IFERROR(MID(VLOOKUP($B327,Seqs!$A:$B,2,0),AE327,1),"")</f>
        <v>V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199</v>
      </c>
      <c r="AL327" s="3" t="str">
        <f>IFERROR(MID(VLOOKUP($B327,Seqs!$A:$B,2,0),AM327,1),"")</f>
        <v>Q</v>
      </c>
      <c r="AM327" s="3">
        <v>236</v>
      </c>
      <c r="AN327" s="3" t="str">
        <f>IFERROR(MID(VLOOKUP($B327,Seqs!$A:$B,2,0),AO327,1),"")</f>
        <v>S</v>
      </c>
      <c r="AO327" s="3">
        <v>240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G</v>
      </c>
      <c r="AS327" s="3">
        <v>284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322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 t="shared" si="2824"/>
        <v>1</v>
      </c>
      <c r="BC327" s="23">
        <f t="shared" si="2825"/>
        <v>250</v>
      </c>
      <c r="BD327" s="2" t="s">
        <v>23</v>
      </c>
      <c r="BE327" s="3" t="s">
        <v>1287</v>
      </c>
      <c r="BF327" s="118">
        <v>2.36</v>
      </c>
      <c r="BG327" s="49" t="s">
        <v>1</v>
      </c>
      <c r="BH327" s="49" t="s">
        <v>1</v>
      </c>
      <c r="BI327" s="1"/>
      <c r="BJ327" s="70" t="s">
        <v>1283</v>
      </c>
      <c r="BK327" s="57" t="s">
        <v>1283</v>
      </c>
      <c r="BL327" s="57" t="s">
        <v>1283</v>
      </c>
      <c r="BM327" s="57" t="s">
        <v>1283</v>
      </c>
      <c r="BN327" s="57" t="s">
        <v>1283</v>
      </c>
      <c r="BO327" s="57" t="s">
        <v>1283</v>
      </c>
      <c r="BP327" s="57" t="s">
        <v>1283</v>
      </c>
      <c r="BQ327" s="57" t="s">
        <v>1283</v>
      </c>
      <c r="BR327" s="57" t="s">
        <v>1283</v>
      </c>
      <c r="BS327" s="57" t="s">
        <v>1283</v>
      </c>
      <c r="BT327" s="57" t="s">
        <v>1283</v>
      </c>
      <c r="BU327" s="57" t="s">
        <v>1283</v>
      </c>
      <c r="BV327" s="70">
        <f t="shared" si="2826"/>
        <v>33</v>
      </c>
      <c r="BW327" s="71">
        <f t="shared" si="2827"/>
        <v>66</v>
      </c>
      <c r="BX327" s="72">
        <f t="shared" si="2828"/>
        <v>73</v>
      </c>
      <c r="BY327" s="71">
        <f t="shared" si="2829"/>
        <v>102</v>
      </c>
      <c r="BZ327" s="72">
        <f t="shared" si="2830"/>
        <v>106</v>
      </c>
      <c r="CA327" s="71" t="str">
        <f t="shared" si="2831"/>
        <v>-</v>
      </c>
      <c r="CB327" s="72">
        <f t="shared" si="2832"/>
        <v>149</v>
      </c>
      <c r="CC327" s="71">
        <f t="shared" si="2833"/>
        <v>187</v>
      </c>
      <c r="CD327" s="72">
        <f t="shared" si="2834"/>
        <v>199</v>
      </c>
      <c r="CE327" s="71">
        <f t="shared" si="2835"/>
        <v>240</v>
      </c>
      <c r="CF327" s="72">
        <f t="shared" si="2836"/>
        <v>284</v>
      </c>
      <c r="CG327" s="71">
        <f t="shared" si="2837"/>
        <v>310</v>
      </c>
      <c r="CH327" s="70">
        <f t="shared" si="2838"/>
        <v>64</v>
      </c>
      <c r="CI327" s="71">
        <f t="shared" si="2839"/>
        <v>69</v>
      </c>
      <c r="CJ327" s="72">
        <f t="shared" si="2840"/>
        <v>101</v>
      </c>
      <c r="CK327" s="72">
        <f t="shared" si="2841"/>
        <v>105</v>
      </c>
      <c r="CL327" s="72">
        <f t="shared" si="2842"/>
        <v>141</v>
      </c>
      <c r="CM327" s="72" t="str">
        <f t="shared" si="2843"/>
        <v>-</v>
      </c>
      <c r="CN327" s="72">
        <f t="shared" si="2844"/>
        <v>173</v>
      </c>
      <c r="CO327" s="72">
        <f t="shared" si="2845"/>
        <v>189</v>
      </c>
      <c r="CP327" s="72">
        <f t="shared" si="2846"/>
        <v>236</v>
      </c>
      <c r="CQ327" s="72">
        <f t="shared" si="2847"/>
        <v>278</v>
      </c>
      <c r="CR327" s="72">
        <f t="shared" si="2848"/>
        <v>309</v>
      </c>
      <c r="CS327" s="72">
        <f t="shared" si="2849"/>
        <v>322</v>
      </c>
      <c r="CT327" s="23">
        <f t="shared" si="2850"/>
        <v>4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29" x14ac:dyDescent="0.2">
      <c r="A328" s="3" t="str">
        <f t="shared" si="2823"/>
        <v>opsd_bovin_6FK7</v>
      </c>
      <c r="B328" s="3" t="s">
        <v>915</v>
      </c>
      <c r="C328" s="3" t="s">
        <v>1478</v>
      </c>
      <c r="D328" s="3" t="str">
        <f>IFERROR(MID(VLOOKUP($B328,Seqs!$A:$B,2,0),E328,1),"")</f>
        <v>E</v>
      </c>
      <c r="E328" s="3">
        <v>33</v>
      </c>
      <c r="F328" s="3" t="str">
        <f>IFERROR(MID(VLOOKUP($B328,Seqs!$A:$B,2,0),G328,1),"")</f>
        <v>Q</v>
      </c>
      <c r="G328" s="3">
        <v>64</v>
      </c>
      <c r="H328" s="3" t="str">
        <f>IFERROR(MID(VLOOKUP($B328,Seqs!$A:$B,2,0),I328,1),"")</f>
        <v>K</v>
      </c>
      <c r="I328" s="23">
        <v>66</v>
      </c>
      <c r="J328" s="3" t="str">
        <f>IFERROR(MID(VLOOKUP($B328,Seqs!$A:$B,2,0),K328,1),"")</f>
        <v>R</v>
      </c>
      <c r="K328" s="23">
        <v>69</v>
      </c>
      <c r="L328" s="3" t="str">
        <f>IFERROR(MID(VLOOKUP($B328,Seqs!$A:$B,2,0),M328,1),"")</f>
        <v>N</v>
      </c>
      <c r="M328" s="3">
        <v>73</v>
      </c>
      <c r="N328" s="3" t="str">
        <f>IFERROR(MID(VLOOKUP($B328,Seqs!$A:$B,2,0),O328,1),"")</f>
        <v>G</v>
      </c>
      <c r="O328" s="3">
        <v>101</v>
      </c>
      <c r="P328" s="3" t="str">
        <f>IFERROR(MID(VLOOKUP($B328,Seqs!$A:$B,2,0),Q328,1),"")</f>
        <v>Y</v>
      </c>
      <c r="Q328" s="3">
        <v>102</v>
      </c>
      <c r="R328" s="3" t="str">
        <f>IFERROR(MID(VLOOKUP($B328,Seqs!$A:$B,2,0),S328,1),"")</f>
        <v>F</v>
      </c>
      <c r="S328" s="3">
        <v>105</v>
      </c>
      <c r="T328" s="3" t="str">
        <f>IFERROR(MID(VLOOKUP($B328,Seqs!$A:$B,2,0),U328,1),"")</f>
        <v>G</v>
      </c>
      <c r="U328" s="3">
        <v>106</v>
      </c>
      <c r="V328" s="3" t="str">
        <f>IFERROR(MID(VLOOKUP($B328,Seqs!$A:$B,2,0),W328,1),"")</f>
        <v>K</v>
      </c>
      <c r="W328" s="3">
        <v>141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G</v>
      </c>
      <c r="AC328" s="3">
        <v>149</v>
      </c>
      <c r="AD328" s="3" t="str">
        <f>IFERROR(MID(VLOOKUP($B328,Seqs!$A:$B,2,0),AE328,1),"")</f>
        <v>V</v>
      </c>
      <c r="AE328" s="3">
        <v>173</v>
      </c>
      <c r="AF328" s="3" t="str">
        <f>IFERROR(MID(VLOOKUP($B328,Seqs!$A:$B,2,0),AG328,1),"")</f>
        <v>C</v>
      </c>
      <c r="AG328" s="3">
        <v>187</v>
      </c>
      <c r="AH328" s="3" t="str">
        <f>IFERROR(MID(VLOOKUP($B328,Seqs!$A:$B,2,0),AI328,1),"")</f>
        <v>I</v>
      </c>
      <c r="AI328" s="3">
        <v>189</v>
      </c>
      <c r="AJ328" s="3" t="str">
        <f>IFERROR(MID(VLOOKUP($B328,Seqs!$A:$B,2,0),AK328,1),"")</f>
        <v>N</v>
      </c>
      <c r="AK328" s="3">
        <v>199</v>
      </c>
      <c r="AL328" s="3" t="str">
        <f>IFERROR(MID(VLOOKUP($B328,Seqs!$A:$B,2,0),AM328,1),"")</f>
        <v>Q</v>
      </c>
      <c r="AM328" s="3">
        <v>236</v>
      </c>
      <c r="AN328" s="3" t="str">
        <f>IFERROR(MID(VLOOKUP($B328,Seqs!$A:$B,2,0),AO328,1),"")</f>
        <v>S</v>
      </c>
      <c r="AO328" s="3">
        <v>240</v>
      </c>
      <c r="AP328" s="3" t="str">
        <f>IFERROR(MID(VLOOKUP($B328,Seqs!$A:$B,2,0),AQ328,1),"")</f>
        <v>H</v>
      </c>
      <c r="AQ328" s="3">
        <v>278</v>
      </c>
      <c r="AR328" s="3" t="str">
        <f>IFERROR(MID(VLOOKUP($B328,Seqs!$A:$B,2,0),AS328,1),"")</f>
        <v>T</v>
      </c>
      <c r="AS328" s="3">
        <v>289</v>
      </c>
      <c r="AT328" s="3" t="str">
        <f>IFERROR(MID(VLOOKUP($B328,Seqs!$A:$B,2,0),AU328,1),"")</f>
        <v>M</v>
      </c>
      <c r="AU328" s="3">
        <v>309</v>
      </c>
      <c r="AV328" s="3" t="str">
        <f>IFERROR(MID(VLOOKUP($B328,Seqs!$A:$B,2,0),AW328,1),"")</f>
        <v>N</v>
      </c>
      <c r="AW328" s="3">
        <v>310</v>
      </c>
      <c r="AX328" s="3" t="str">
        <f>IFERROR(MID(VLOOKUP($B328,Seqs!$A:$B,2,0),AY328,1),"")</f>
        <v>C</v>
      </c>
      <c r="AY328" s="3">
        <v>322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2824"/>
        <v>1</v>
      </c>
      <c r="BC328" s="23">
        <f t="shared" si="2825"/>
        <v>245</v>
      </c>
      <c r="BD328" s="2" t="s">
        <v>23</v>
      </c>
      <c r="BE328" s="3" t="s">
        <v>1287</v>
      </c>
      <c r="BF328" s="118">
        <v>2.62</v>
      </c>
      <c r="BG328" s="49" t="s">
        <v>1</v>
      </c>
      <c r="BH328" s="49" t="s">
        <v>1</v>
      </c>
      <c r="BI328" s="1"/>
      <c r="BJ328" s="70" t="s">
        <v>1283</v>
      </c>
      <c r="BK328" s="57" t="s">
        <v>1283</v>
      </c>
      <c r="BL328" s="57" t="s">
        <v>1283</v>
      </c>
      <c r="BM328" s="57" t="s">
        <v>1283</v>
      </c>
      <c r="BN328" s="57" t="s">
        <v>1283</v>
      </c>
      <c r="BO328" s="57" t="s">
        <v>1283</v>
      </c>
      <c r="BP328" s="57" t="s">
        <v>1283</v>
      </c>
      <c r="BQ328" s="57" t="s">
        <v>1283</v>
      </c>
      <c r="BR328" s="57" t="s">
        <v>1283</v>
      </c>
      <c r="BS328" s="57" t="s">
        <v>1283</v>
      </c>
      <c r="BT328" s="57" t="s">
        <v>1283</v>
      </c>
      <c r="BU328" s="57" t="s">
        <v>1283</v>
      </c>
      <c r="BV328" s="70">
        <f t="shared" si="2826"/>
        <v>33</v>
      </c>
      <c r="BW328" s="71">
        <f t="shared" si="2827"/>
        <v>66</v>
      </c>
      <c r="BX328" s="72">
        <f t="shared" si="2828"/>
        <v>73</v>
      </c>
      <c r="BY328" s="71">
        <f t="shared" si="2829"/>
        <v>102</v>
      </c>
      <c r="BZ328" s="72">
        <f t="shared" si="2830"/>
        <v>106</v>
      </c>
      <c r="CA328" s="71" t="str">
        <f t="shared" si="2831"/>
        <v>-</v>
      </c>
      <c r="CB328" s="72">
        <f t="shared" si="2832"/>
        <v>149</v>
      </c>
      <c r="CC328" s="71">
        <f t="shared" si="2833"/>
        <v>187</v>
      </c>
      <c r="CD328" s="72">
        <f t="shared" si="2834"/>
        <v>199</v>
      </c>
      <c r="CE328" s="71">
        <f t="shared" si="2835"/>
        <v>240</v>
      </c>
      <c r="CF328" s="72">
        <f t="shared" si="2836"/>
        <v>289</v>
      </c>
      <c r="CG328" s="71">
        <f t="shared" si="2837"/>
        <v>310</v>
      </c>
      <c r="CH328" s="70">
        <f t="shared" si="2838"/>
        <v>64</v>
      </c>
      <c r="CI328" s="71">
        <f t="shared" si="2839"/>
        <v>69</v>
      </c>
      <c r="CJ328" s="72">
        <f t="shared" si="2840"/>
        <v>101</v>
      </c>
      <c r="CK328" s="72">
        <f t="shared" si="2841"/>
        <v>105</v>
      </c>
      <c r="CL328" s="72">
        <f t="shared" si="2842"/>
        <v>141</v>
      </c>
      <c r="CM328" s="72" t="str">
        <f t="shared" si="2843"/>
        <v>-</v>
      </c>
      <c r="CN328" s="72">
        <f t="shared" si="2844"/>
        <v>173</v>
      </c>
      <c r="CO328" s="72">
        <f t="shared" si="2845"/>
        <v>189</v>
      </c>
      <c r="CP328" s="72">
        <f t="shared" si="2846"/>
        <v>236</v>
      </c>
      <c r="CQ328" s="72">
        <f t="shared" si="2847"/>
        <v>278</v>
      </c>
      <c r="CR328" s="72">
        <f t="shared" si="2848"/>
        <v>309</v>
      </c>
      <c r="CS328" s="72">
        <f t="shared" si="2849"/>
        <v>322</v>
      </c>
      <c r="CT328" s="23">
        <f t="shared" si="2850"/>
        <v>4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29" x14ac:dyDescent="0.2">
      <c r="A329" s="3" t="str">
        <f t="shared" si="2823"/>
        <v>opsd_bovin_6FK8</v>
      </c>
      <c r="B329" s="3" t="s">
        <v>915</v>
      </c>
      <c r="C329" s="3" t="s">
        <v>1479</v>
      </c>
      <c r="D329" s="3" t="str">
        <f>IFERROR(MID(VLOOKUP($B329,Seqs!$A:$B,2,0),E329,1),"")</f>
        <v>E</v>
      </c>
      <c r="E329" s="3">
        <v>33</v>
      </c>
      <c r="F329" s="3" t="str">
        <f>IFERROR(MID(VLOOKUP($B329,Seqs!$A:$B,2,0),G329,1),"")</f>
        <v>Q</v>
      </c>
      <c r="G329" s="3">
        <v>64</v>
      </c>
      <c r="H329" s="3" t="str">
        <f>IFERROR(MID(VLOOKUP($B329,Seqs!$A:$B,2,0),I329,1),"")</f>
        <v>K</v>
      </c>
      <c r="I329" s="23">
        <v>66</v>
      </c>
      <c r="J329" s="3" t="str">
        <f>IFERROR(MID(VLOOKUP($B329,Seqs!$A:$B,2,0),K329,1),"")</f>
        <v>R</v>
      </c>
      <c r="K329" s="23">
        <v>69</v>
      </c>
      <c r="L329" s="3" t="str">
        <f>IFERROR(MID(VLOOKUP($B329,Seqs!$A:$B,2,0),M329,1),"")</f>
        <v>N</v>
      </c>
      <c r="M329" s="3">
        <v>73</v>
      </c>
      <c r="N329" s="3" t="str">
        <f>IFERROR(MID(VLOOKUP($B329,Seqs!$A:$B,2,0),O329,1),"")</f>
        <v>G</v>
      </c>
      <c r="O329" s="3">
        <v>101</v>
      </c>
      <c r="P329" s="3" t="str">
        <f>IFERROR(MID(VLOOKUP($B329,Seqs!$A:$B,2,0),Q329,1),"")</f>
        <v>Y</v>
      </c>
      <c r="Q329" s="3">
        <v>102</v>
      </c>
      <c r="R329" s="3" t="str">
        <f>IFERROR(MID(VLOOKUP($B329,Seqs!$A:$B,2,0),S329,1),"")</f>
        <v>F</v>
      </c>
      <c r="S329" s="3">
        <v>105</v>
      </c>
      <c r="T329" s="3" t="str">
        <f>IFERROR(MID(VLOOKUP($B329,Seqs!$A:$B,2,0),U329,1),"")</f>
        <v>G</v>
      </c>
      <c r="U329" s="3">
        <v>106</v>
      </c>
      <c r="V329" s="3" t="str">
        <f>IFERROR(MID(VLOOKUP($B329,Seqs!$A:$B,2,0),W329,1),"")</f>
        <v>K</v>
      </c>
      <c r="W329" s="3">
        <v>141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G</v>
      </c>
      <c r="AC329" s="3">
        <v>149</v>
      </c>
      <c r="AD329" s="3" t="str">
        <f>IFERROR(MID(VLOOKUP($B329,Seqs!$A:$B,2,0),AE329,1),"")</f>
        <v>V</v>
      </c>
      <c r="AE329" s="3">
        <v>173</v>
      </c>
      <c r="AF329" s="3" t="str">
        <f>IFERROR(MID(VLOOKUP($B329,Seqs!$A:$B,2,0),AG329,1),"")</f>
        <v>C</v>
      </c>
      <c r="AG329" s="3">
        <v>187</v>
      </c>
      <c r="AH329" s="3" t="str">
        <f>IFERROR(MID(VLOOKUP($B329,Seqs!$A:$B,2,0),AI329,1),"")</f>
        <v>I</v>
      </c>
      <c r="AI329" s="3">
        <v>189</v>
      </c>
      <c r="AJ329" s="3" t="str">
        <f>IFERROR(MID(VLOOKUP($B329,Seqs!$A:$B,2,0),AK329,1),"")</f>
        <v>N</v>
      </c>
      <c r="AK329" s="3">
        <v>199</v>
      </c>
      <c r="AL329" s="3" t="str">
        <f>IFERROR(MID(VLOOKUP($B329,Seqs!$A:$B,2,0),AM329,1),"")</f>
        <v>Q</v>
      </c>
      <c r="AM329" s="3">
        <v>236</v>
      </c>
      <c r="AN329" s="3" t="str">
        <f>IFERROR(MID(VLOOKUP($B329,Seqs!$A:$B,2,0),AO329,1),"")</f>
        <v>S</v>
      </c>
      <c r="AO329" s="3">
        <v>240</v>
      </c>
      <c r="AP329" s="3" t="str">
        <f>IFERROR(MID(VLOOKUP($B329,Seqs!$A:$B,2,0),AQ329,1),"")</f>
        <v>H</v>
      </c>
      <c r="AQ329" s="3">
        <v>278</v>
      </c>
      <c r="AR329" s="3" t="str">
        <f>IFERROR(MID(VLOOKUP($B329,Seqs!$A:$B,2,0),AS329,1),"")</f>
        <v>T</v>
      </c>
      <c r="AS329" s="3">
        <v>289</v>
      </c>
      <c r="AT329" s="3" t="str">
        <f>IFERROR(MID(VLOOKUP($B329,Seqs!$A:$B,2,0),AU329,1),"")</f>
        <v>M</v>
      </c>
      <c r="AU329" s="3">
        <v>309</v>
      </c>
      <c r="AV329" s="3" t="str">
        <f>IFERROR(MID(VLOOKUP($B329,Seqs!$A:$B,2,0),AW329,1),"")</f>
        <v>N</v>
      </c>
      <c r="AW329" s="3">
        <v>310</v>
      </c>
      <c r="AX329" s="3" t="str">
        <f>IFERROR(MID(VLOOKUP($B329,Seqs!$A:$B,2,0),AY329,1),"")</f>
        <v>C</v>
      </c>
      <c r="AY329" s="3">
        <v>322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si="2824"/>
        <v>1</v>
      </c>
      <c r="BC329" s="23">
        <f t="shared" si="2825"/>
        <v>245</v>
      </c>
      <c r="BD329" s="2" t="s">
        <v>23</v>
      </c>
      <c r="BE329" s="3" t="s">
        <v>1287</v>
      </c>
      <c r="BF329" s="118">
        <v>2.87</v>
      </c>
      <c r="BG329" s="49" t="s">
        <v>1</v>
      </c>
      <c r="BH329" s="49" t="s">
        <v>1</v>
      </c>
      <c r="BI329" s="1"/>
      <c r="BJ329" s="70" t="s">
        <v>1283</v>
      </c>
      <c r="BK329" s="57" t="s">
        <v>1283</v>
      </c>
      <c r="BL329" s="57" t="s">
        <v>1283</v>
      </c>
      <c r="BM329" s="57" t="s">
        <v>1283</v>
      </c>
      <c r="BN329" s="57" t="s">
        <v>1283</v>
      </c>
      <c r="BO329" s="57" t="s">
        <v>1283</v>
      </c>
      <c r="BP329" s="57" t="s">
        <v>1283</v>
      </c>
      <c r="BQ329" s="57" t="s">
        <v>1283</v>
      </c>
      <c r="BR329" s="57" t="s">
        <v>1283</v>
      </c>
      <c r="BS329" s="57" t="s">
        <v>1283</v>
      </c>
      <c r="BT329" s="57" t="s">
        <v>1283</v>
      </c>
      <c r="BU329" s="57" t="s">
        <v>1283</v>
      </c>
      <c r="BV329" s="70">
        <f t="shared" si="2826"/>
        <v>33</v>
      </c>
      <c r="BW329" s="71">
        <f t="shared" si="2827"/>
        <v>66</v>
      </c>
      <c r="BX329" s="72">
        <f t="shared" si="2828"/>
        <v>73</v>
      </c>
      <c r="BY329" s="71">
        <f t="shared" si="2829"/>
        <v>102</v>
      </c>
      <c r="BZ329" s="72">
        <f t="shared" si="2830"/>
        <v>106</v>
      </c>
      <c r="CA329" s="71" t="str">
        <f t="shared" si="2831"/>
        <v>-</v>
      </c>
      <c r="CB329" s="72">
        <f t="shared" si="2832"/>
        <v>149</v>
      </c>
      <c r="CC329" s="71">
        <f t="shared" si="2833"/>
        <v>187</v>
      </c>
      <c r="CD329" s="72">
        <f t="shared" si="2834"/>
        <v>199</v>
      </c>
      <c r="CE329" s="71">
        <f t="shared" si="2835"/>
        <v>240</v>
      </c>
      <c r="CF329" s="72">
        <f t="shared" si="2836"/>
        <v>289</v>
      </c>
      <c r="CG329" s="71">
        <f t="shared" si="2837"/>
        <v>310</v>
      </c>
      <c r="CH329" s="70">
        <f t="shared" si="2838"/>
        <v>64</v>
      </c>
      <c r="CI329" s="71">
        <f t="shared" si="2839"/>
        <v>69</v>
      </c>
      <c r="CJ329" s="72">
        <f t="shared" si="2840"/>
        <v>101</v>
      </c>
      <c r="CK329" s="72">
        <f t="shared" si="2841"/>
        <v>105</v>
      </c>
      <c r="CL329" s="72">
        <f t="shared" si="2842"/>
        <v>141</v>
      </c>
      <c r="CM329" s="72" t="str">
        <f t="shared" si="2843"/>
        <v>-</v>
      </c>
      <c r="CN329" s="72">
        <f t="shared" si="2844"/>
        <v>173</v>
      </c>
      <c r="CO329" s="72">
        <f t="shared" si="2845"/>
        <v>189</v>
      </c>
      <c r="CP329" s="72">
        <f t="shared" si="2846"/>
        <v>236</v>
      </c>
      <c r="CQ329" s="72">
        <f t="shared" si="2847"/>
        <v>278</v>
      </c>
      <c r="CR329" s="72">
        <f t="shared" si="2848"/>
        <v>309</v>
      </c>
      <c r="CS329" s="72">
        <f t="shared" si="2849"/>
        <v>322</v>
      </c>
      <c r="CT329" s="23">
        <f t="shared" si="2850"/>
        <v>4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29" x14ac:dyDescent="0.2">
      <c r="A330" s="3" t="str">
        <f t="shared" si="2823"/>
        <v>opsd_bovin_6FK9</v>
      </c>
      <c r="B330" s="3" t="s">
        <v>915</v>
      </c>
      <c r="C330" s="3" t="s">
        <v>1480</v>
      </c>
      <c r="D330" s="3" t="str">
        <f>IFERROR(MID(VLOOKUP($B330,Seqs!$A:$B,2,0),E330,1),"")</f>
        <v>E</v>
      </c>
      <c r="E330" s="3">
        <v>33</v>
      </c>
      <c r="F330" s="3" t="str">
        <f>IFERROR(MID(VLOOKUP($B330,Seqs!$A:$B,2,0),G330,1),"")</f>
        <v>Q</v>
      </c>
      <c r="G330" s="3">
        <v>64</v>
      </c>
      <c r="H330" s="3" t="str">
        <f>IFERROR(MID(VLOOKUP($B330,Seqs!$A:$B,2,0),I330,1),"")</f>
        <v>K</v>
      </c>
      <c r="I330" s="23">
        <v>66</v>
      </c>
      <c r="J330" s="3" t="str">
        <f>IFERROR(MID(VLOOKUP($B330,Seqs!$A:$B,2,0),K330,1),"")</f>
        <v>R</v>
      </c>
      <c r="K330" s="23">
        <v>69</v>
      </c>
      <c r="L330" s="3" t="str">
        <f>IFERROR(MID(VLOOKUP($B330,Seqs!$A:$B,2,0),M330,1),"")</f>
        <v>N</v>
      </c>
      <c r="M330" s="3">
        <v>73</v>
      </c>
      <c r="N330" s="3" t="str">
        <f>IFERROR(MID(VLOOKUP($B330,Seqs!$A:$B,2,0),O330,1),"")</f>
        <v>G</v>
      </c>
      <c r="O330" s="3">
        <v>101</v>
      </c>
      <c r="P330" s="3" t="str">
        <f>IFERROR(MID(VLOOKUP($B330,Seqs!$A:$B,2,0),Q330,1),"")</f>
        <v>Y</v>
      </c>
      <c r="Q330" s="3">
        <v>102</v>
      </c>
      <c r="R330" s="3" t="str">
        <f>IFERROR(MID(VLOOKUP($B330,Seqs!$A:$B,2,0),S330,1),"")</f>
        <v>F</v>
      </c>
      <c r="S330" s="3">
        <v>105</v>
      </c>
      <c r="T330" s="3" t="str">
        <f>IFERROR(MID(VLOOKUP($B330,Seqs!$A:$B,2,0),U330,1),"")</f>
        <v>G</v>
      </c>
      <c r="U330" s="3">
        <v>106</v>
      </c>
      <c r="V330" s="3" t="str">
        <f>IFERROR(MID(VLOOKUP($B330,Seqs!$A:$B,2,0),W330,1),"")</f>
        <v>K</v>
      </c>
      <c r="W330" s="3">
        <v>141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G</v>
      </c>
      <c r="AC330" s="3">
        <v>149</v>
      </c>
      <c r="AD330" s="3" t="str">
        <f>IFERROR(MID(VLOOKUP($B330,Seqs!$A:$B,2,0),AE330,1),"")</f>
        <v>V</v>
      </c>
      <c r="AE330" s="3">
        <v>173</v>
      </c>
      <c r="AF330" s="3" t="str">
        <f>IFERROR(MID(VLOOKUP($B330,Seqs!$A:$B,2,0),AG330,1),"")</f>
        <v>C</v>
      </c>
      <c r="AG330" s="3">
        <v>187</v>
      </c>
      <c r="AH330" s="3" t="str">
        <f>IFERROR(MID(VLOOKUP($B330,Seqs!$A:$B,2,0),AI330,1),"")</f>
        <v>I</v>
      </c>
      <c r="AI330" s="3">
        <v>189</v>
      </c>
      <c r="AJ330" s="3" t="str">
        <f>IFERROR(MID(VLOOKUP($B330,Seqs!$A:$B,2,0),AK330,1),"")</f>
        <v>N</v>
      </c>
      <c r="AK330" s="3">
        <v>199</v>
      </c>
      <c r="AL330" s="3" t="str">
        <f>IFERROR(MID(VLOOKUP($B330,Seqs!$A:$B,2,0),AM330,1),"")</f>
        <v>Q</v>
      </c>
      <c r="AM330" s="3">
        <v>236</v>
      </c>
      <c r="AN330" s="3" t="str">
        <f>IFERROR(MID(VLOOKUP($B330,Seqs!$A:$B,2,0),AO330,1),"")</f>
        <v>S</v>
      </c>
      <c r="AO330" s="3">
        <v>240</v>
      </c>
      <c r="AP330" s="3" t="str">
        <f>IFERROR(MID(VLOOKUP($B330,Seqs!$A:$B,2,0),AQ330,1),"")</f>
        <v>H</v>
      </c>
      <c r="AQ330" s="3">
        <v>278</v>
      </c>
      <c r="AR330" s="3" t="str">
        <f>IFERROR(MID(VLOOKUP($B330,Seqs!$A:$B,2,0),AS330,1),"")</f>
        <v>G</v>
      </c>
      <c r="AS330" s="3">
        <v>284</v>
      </c>
      <c r="AT330" s="3" t="str">
        <f>IFERROR(MID(VLOOKUP($B330,Seqs!$A:$B,2,0),AU330,1),"")</f>
        <v>M</v>
      </c>
      <c r="AU330" s="3">
        <v>309</v>
      </c>
      <c r="AV330" s="3" t="str">
        <f>IFERROR(MID(VLOOKUP($B330,Seqs!$A:$B,2,0),AW330,1),"")</f>
        <v>N</v>
      </c>
      <c r="AW330" s="3">
        <v>310</v>
      </c>
      <c r="AX330" s="3" t="str">
        <f>IFERROR(MID(VLOOKUP($B330,Seqs!$A:$B,2,0),AY330,1),"")</f>
        <v>C</v>
      </c>
      <c r="AY330" s="3">
        <v>322</v>
      </c>
      <c r="AZ330" s="77" t="str">
        <f>VLOOKUP(B330,Classification!A:D,2,0)</f>
        <v>A</v>
      </c>
      <c r="BA330" s="94" t="str">
        <f>VLOOKUP(B330,Classification!A:D,4,0)</f>
        <v>Opsins</v>
      </c>
      <c r="BB330" s="27" t="b">
        <f t="shared" si="2824"/>
        <v>1</v>
      </c>
      <c r="BC330" s="23">
        <f t="shared" si="2825"/>
        <v>250</v>
      </c>
      <c r="BD330" s="2" t="s">
        <v>23</v>
      </c>
      <c r="BE330" s="3" t="s">
        <v>1287</v>
      </c>
      <c r="BF330" s="118">
        <v>2.63</v>
      </c>
      <c r="BG330" s="49" t="s">
        <v>1</v>
      </c>
      <c r="BH330" s="49" t="s">
        <v>1</v>
      </c>
      <c r="BI330" s="1"/>
      <c r="BJ330" s="70" t="s">
        <v>1283</v>
      </c>
      <c r="BK330" s="57" t="s">
        <v>1283</v>
      </c>
      <c r="BL330" s="57" t="s">
        <v>1283</v>
      </c>
      <c r="BM330" s="57" t="s">
        <v>1283</v>
      </c>
      <c r="BN330" s="57" t="s">
        <v>1283</v>
      </c>
      <c r="BO330" s="57" t="s">
        <v>1283</v>
      </c>
      <c r="BP330" s="57" t="s">
        <v>1283</v>
      </c>
      <c r="BQ330" s="57" t="s">
        <v>1283</v>
      </c>
      <c r="BR330" s="57" t="s">
        <v>1283</v>
      </c>
      <c r="BS330" s="57" t="s">
        <v>1283</v>
      </c>
      <c r="BT330" s="57" t="s">
        <v>1283</v>
      </c>
      <c r="BU330" s="57" t="s">
        <v>1283</v>
      </c>
      <c r="BV330" s="70">
        <f t="shared" si="2826"/>
        <v>33</v>
      </c>
      <c r="BW330" s="71">
        <f t="shared" si="2827"/>
        <v>66</v>
      </c>
      <c r="BX330" s="72">
        <f t="shared" si="2828"/>
        <v>73</v>
      </c>
      <c r="BY330" s="71">
        <f t="shared" si="2829"/>
        <v>102</v>
      </c>
      <c r="BZ330" s="72">
        <f t="shared" si="2830"/>
        <v>106</v>
      </c>
      <c r="CA330" s="71" t="str">
        <f t="shared" si="2831"/>
        <v>-</v>
      </c>
      <c r="CB330" s="72">
        <f t="shared" si="2832"/>
        <v>149</v>
      </c>
      <c r="CC330" s="71">
        <f t="shared" si="2833"/>
        <v>187</v>
      </c>
      <c r="CD330" s="72">
        <f t="shared" si="2834"/>
        <v>199</v>
      </c>
      <c r="CE330" s="71">
        <f t="shared" si="2835"/>
        <v>240</v>
      </c>
      <c r="CF330" s="72">
        <f t="shared" si="2836"/>
        <v>284</v>
      </c>
      <c r="CG330" s="71">
        <f t="shared" si="2837"/>
        <v>310</v>
      </c>
      <c r="CH330" s="70">
        <f t="shared" si="2838"/>
        <v>64</v>
      </c>
      <c r="CI330" s="71">
        <f t="shared" si="2839"/>
        <v>69</v>
      </c>
      <c r="CJ330" s="72">
        <f t="shared" si="2840"/>
        <v>101</v>
      </c>
      <c r="CK330" s="72">
        <f t="shared" si="2841"/>
        <v>105</v>
      </c>
      <c r="CL330" s="72">
        <f t="shared" si="2842"/>
        <v>141</v>
      </c>
      <c r="CM330" s="72" t="str">
        <f t="shared" si="2843"/>
        <v>-</v>
      </c>
      <c r="CN330" s="72">
        <f t="shared" si="2844"/>
        <v>173</v>
      </c>
      <c r="CO330" s="72">
        <f t="shared" si="2845"/>
        <v>189</v>
      </c>
      <c r="CP330" s="72">
        <f t="shared" si="2846"/>
        <v>236</v>
      </c>
      <c r="CQ330" s="72">
        <f t="shared" si="2847"/>
        <v>278</v>
      </c>
      <c r="CR330" s="72">
        <f t="shared" si="2848"/>
        <v>309</v>
      </c>
      <c r="CS330" s="72">
        <f t="shared" si="2849"/>
        <v>322</v>
      </c>
      <c r="CT330" s="23">
        <f t="shared" si="2850"/>
        <v>4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29" x14ac:dyDescent="0.2">
      <c r="A331" s="3" t="str">
        <f t="shared" si="2823"/>
        <v>opsd_bovin_6FKA</v>
      </c>
      <c r="B331" s="3" t="s">
        <v>915</v>
      </c>
      <c r="C331" s="3" t="s">
        <v>1481</v>
      </c>
      <c r="D331" s="3" t="str">
        <f>IFERROR(MID(VLOOKUP($B331,Seqs!$A:$B,2,0),E331,1),"")</f>
        <v>E</v>
      </c>
      <c r="E331" s="3">
        <v>33</v>
      </c>
      <c r="F331" s="3" t="str">
        <f>IFERROR(MID(VLOOKUP($B331,Seqs!$A:$B,2,0),G331,1),"")</f>
        <v>Q</v>
      </c>
      <c r="G331" s="3">
        <v>64</v>
      </c>
      <c r="H331" s="3" t="str">
        <f>IFERROR(MID(VLOOKUP($B331,Seqs!$A:$B,2,0),I331,1),"")</f>
        <v>K</v>
      </c>
      <c r="I331" s="23">
        <v>66</v>
      </c>
      <c r="J331" s="3" t="str">
        <f>IFERROR(MID(VLOOKUP($B331,Seqs!$A:$B,2,0),K331,1),"")</f>
        <v>R</v>
      </c>
      <c r="K331" s="23">
        <v>69</v>
      </c>
      <c r="L331" s="3" t="str">
        <f>IFERROR(MID(VLOOKUP($B331,Seqs!$A:$B,2,0),M331,1),"")</f>
        <v>N</v>
      </c>
      <c r="M331" s="3">
        <v>73</v>
      </c>
      <c r="N331" s="3" t="str">
        <f>IFERROR(MID(VLOOKUP($B331,Seqs!$A:$B,2,0),O331,1),"")</f>
        <v>G</v>
      </c>
      <c r="O331" s="3">
        <v>101</v>
      </c>
      <c r="P331" s="3" t="str">
        <f>IFERROR(MID(VLOOKUP($B331,Seqs!$A:$B,2,0),Q331,1),"")</f>
        <v>Y</v>
      </c>
      <c r="Q331" s="3">
        <v>102</v>
      </c>
      <c r="R331" s="3" t="str">
        <f>IFERROR(MID(VLOOKUP($B331,Seqs!$A:$B,2,0),S331,1),"")</f>
        <v>F</v>
      </c>
      <c r="S331" s="3">
        <v>105</v>
      </c>
      <c r="T331" s="3" t="str">
        <f>IFERROR(MID(VLOOKUP($B331,Seqs!$A:$B,2,0),U331,1),"")</f>
        <v>G</v>
      </c>
      <c r="U331" s="3">
        <v>106</v>
      </c>
      <c r="V331" s="3" t="str">
        <f>IFERROR(MID(VLOOKUP($B331,Seqs!$A:$B,2,0),W331,1),"")</f>
        <v>K</v>
      </c>
      <c r="W331" s="3">
        <v>141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G</v>
      </c>
      <c r="AC331" s="3">
        <v>149</v>
      </c>
      <c r="AD331" s="3" t="str">
        <f>IFERROR(MID(VLOOKUP($B331,Seqs!$A:$B,2,0),AE331,1),"")</f>
        <v>V</v>
      </c>
      <c r="AE331" s="3">
        <v>173</v>
      </c>
      <c r="AF331" s="3" t="str">
        <f>IFERROR(MID(VLOOKUP($B331,Seqs!$A:$B,2,0),AG331,1),"")</f>
        <v>C</v>
      </c>
      <c r="AG331" s="3">
        <v>187</v>
      </c>
      <c r="AH331" s="3" t="str">
        <f>IFERROR(MID(VLOOKUP($B331,Seqs!$A:$B,2,0),AI331,1),"")</f>
        <v>I</v>
      </c>
      <c r="AI331" s="3">
        <v>189</v>
      </c>
      <c r="AJ331" s="3" t="str">
        <f>IFERROR(MID(VLOOKUP($B331,Seqs!$A:$B,2,0),AK331,1),"")</f>
        <v>N</v>
      </c>
      <c r="AK331" s="3">
        <v>199</v>
      </c>
      <c r="AL331" s="3" t="str">
        <f>IFERROR(MID(VLOOKUP($B331,Seqs!$A:$B,2,0),AM331,1),"")</f>
        <v>Q</v>
      </c>
      <c r="AM331" s="3">
        <v>236</v>
      </c>
      <c r="AN331" s="3" t="str">
        <f>IFERROR(MID(VLOOKUP($B331,Seqs!$A:$B,2,0),AO331,1),"")</f>
        <v>S</v>
      </c>
      <c r="AO331" s="3">
        <v>240</v>
      </c>
      <c r="AP331" s="3" t="str">
        <f>IFERROR(MID(VLOOKUP($B331,Seqs!$A:$B,2,0),AQ331,1),"")</f>
        <v>H</v>
      </c>
      <c r="AQ331" s="3">
        <v>278</v>
      </c>
      <c r="AR331" s="3" t="str">
        <f>IFERROR(MID(VLOOKUP($B331,Seqs!$A:$B,2,0),AS331,1),"")</f>
        <v>G</v>
      </c>
      <c r="AS331" s="3">
        <v>284</v>
      </c>
      <c r="AT331" s="3" t="str">
        <f>IFERROR(MID(VLOOKUP($B331,Seqs!$A:$B,2,0),AU331,1),"")</f>
        <v>M</v>
      </c>
      <c r="AU331" s="3">
        <v>309</v>
      </c>
      <c r="AV331" s="3" t="str">
        <f>IFERROR(MID(VLOOKUP($B331,Seqs!$A:$B,2,0),AW331,1),"")</f>
        <v>N</v>
      </c>
      <c r="AW331" s="3">
        <v>310</v>
      </c>
      <c r="AX331" s="3" t="str">
        <f>IFERROR(MID(VLOOKUP($B331,Seqs!$A:$B,2,0),AY331,1),"")</f>
        <v>C</v>
      </c>
      <c r="AY331" s="3">
        <v>322</v>
      </c>
      <c r="AZ331" s="77" t="str">
        <f>VLOOKUP(B331,Classification!A:D,2,0)</f>
        <v>A</v>
      </c>
      <c r="BA331" s="94" t="str">
        <f>VLOOKUP(B331,Classification!A:D,4,0)</f>
        <v>Opsins</v>
      </c>
      <c r="BB331" s="27" t="b">
        <f t="shared" si="2824"/>
        <v>1</v>
      </c>
      <c r="BC331" s="23">
        <f t="shared" si="2825"/>
        <v>250</v>
      </c>
      <c r="BD331" s="2" t="s">
        <v>23</v>
      </c>
      <c r="BE331" s="3" t="s">
        <v>1287</v>
      </c>
      <c r="BF331" s="118">
        <v>2.7</v>
      </c>
      <c r="BG331" s="49" t="s">
        <v>1</v>
      </c>
      <c r="BH331" s="49" t="s">
        <v>1</v>
      </c>
      <c r="BI331" s="1"/>
      <c r="BJ331" s="70" t="s">
        <v>1283</v>
      </c>
      <c r="BK331" s="57" t="s">
        <v>1283</v>
      </c>
      <c r="BL331" s="57" t="s">
        <v>1283</v>
      </c>
      <c r="BM331" s="57" t="s">
        <v>1283</v>
      </c>
      <c r="BN331" s="57" t="s">
        <v>1283</v>
      </c>
      <c r="BO331" s="57" t="s">
        <v>1283</v>
      </c>
      <c r="BP331" s="57" t="s">
        <v>1283</v>
      </c>
      <c r="BQ331" s="57" t="s">
        <v>1283</v>
      </c>
      <c r="BR331" s="57" t="s">
        <v>1283</v>
      </c>
      <c r="BS331" s="57" t="s">
        <v>1283</v>
      </c>
      <c r="BT331" s="57" t="s">
        <v>1283</v>
      </c>
      <c r="BU331" s="57" t="s">
        <v>1283</v>
      </c>
      <c r="BV331" s="70">
        <f t="shared" si="2826"/>
        <v>33</v>
      </c>
      <c r="BW331" s="71">
        <f t="shared" si="2827"/>
        <v>66</v>
      </c>
      <c r="BX331" s="72">
        <f t="shared" si="2828"/>
        <v>73</v>
      </c>
      <c r="BY331" s="71">
        <f t="shared" si="2829"/>
        <v>102</v>
      </c>
      <c r="BZ331" s="72">
        <f t="shared" si="2830"/>
        <v>106</v>
      </c>
      <c r="CA331" s="71" t="str">
        <f t="shared" si="2831"/>
        <v>-</v>
      </c>
      <c r="CB331" s="72">
        <f t="shared" si="2832"/>
        <v>149</v>
      </c>
      <c r="CC331" s="71">
        <f t="shared" si="2833"/>
        <v>187</v>
      </c>
      <c r="CD331" s="72">
        <f t="shared" si="2834"/>
        <v>199</v>
      </c>
      <c r="CE331" s="71">
        <f t="shared" si="2835"/>
        <v>240</v>
      </c>
      <c r="CF331" s="72">
        <f t="shared" si="2836"/>
        <v>284</v>
      </c>
      <c r="CG331" s="71">
        <f t="shared" si="2837"/>
        <v>310</v>
      </c>
      <c r="CH331" s="70">
        <f t="shared" si="2838"/>
        <v>64</v>
      </c>
      <c r="CI331" s="71">
        <f t="shared" si="2839"/>
        <v>69</v>
      </c>
      <c r="CJ331" s="72">
        <f t="shared" si="2840"/>
        <v>101</v>
      </c>
      <c r="CK331" s="72">
        <f t="shared" si="2841"/>
        <v>105</v>
      </c>
      <c r="CL331" s="72">
        <f t="shared" si="2842"/>
        <v>141</v>
      </c>
      <c r="CM331" s="72" t="str">
        <f t="shared" si="2843"/>
        <v>-</v>
      </c>
      <c r="CN331" s="72">
        <f t="shared" si="2844"/>
        <v>173</v>
      </c>
      <c r="CO331" s="72">
        <f t="shared" si="2845"/>
        <v>189</v>
      </c>
      <c r="CP331" s="72">
        <f t="shared" si="2846"/>
        <v>236</v>
      </c>
      <c r="CQ331" s="72">
        <f t="shared" si="2847"/>
        <v>278</v>
      </c>
      <c r="CR331" s="72">
        <f t="shared" si="2848"/>
        <v>309</v>
      </c>
      <c r="CS331" s="72">
        <f t="shared" si="2849"/>
        <v>322</v>
      </c>
      <c r="CT331" s="23">
        <f t="shared" si="2850"/>
        <v>4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29" x14ac:dyDescent="0.2">
      <c r="A332" s="3" t="str">
        <f t="shared" si="2823"/>
        <v>opsd_bovin_6FKB</v>
      </c>
      <c r="B332" s="3" t="s">
        <v>915</v>
      </c>
      <c r="C332" s="3" t="s">
        <v>1482</v>
      </c>
      <c r="D332" s="3" t="str">
        <f>IFERROR(MID(VLOOKUP($B332,Seqs!$A:$B,2,0),E332,1),"")</f>
        <v>E</v>
      </c>
      <c r="E332" s="3">
        <v>33</v>
      </c>
      <c r="F332" s="3" t="str">
        <f>IFERROR(MID(VLOOKUP($B332,Seqs!$A:$B,2,0),G332,1),"")</f>
        <v>Q</v>
      </c>
      <c r="G332" s="3">
        <v>64</v>
      </c>
      <c r="H332" s="3" t="str">
        <f>IFERROR(MID(VLOOKUP($B332,Seqs!$A:$B,2,0),I332,1),"")</f>
        <v>K</v>
      </c>
      <c r="I332" s="23">
        <v>66</v>
      </c>
      <c r="J332" s="3" t="str">
        <f>IFERROR(MID(VLOOKUP($B332,Seqs!$A:$B,2,0),K332,1),"")</f>
        <v>R</v>
      </c>
      <c r="K332" s="23">
        <v>69</v>
      </c>
      <c r="L332" s="3" t="str">
        <f>IFERROR(MID(VLOOKUP($B332,Seqs!$A:$B,2,0),M332,1),"")</f>
        <v>N</v>
      </c>
      <c r="M332" s="3">
        <v>73</v>
      </c>
      <c r="N332" s="3" t="str">
        <f>IFERROR(MID(VLOOKUP($B332,Seqs!$A:$B,2,0),O332,1),"")</f>
        <v>G</v>
      </c>
      <c r="O332" s="3">
        <v>101</v>
      </c>
      <c r="P332" s="3" t="str">
        <f>IFERROR(MID(VLOOKUP($B332,Seqs!$A:$B,2,0),Q332,1),"")</f>
        <v>Y</v>
      </c>
      <c r="Q332" s="3">
        <v>102</v>
      </c>
      <c r="R332" s="3" t="str">
        <f>IFERROR(MID(VLOOKUP($B332,Seqs!$A:$B,2,0),S332,1),"")</f>
        <v>F</v>
      </c>
      <c r="S332" s="3">
        <v>105</v>
      </c>
      <c r="T332" s="3" t="str">
        <f>IFERROR(MID(VLOOKUP($B332,Seqs!$A:$B,2,0),U332,1),"")</f>
        <v>G</v>
      </c>
      <c r="U332" s="3">
        <v>106</v>
      </c>
      <c r="V332" s="3" t="str">
        <f>IFERROR(MID(VLOOKUP($B332,Seqs!$A:$B,2,0),W332,1),"")</f>
        <v>K</v>
      </c>
      <c r="W332" s="3">
        <v>141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G</v>
      </c>
      <c r="AC332" s="3">
        <v>149</v>
      </c>
      <c r="AD332" s="3" t="str">
        <f>IFERROR(MID(VLOOKUP($B332,Seqs!$A:$B,2,0),AE332,1),"")</f>
        <v>V</v>
      </c>
      <c r="AE332" s="3">
        <v>173</v>
      </c>
      <c r="AF332" s="3" t="str">
        <f>IFERROR(MID(VLOOKUP($B332,Seqs!$A:$B,2,0),AG332,1),"")</f>
        <v>C</v>
      </c>
      <c r="AG332" s="3">
        <v>187</v>
      </c>
      <c r="AH332" s="3" t="str">
        <f>IFERROR(MID(VLOOKUP($B332,Seqs!$A:$B,2,0),AI332,1),"")</f>
        <v>I</v>
      </c>
      <c r="AI332" s="3">
        <v>189</v>
      </c>
      <c r="AJ332" s="3" t="str">
        <f>IFERROR(MID(VLOOKUP($B332,Seqs!$A:$B,2,0),AK332,1),"")</f>
        <v>N</v>
      </c>
      <c r="AK332" s="3">
        <v>199</v>
      </c>
      <c r="AL332" s="3" t="str">
        <f>IFERROR(MID(VLOOKUP($B332,Seqs!$A:$B,2,0),AM332,1),"")</f>
        <v>Q</v>
      </c>
      <c r="AM332" s="3">
        <v>236</v>
      </c>
      <c r="AN332" s="3" t="str">
        <f>IFERROR(MID(VLOOKUP($B332,Seqs!$A:$B,2,0),AO332,1),"")</f>
        <v>S</v>
      </c>
      <c r="AO332" s="3">
        <v>240</v>
      </c>
      <c r="AP332" s="3" t="str">
        <f>IFERROR(MID(VLOOKUP($B332,Seqs!$A:$B,2,0),AQ332,1),"")</f>
        <v>H</v>
      </c>
      <c r="AQ332" s="3">
        <v>278</v>
      </c>
      <c r="AR332" s="3" t="str">
        <f>IFERROR(MID(VLOOKUP($B332,Seqs!$A:$B,2,0),AS332,1),"")</f>
        <v>G</v>
      </c>
      <c r="AS332" s="3">
        <v>284</v>
      </c>
      <c r="AT332" s="3" t="str">
        <f>IFERROR(MID(VLOOKUP($B332,Seqs!$A:$B,2,0),AU332,1),"")</f>
        <v>M</v>
      </c>
      <c r="AU332" s="3">
        <v>309</v>
      </c>
      <c r="AV332" s="3" t="str">
        <f>IFERROR(MID(VLOOKUP($B332,Seqs!$A:$B,2,0),AW332,1),"")</f>
        <v>N</v>
      </c>
      <c r="AW332" s="3">
        <v>310</v>
      </c>
      <c r="AX332" s="3" t="str">
        <f>IFERROR(MID(VLOOKUP($B332,Seqs!$A:$B,2,0),AY332,1),"")</f>
        <v>C</v>
      </c>
      <c r="AY332" s="3">
        <v>322</v>
      </c>
      <c r="AZ332" s="77" t="str">
        <f>VLOOKUP(B332,Classification!A:D,2,0)</f>
        <v>A</v>
      </c>
      <c r="BA332" s="94" t="str">
        <f>VLOOKUP(B332,Classification!A:D,4,0)</f>
        <v>Opsins</v>
      </c>
      <c r="BB332" s="27" t="b">
        <f t="shared" si="2824"/>
        <v>1</v>
      </c>
      <c r="BC332" s="23">
        <f t="shared" si="2825"/>
        <v>250</v>
      </c>
      <c r="BD332" s="2" t="s">
        <v>23</v>
      </c>
      <c r="BE332" s="3" t="s">
        <v>1287</v>
      </c>
      <c r="BF332" s="118">
        <v>3.03</v>
      </c>
      <c r="BG332" s="49" t="s">
        <v>1</v>
      </c>
      <c r="BH332" s="49" t="s">
        <v>1</v>
      </c>
      <c r="BI332" s="1"/>
      <c r="BJ332" s="70" t="s">
        <v>1283</v>
      </c>
      <c r="BK332" s="57" t="s">
        <v>1283</v>
      </c>
      <c r="BL332" s="57" t="s">
        <v>1283</v>
      </c>
      <c r="BM332" s="57" t="s">
        <v>1283</v>
      </c>
      <c r="BN332" s="57" t="s">
        <v>1283</v>
      </c>
      <c r="BO332" s="57" t="s">
        <v>1283</v>
      </c>
      <c r="BP332" s="57" t="s">
        <v>1283</v>
      </c>
      <c r="BQ332" s="57" t="s">
        <v>1283</v>
      </c>
      <c r="BR332" s="57" t="s">
        <v>1283</v>
      </c>
      <c r="BS332" s="57" t="s">
        <v>1283</v>
      </c>
      <c r="BT332" s="57" t="s">
        <v>1283</v>
      </c>
      <c r="BU332" s="57" t="s">
        <v>1283</v>
      </c>
      <c r="BV332" s="70">
        <f t="shared" si="2826"/>
        <v>33</v>
      </c>
      <c r="BW332" s="71">
        <f t="shared" si="2827"/>
        <v>66</v>
      </c>
      <c r="BX332" s="72">
        <f t="shared" si="2828"/>
        <v>73</v>
      </c>
      <c r="BY332" s="71">
        <f t="shared" si="2829"/>
        <v>102</v>
      </c>
      <c r="BZ332" s="72">
        <f t="shared" si="2830"/>
        <v>106</v>
      </c>
      <c r="CA332" s="71" t="str">
        <f t="shared" si="2831"/>
        <v>-</v>
      </c>
      <c r="CB332" s="72">
        <f t="shared" si="2832"/>
        <v>149</v>
      </c>
      <c r="CC332" s="71">
        <f t="shared" si="2833"/>
        <v>187</v>
      </c>
      <c r="CD332" s="72">
        <f t="shared" si="2834"/>
        <v>199</v>
      </c>
      <c r="CE332" s="71">
        <f t="shared" si="2835"/>
        <v>240</v>
      </c>
      <c r="CF332" s="72">
        <f t="shared" si="2836"/>
        <v>284</v>
      </c>
      <c r="CG332" s="71">
        <f t="shared" si="2837"/>
        <v>310</v>
      </c>
      <c r="CH332" s="70">
        <f t="shared" si="2838"/>
        <v>64</v>
      </c>
      <c r="CI332" s="71">
        <f t="shared" si="2839"/>
        <v>69</v>
      </c>
      <c r="CJ332" s="72">
        <f t="shared" si="2840"/>
        <v>101</v>
      </c>
      <c r="CK332" s="72">
        <f t="shared" si="2841"/>
        <v>105</v>
      </c>
      <c r="CL332" s="72">
        <f t="shared" si="2842"/>
        <v>141</v>
      </c>
      <c r="CM332" s="72" t="str">
        <f t="shared" si="2843"/>
        <v>-</v>
      </c>
      <c r="CN332" s="72">
        <f t="shared" si="2844"/>
        <v>173</v>
      </c>
      <c r="CO332" s="72">
        <f t="shared" si="2845"/>
        <v>189</v>
      </c>
      <c r="CP332" s="72">
        <f t="shared" si="2846"/>
        <v>236</v>
      </c>
      <c r="CQ332" s="72">
        <f t="shared" si="2847"/>
        <v>278</v>
      </c>
      <c r="CR332" s="72">
        <f t="shared" si="2848"/>
        <v>309</v>
      </c>
      <c r="CS332" s="72">
        <f t="shared" si="2849"/>
        <v>322</v>
      </c>
      <c r="CT332" s="23">
        <f t="shared" si="2850"/>
        <v>4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29" x14ac:dyDescent="0.2">
      <c r="A333" s="3" t="str">
        <f t="shared" si="2823"/>
        <v>opsd_bovin_6FKC</v>
      </c>
      <c r="B333" s="3" t="s">
        <v>915</v>
      </c>
      <c r="C333" s="3" t="s">
        <v>1483</v>
      </c>
      <c r="D333" s="3" t="str">
        <f>IFERROR(MID(VLOOKUP($B333,Seqs!$A:$B,2,0),E333,1),"")</f>
        <v>E</v>
      </c>
      <c r="E333" s="3">
        <v>33</v>
      </c>
      <c r="F333" s="3" t="str">
        <f>IFERROR(MID(VLOOKUP($B333,Seqs!$A:$B,2,0),G333,1),"")</f>
        <v>Q</v>
      </c>
      <c r="G333" s="3">
        <v>64</v>
      </c>
      <c r="H333" s="3" t="str">
        <f>IFERROR(MID(VLOOKUP($B333,Seqs!$A:$B,2,0),I333,1),"")</f>
        <v>K</v>
      </c>
      <c r="I333" s="23">
        <v>66</v>
      </c>
      <c r="J333" s="3" t="str">
        <f>IFERROR(MID(VLOOKUP($B333,Seqs!$A:$B,2,0),K333,1),"")</f>
        <v>R</v>
      </c>
      <c r="K333" s="23">
        <v>69</v>
      </c>
      <c r="L333" s="3" t="str">
        <f>IFERROR(MID(VLOOKUP($B333,Seqs!$A:$B,2,0),M333,1),"")</f>
        <v>N</v>
      </c>
      <c r="M333" s="3">
        <v>73</v>
      </c>
      <c r="N333" s="3" t="str">
        <f>IFERROR(MID(VLOOKUP($B333,Seqs!$A:$B,2,0),O333,1),"")</f>
        <v>G</v>
      </c>
      <c r="O333" s="3">
        <v>101</v>
      </c>
      <c r="P333" s="3" t="str">
        <f>IFERROR(MID(VLOOKUP($B333,Seqs!$A:$B,2,0),Q333,1),"")</f>
        <v>Y</v>
      </c>
      <c r="Q333" s="3">
        <v>102</v>
      </c>
      <c r="R333" s="3" t="str">
        <f>IFERROR(MID(VLOOKUP($B333,Seqs!$A:$B,2,0),S333,1),"")</f>
        <v>F</v>
      </c>
      <c r="S333" s="3">
        <v>105</v>
      </c>
      <c r="T333" s="3" t="str">
        <f>IFERROR(MID(VLOOKUP($B333,Seqs!$A:$B,2,0),U333,1),"")</f>
        <v>G</v>
      </c>
      <c r="U333" s="3">
        <v>106</v>
      </c>
      <c r="V333" s="3" t="str">
        <f>IFERROR(MID(VLOOKUP($B333,Seqs!$A:$B,2,0),W333,1),"")</f>
        <v>K</v>
      </c>
      <c r="W333" s="3">
        <v>141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G</v>
      </c>
      <c r="AC333" s="3">
        <v>149</v>
      </c>
      <c r="AD333" s="3" t="str">
        <f>IFERROR(MID(VLOOKUP($B333,Seqs!$A:$B,2,0),AE333,1),"")</f>
        <v>V</v>
      </c>
      <c r="AE333" s="3">
        <v>173</v>
      </c>
      <c r="AF333" s="3" t="str">
        <f>IFERROR(MID(VLOOKUP($B333,Seqs!$A:$B,2,0),AG333,1),"")</f>
        <v>C</v>
      </c>
      <c r="AG333" s="3">
        <v>187</v>
      </c>
      <c r="AH333" s="3" t="str">
        <f>IFERROR(MID(VLOOKUP($B333,Seqs!$A:$B,2,0),AI333,1),"")</f>
        <v>I</v>
      </c>
      <c r="AI333" s="3">
        <v>189</v>
      </c>
      <c r="AJ333" s="3" t="str">
        <f>IFERROR(MID(VLOOKUP($B333,Seqs!$A:$B,2,0),AK333,1),"")</f>
        <v>N</v>
      </c>
      <c r="AK333" s="3">
        <v>199</v>
      </c>
      <c r="AL333" s="3" t="str">
        <f>IFERROR(MID(VLOOKUP($B333,Seqs!$A:$B,2,0),AM333,1),"")</f>
        <v>Q</v>
      </c>
      <c r="AM333" s="3">
        <v>236</v>
      </c>
      <c r="AN333" s="3" t="str">
        <f>IFERROR(MID(VLOOKUP($B333,Seqs!$A:$B,2,0),AO333,1),"")</f>
        <v>S</v>
      </c>
      <c r="AO333" s="3">
        <v>240</v>
      </c>
      <c r="AP333" s="3" t="str">
        <f>IFERROR(MID(VLOOKUP($B333,Seqs!$A:$B,2,0),AQ333,1),"")</f>
        <v>H</v>
      </c>
      <c r="AQ333" s="3">
        <v>278</v>
      </c>
      <c r="AR333" s="3" t="str">
        <f>IFERROR(MID(VLOOKUP($B333,Seqs!$A:$B,2,0),AS333,1),"")</f>
        <v>T</v>
      </c>
      <c r="AS333" s="3">
        <v>289</v>
      </c>
      <c r="AT333" s="3" t="str">
        <f>IFERROR(MID(VLOOKUP($B333,Seqs!$A:$B,2,0),AU333,1),"")</f>
        <v>M</v>
      </c>
      <c r="AU333" s="3">
        <v>309</v>
      </c>
      <c r="AV333" s="3" t="str">
        <f>IFERROR(MID(VLOOKUP($B333,Seqs!$A:$B,2,0),AW333,1),"")</f>
        <v>N</v>
      </c>
      <c r="AW333" s="3">
        <v>310</v>
      </c>
      <c r="AX333" s="3" t="str">
        <f>IFERROR(MID(VLOOKUP($B333,Seqs!$A:$B,2,0),AY333,1),"")</f>
        <v>C</v>
      </c>
      <c r="AY333" s="3">
        <v>322</v>
      </c>
      <c r="AZ333" s="77" t="str">
        <f>VLOOKUP(B333,Classification!A:D,2,0)</f>
        <v>A</v>
      </c>
      <c r="BA333" s="94" t="str">
        <f>VLOOKUP(B333,Classification!A:D,4,0)</f>
        <v>Opsins</v>
      </c>
      <c r="BB333" s="27" t="b">
        <f t="shared" si="2824"/>
        <v>1</v>
      </c>
      <c r="BC333" s="23">
        <f t="shared" si="2825"/>
        <v>245</v>
      </c>
      <c r="BD333" s="2" t="s">
        <v>23</v>
      </c>
      <c r="BE333" s="3" t="s">
        <v>1287</v>
      </c>
      <c r="BF333" s="118">
        <v>2.46</v>
      </c>
      <c r="BG333" s="49" t="s">
        <v>1</v>
      </c>
      <c r="BH333" s="49" t="s">
        <v>1</v>
      </c>
      <c r="BI333" s="1"/>
      <c r="BJ333" s="70" t="s">
        <v>1283</v>
      </c>
      <c r="BK333" s="57" t="s">
        <v>1283</v>
      </c>
      <c r="BL333" s="57" t="s">
        <v>1283</v>
      </c>
      <c r="BM333" s="57" t="s">
        <v>1283</v>
      </c>
      <c r="BN333" s="57" t="s">
        <v>1283</v>
      </c>
      <c r="BO333" s="57" t="s">
        <v>1283</v>
      </c>
      <c r="BP333" s="57" t="s">
        <v>1283</v>
      </c>
      <c r="BQ333" s="57" t="s">
        <v>1283</v>
      </c>
      <c r="BR333" s="57" t="s">
        <v>1283</v>
      </c>
      <c r="BS333" s="57" t="s">
        <v>1283</v>
      </c>
      <c r="BT333" s="57" t="s">
        <v>1283</v>
      </c>
      <c r="BU333" s="57" t="s">
        <v>1283</v>
      </c>
      <c r="BV333" s="70">
        <f t="shared" si="2826"/>
        <v>33</v>
      </c>
      <c r="BW333" s="71">
        <f t="shared" si="2827"/>
        <v>66</v>
      </c>
      <c r="BX333" s="72">
        <f t="shared" si="2828"/>
        <v>73</v>
      </c>
      <c r="BY333" s="71">
        <f t="shared" si="2829"/>
        <v>102</v>
      </c>
      <c r="BZ333" s="72">
        <f t="shared" si="2830"/>
        <v>106</v>
      </c>
      <c r="CA333" s="71" t="str">
        <f t="shared" si="2831"/>
        <v>-</v>
      </c>
      <c r="CB333" s="72">
        <f t="shared" si="2832"/>
        <v>149</v>
      </c>
      <c r="CC333" s="71">
        <f t="shared" si="2833"/>
        <v>187</v>
      </c>
      <c r="CD333" s="72">
        <f t="shared" si="2834"/>
        <v>199</v>
      </c>
      <c r="CE333" s="71">
        <f t="shared" si="2835"/>
        <v>240</v>
      </c>
      <c r="CF333" s="72">
        <f t="shared" si="2836"/>
        <v>289</v>
      </c>
      <c r="CG333" s="71">
        <f t="shared" si="2837"/>
        <v>310</v>
      </c>
      <c r="CH333" s="70">
        <f t="shared" si="2838"/>
        <v>64</v>
      </c>
      <c r="CI333" s="71">
        <f t="shared" si="2839"/>
        <v>69</v>
      </c>
      <c r="CJ333" s="72">
        <f t="shared" si="2840"/>
        <v>101</v>
      </c>
      <c r="CK333" s="72">
        <f t="shared" si="2841"/>
        <v>105</v>
      </c>
      <c r="CL333" s="72">
        <f t="shared" si="2842"/>
        <v>141</v>
      </c>
      <c r="CM333" s="72" t="str">
        <f t="shared" si="2843"/>
        <v>-</v>
      </c>
      <c r="CN333" s="72">
        <f t="shared" si="2844"/>
        <v>173</v>
      </c>
      <c r="CO333" s="72">
        <f t="shared" si="2845"/>
        <v>189</v>
      </c>
      <c r="CP333" s="72">
        <f t="shared" si="2846"/>
        <v>236</v>
      </c>
      <c r="CQ333" s="72">
        <f t="shared" si="2847"/>
        <v>278</v>
      </c>
      <c r="CR333" s="72">
        <f t="shared" si="2848"/>
        <v>309</v>
      </c>
      <c r="CS333" s="72">
        <f t="shared" si="2849"/>
        <v>322</v>
      </c>
      <c r="CT333" s="23">
        <f t="shared" si="2850"/>
        <v>4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29" x14ac:dyDescent="0.2">
      <c r="A334" s="3" t="str">
        <f t="shared" si="2823"/>
        <v>opsd_bovin_6FKD</v>
      </c>
      <c r="B334" s="3" t="s">
        <v>915</v>
      </c>
      <c r="C334" s="3" t="s">
        <v>1484</v>
      </c>
      <c r="D334" s="3" t="str">
        <f>IFERROR(MID(VLOOKUP($B334,Seqs!$A:$B,2,0),E334,1),"")</f>
        <v>E</v>
      </c>
      <c r="E334" s="3">
        <v>33</v>
      </c>
      <c r="F334" s="3" t="str">
        <f>IFERROR(MID(VLOOKUP($B334,Seqs!$A:$B,2,0),G334,1),"")</f>
        <v>Q</v>
      </c>
      <c r="G334" s="3">
        <v>64</v>
      </c>
      <c r="H334" s="3" t="str">
        <f>IFERROR(MID(VLOOKUP($B334,Seqs!$A:$B,2,0),I334,1),"")</f>
        <v>K</v>
      </c>
      <c r="I334" s="23">
        <v>66</v>
      </c>
      <c r="J334" s="3" t="str">
        <f>IFERROR(MID(VLOOKUP($B334,Seqs!$A:$B,2,0),K334,1),"")</f>
        <v>R</v>
      </c>
      <c r="K334" s="23">
        <v>69</v>
      </c>
      <c r="L334" s="3" t="str">
        <f>IFERROR(MID(VLOOKUP($B334,Seqs!$A:$B,2,0),M334,1),"")</f>
        <v>N</v>
      </c>
      <c r="M334" s="3">
        <v>73</v>
      </c>
      <c r="N334" s="3" t="str">
        <f>IFERROR(MID(VLOOKUP($B334,Seqs!$A:$B,2,0),O334,1),"")</f>
        <v>G</v>
      </c>
      <c r="O334" s="3">
        <v>101</v>
      </c>
      <c r="P334" s="3" t="str">
        <f>IFERROR(MID(VLOOKUP($B334,Seqs!$A:$B,2,0),Q334,1),"")</f>
        <v>Y</v>
      </c>
      <c r="Q334" s="3">
        <v>102</v>
      </c>
      <c r="R334" s="3" t="str">
        <f>IFERROR(MID(VLOOKUP($B334,Seqs!$A:$B,2,0),S334,1),"")</f>
        <v>F</v>
      </c>
      <c r="S334" s="3">
        <v>105</v>
      </c>
      <c r="T334" s="3" t="str">
        <f>IFERROR(MID(VLOOKUP($B334,Seqs!$A:$B,2,0),U334,1),"")</f>
        <v>G</v>
      </c>
      <c r="U334" s="3">
        <v>106</v>
      </c>
      <c r="V334" s="3" t="str">
        <f>IFERROR(MID(VLOOKUP($B334,Seqs!$A:$B,2,0),W334,1),"")</f>
        <v>K</v>
      </c>
      <c r="W334" s="3">
        <v>141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G</v>
      </c>
      <c r="AC334" s="3">
        <v>149</v>
      </c>
      <c r="AD334" s="3" t="str">
        <f>IFERROR(MID(VLOOKUP($B334,Seqs!$A:$B,2,0),AE334,1),"")</f>
        <v>V</v>
      </c>
      <c r="AE334" s="3">
        <v>173</v>
      </c>
      <c r="AF334" s="3" t="str">
        <f>IFERROR(MID(VLOOKUP($B334,Seqs!$A:$B,2,0),AG334,1),"")</f>
        <v>C</v>
      </c>
      <c r="AG334" s="3">
        <v>187</v>
      </c>
      <c r="AH334" s="3" t="str">
        <f>IFERROR(MID(VLOOKUP($B334,Seqs!$A:$B,2,0),AI334,1),"")</f>
        <v>I</v>
      </c>
      <c r="AI334" s="3">
        <v>189</v>
      </c>
      <c r="AJ334" s="3" t="str">
        <f>IFERROR(MID(VLOOKUP($B334,Seqs!$A:$B,2,0),AK334,1),"")</f>
        <v>N</v>
      </c>
      <c r="AK334" s="3">
        <v>199</v>
      </c>
      <c r="AL334" s="3" t="str">
        <f>IFERROR(MID(VLOOKUP($B334,Seqs!$A:$B,2,0),AM334,1),"")</f>
        <v>Q</v>
      </c>
      <c r="AM334" s="3">
        <v>236</v>
      </c>
      <c r="AN334" s="3" t="str">
        <f>IFERROR(MID(VLOOKUP($B334,Seqs!$A:$B,2,0),AO334,1),"")</f>
        <v>S</v>
      </c>
      <c r="AO334" s="3">
        <v>240</v>
      </c>
      <c r="AP334" s="3" t="str">
        <f>IFERROR(MID(VLOOKUP($B334,Seqs!$A:$B,2,0),AQ334,1),"")</f>
        <v>H</v>
      </c>
      <c r="AQ334" s="3">
        <v>278</v>
      </c>
      <c r="AR334" s="3" t="str">
        <f>IFERROR(MID(VLOOKUP($B334,Seqs!$A:$B,2,0),AS334,1),"")</f>
        <v>T</v>
      </c>
      <c r="AS334" s="3">
        <v>289</v>
      </c>
      <c r="AT334" s="3" t="str">
        <f>IFERROR(MID(VLOOKUP($B334,Seqs!$A:$B,2,0),AU334,1),"")</f>
        <v>M</v>
      </c>
      <c r="AU334" s="3">
        <v>309</v>
      </c>
      <c r="AV334" s="3" t="str">
        <f>IFERROR(MID(VLOOKUP($B334,Seqs!$A:$B,2,0),AW334,1),"")</f>
        <v>N</v>
      </c>
      <c r="AW334" s="3">
        <v>310</v>
      </c>
      <c r="AX334" s="3" t="str">
        <f>IFERROR(MID(VLOOKUP($B334,Seqs!$A:$B,2,0),AY334,1),"")</f>
        <v>C</v>
      </c>
      <c r="AY334" s="3">
        <v>322</v>
      </c>
      <c r="AZ334" s="77" t="str">
        <f>VLOOKUP(B334,Classification!A:D,2,0)</f>
        <v>A</v>
      </c>
      <c r="BA334" s="94" t="str">
        <f>VLOOKUP(B334,Classification!A:D,4,0)</f>
        <v>Opsins</v>
      </c>
      <c r="BB334" s="27" t="b">
        <f t="shared" si="2824"/>
        <v>1</v>
      </c>
      <c r="BC334" s="23">
        <f t="shared" si="2825"/>
        <v>245</v>
      </c>
      <c r="BD334" s="2" t="s">
        <v>23</v>
      </c>
      <c r="BE334" s="3" t="s">
        <v>1287</v>
      </c>
      <c r="BF334" s="118">
        <v>2.4900000000000002</v>
      </c>
      <c r="BG334" s="49" t="s">
        <v>1</v>
      </c>
      <c r="BH334" s="49" t="s">
        <v>1</v>
      </c>
      <c r="BI334" s="1"/>
      <c r="BJ334" s="70" t="s">
        <v>1283</v>
      </c>
      <c r="BK334" s="57" t="s">
        <v>1283</v>
      </c>
      <c r="BL334" s="57" t="s">
        <v>1283</v>
      </c>
      <c r="BM334" s="57" t="s">
        <v>1283</v>
      </c>
      <c r="BN334" s="57" t="s">
        <v>1283</v>
      </c>
      <c r="BO334" s="57" t="s">
        <v>1283</v>
      </c>
      <c r="BP334" s="57" t="s">
        <v>1283</v>
      </c>
      <c r="BQ334" s="57" t="s">
        <v>1283</v>
      </c>
      <c r="BR334" s="57" t="s">
        <v>1283</v>
      </c>
      <c r="BS334" s="57" t="s">
        <v>1283</v>
      </c>
      <c r="BT334" s="57" t="s">
        <v>1283</v>
      </c>
      <c r="BU334" s="57" t="s">
        <v>1283</v>
      </c>
      <c r="BV334" s="70">
        <f t="shared" si="2826"/>
        <v>33</v>
      </c>
      <c r="BW334" s="71">
        <f t="shared" si="2827"/>
        <v>66</v>
      </c>
      <c r="BX334" s="72">
        <f t="shared" si="2828"/>
        <v>73</v>
      </c>
      <c r="BY334" s="71">
        <f t="shared" si="2829"/>
        <v>102</v>
      </c>
      <c r="BZ334" s="72">
        <f t="shared" si="2830"/>
        <v>106</v>
      </c>
      <c r="CA334" s="71" t="str">
        <f t="shared" si="2831"/>
        <v>-</v>
      </c>
      <c r="CB334" s="72">
        <f t="shared" si="2832"/>
        <v>149</v>
      </c>
      <c r="CC334" s="71">
        <f t="shared" si="2833"/>
        <v>187</v>
      </c>
      <c r="CD334" s="72">
        <f t="shared" si="2834"/>
        <v>199</v>
      </c>
      <c r="CE334" s="71">
        <f t="shared" si="2835"/>
        <v>240</v>
      </c>
      <c r="CF334" s="72">
        <f t="shared" si="2836"/>
        <v>289</v>
      </c>
      <c r="CG334" s="71">
        <f t="shared" si="2837"/>
        <v>310</v>
      </c>
      <c r="CH334" s="70">
        <f t="shared" si="2838"/>
        <v>64</v>
      </c>
      <c r="CI334" s="71">
        <f t="shared" si="2839"/>
        <v>69</v>
      </c>
      <c r="CJ334" s="72">
        <f t="shared" si="2840"/>
        <v>101</v>
      </c>
      <c r="CK334" s="72">
        <f t="shared" si="2841"/>
        <v>105</v>
      </c>
      <c r="CL334" s="72">
        <f t="shared" si="2842"/>
        <v>141</v>
      </c>
      <c r="CM334" s="72" t="str">
        <f t="shared" si="2843"/>
        <v>-</v>
      </c>
      <c r="CN334" s="72">
        <f t="shared" si="2844"/>
        <v>173</v>
      </c>
      <c r="CO334" s="72">
        <f t="shared" si="2845"/>
        <v>189</v>
      </c>
      <c r="CP334" s="72">
        <f t="shared" si="2846"/>
        <v>236</v>
      </c>
      <c r="CQ334" s="72">
        <f t="shared" si="2847"/>
        <v>278</v>
      </c>
      <c r="CR334" s="72">
        <f t="shared" si="2848"/>
        <v>309</v>
      </c>
      <c r="CS334" s="72">
        <f t="shared" si="2849"/>
        <v>322</v>
      </c>
      <c r="CT334" s="23">
        <f t="shared" si="2850"/>
        <v>4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29" x14ac:dyDescent="0.2">
      <c r="A335" s="3" t="str">
        <f t="shared" ref="A335" si="2851">CONCATENATE(B335,"_",C335)</f>
        <v>opsd_bovin_6FUF</v>
      </c>
      <c r="B335" s="3" t="s">
        <v>915</v>
      </c>
      <c r="C335" s="3" t="s">
        <v>1514</v>
      </c>
      <c r="D335" s="3" t="str">
        <f>IFERROR(MID(VLOOKUP($B335,Seqs!$A:$B,2,0),E335,1),"")</f>
        <v>E</v>
      </c>
      <c r="E335" s="3">
        <v>33</v>
      </c>
      <c r="F335" s="3" t="str">
        <f>IFERROR(MID(VLOOKUP($B335,Seqs!$A:$B,2,0),G335,1),"")</f>
        <v>H</v>
      </c>
      <c r="G335" s="3">
        <v>65</v>
      </c>
      <c r="H335" s="3" t="str">
        <f>IFERROR(MID(VLOOKUP($B335,Seqs!$A:$B,2,0),I335,1),"")</f>
        <v>K</v>
      </c>
      <c r="I335" s="23">
        <v>66</v>
      </c>
      <c r="J335" s="3" t="str">
        <f>IFERROR(MID(VLOOKUP($B335,Seqs!$A:$B,2,0),K335,1),"")</f>
        <v>R</v>
      </c>
      <c r="K335" s="23">
        <v>69</v>
      </c>
      <c r="L335" s="3" t="str">
        <f>IFERROR(MID(VLOOKUP($B335,Seqs!$A:$B,2,0),M335,1),"")</f>
        <v>N</v>
      </c>
      <c r="M335" s="3">
        <v>73</v>
      </c>
      <c r="N335" s="3" t="str">
        <f>IFERROR(MID(VLOOKUP($B335,Seqs!$A:$B,2,0),O335,1),"")</f>
        <v>G</v>
      </c>
      <c r="O335" s="3">
        <v>101</v>
      </c>
      <c r="P335" s="3" t="str">
        <f>IFERROR(MID(VLOOKUP($B335,Seqs!$A:$B,2,0),Q335,1),"")</f>
        <v>Y</v>
      </c>
      <c r="Q335" s="3">
        <v>102</v>
      </c>
      <c r="R335" s="3" t="str">
        <f>IFERROR(MID(VLOOKUP($B335,Seqs!$A:$B,2,0),S335,1),"")</f>
        <v>F</v>
      </c>
      <c r="S335" s="3">
        <v>105</v>
      </c>
      <c r="T335" s="3" t="str">
        <f>IFERROR(MID(VLOOKUP($B335,Seqs!$A:$B,2,0),U335,1),"")</f>
        <v>G</v>
      </c>
      <c r="U335" s="3">
        <v>106</v>
      </c>
      <c r="V335" s="3" t="str">
        <f>IFERROR(MID(VLOOKUP($B335,Seqs!$A:$B,2,0),W335,1),"")</f>
        <v>K</v>
      </c>
      <c r="W335" s="3">
        <v>141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G</v>
      </c>
      <c r="AC335" s="3">
        <v>149</v>
      </c>
      <c r="AD335" s="3" t="str">
        <f>IFERROR(MID(VLOOKUP($B335,Seqs!$A:$B,2,0),AE335,1),"")</f>
        <v>V</v>
      </c>
      <c r="AE335" s="3">
        <v>173</v>
      </c>
      <c r="AF335" s="3" t="str">
        <f>IFERROR(MID(VLOOKUP($B335,Seqs!$A:$B,2,0),AG335,1),"")</f>
        <v>C</v>
      </c>
      <c r="AG335" s="3">
        <v>187</v>
      </c>
      <c r="AH335" s="3" t="str">
        <f>IFERROR(MID(VLOOKUP($B335,Seqs!$A:$B,2,0),AI335,1),"")</f>
        <v>I</v>
      </c>
      <c r="AI335" s="3">
        <v>189</v>
      </c>
      <c r="AJ335" s="3" t="str">
        <f>IFERROR(MID(VLOOKUP($B335,Seqs!$A:$B,2,0),AK335,1),"")</f>
        <v>N</v>
      </c>
      <c r="AK335" s="3">
        <v>199</v>
      </c>
      <c r="AL335" s="3" t="str">
        <f>IFERROR(MID(VLOOKUP($B335,Seqs!$A:$B,2,0),AM335,1),"")</f>
        <v>Q</v>
      </c>
      <c r="AM335" s="3">
        <v>237</v>
      </c>
      <c r="AN335" s="3" t="str">
        <f>IFERROR(MID(VLOOKUP($B335,Seqs!$A:$B,2,0),AO335,1),"")</f>
        <v>S</v>
      </c>
      <c r="AO335" s="3">
        <v>240</v>
      </c>
      <c r="AP335" s="3" t="str">
        <f>IFERROR(MID(VLOOKUP($B335,Seqs!$A:$B,2,0),AQ335,1),"")</f>
        <v>H</v>
      </c>
      <c r="AQ335" s="3">
        <v>278</v>
      </c>
      <c r="AR335" s="3" t="str">
        <f>IFERROR(MID(VLOOKUP($B335,Seqs!$A:$B,2,0),AS335,1),"")</f>
        <v>T</v>
      </c>
      <c r="AS335" s="3">
        <v>289</v>
      </c>
      <c r="AT335" s="3" t="str">
        <f>IFERROR(MID(VLOOKUP($B335,Seqs!$A:$B,2,0),AU335,1),"")</f>
        <v>M</v>
      </c>
      <c r="AU335" s="3">
        <v>309</v>
      </c>
      <c r="AV335" s="3" t="str">
        <f>IFERROR(MID(VLOOKUP($B335,Seqs!$A:$B,2,0),AW335,1),"")</f>
        <v>N</v>
      </c>
      <c r="AW335" s="3">
        <v>310</v>
      </c>
      <c r="AX335" s="3" t="str">
        <f>IFERROR(MID(VLOOKUP($B335,Seqs!$A:$B,2,0),AY335,1),"")</f>
        <v>R</v>
      </c>
      <c r="AY335" s="3">
        <v>314</v>
      </c>
      <c r="AZ335" s="77" t="str">
        <f>VLOOKUP(B335,Classification!A:D,2,0)</f>
        <v>A</v>
      </c>
      <c r="BA335" s="94" t="str">
        <f>VLOOKUP(B335,Classification!A:D,4,0)</f>
        <v>Opsins</v>
      </c>
      <c r="BB335" s="27" t="b">
        <f t="shared" ref="BB335" si="2852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23">
        <f t="shared" ref="BC335" si="2853">_xlfn.AGGREGATE(9,6,CH335:CS335)-_xlfn.AGGREGATE(9,6,BV335:CG335)+12</f>
        <v>239</v>
      </c>
      <c r="BD335" s="2" t="s">
        <v>23</v>
      </c>
      <c r="BE335" s="3" t="s">
        <v>1287</v>
      </c>
      <c r="BF335" s="118">
        <v>3.12</v>
      </c>
      <c r="BG335" s="49" t="s">
        <v>1</v>
      </c>
      <c r="BH335" s="49" t="s">
        <v>1</v>
      </c>
      <c r="BI335" s="1"/>
      <c r="BJ335" s="70" t="s">
        <v>1283</v>
      </c>
      <c r="BK335" s="57" t="s">
        <v>1283</v>
      </c>
      <c r="BL335" s="57" t="s">
        <v>1283</v>
      </c>
      <c r="BM335" s="57" t="s">
        <v>1283</v>
      </c>
      <c r="BN335" s="57" t="s">
        <v>1283</v>
      </c>
      <c r="BO335" s="57" t="s">
        <v>1283</v>
      </c>
      <c r="BP335" s="57" t="s">
        <v>1283</v>
      </c>
      <c r="BQ335" s="57" t="s">
        <v>1283</v>
      </c>
      <c r="BR335" s="57" t="s">
        <v>1283</v>
      </c>
      <c r="BS335" s="57" t="s">
        <v>1283</v>
      </c>
      <c r="BT335" s="57" t="s">
        <v>1283</v>
      </c>
      <c r="BU335" s="57" t="s">
        <v>1283</v>
      </c>
      <c r="BV335" s="70">
        <f t="shared" ref="BV335" si="2854">E335</f>
        <v>33</v>
      </c>
      <c r="BW335" s="71">
        <f t="shared" ref="BW335" si="2855">I335</f>
        <v>66</v>
      </c>
      <c r="BX335" s="72">
        <f t="shared" ref="BX335" si="2856">M335</f>
        <v>73</v>
      </c>
      <c r="BY335" s="71">
        <f t="shared" ref="BY335" si="2857">Q335</f>
        <v>102</v>
      </c>
      <c r="BZ335" s="72">
        <f t="shared" ref="BZ335" si="2858">U335</f>
        <v>106</v>
      </c>
      <c r="CA335" s="71" t="str">
        <f t="shared" ref="CA335" si="2859">Y335</f>
        <v>-</v>
      </c>
      <c r="CB335" s="72">
        <f t="shared" ref="CB335" si="2860">AC335</f>
        <v>149</v>
      </c>
      <c r="CC335" s="71">
        <f t="shared" ref="CC335" si="2861">AG335</f>
        <v>187</v>
      </c>
      <c r="CD335" s="72">
        <f t="shared" ref="CD335" si="2862">AK335</f>
        <v>199</v>
      </c>
      <c r="CE335" s="71">
        <f t="shared" ref="CE335" si="2863">AO335</f>
        <v>240</v>
      </c>
      <c r="CF335" s="72">
        <f t="shared" ref="CF335" si="2864">AS335</f>
        <v>289</v>
      </c>
      <c r="CG335" s="71">
        <f t="shared" ref="CG335" si="2865">AW335</f>
        <v>310</v>
      </c>
      <c r="CH335" s="70">
        <f t="shared" ref="CH335" si="2866">G335</f>
        <v>65</v>
      </c>
      <c r="CI335" s="71">
        <f t="shared" ref="CI335" si="2867">K335</f>
        <v>69</v>
      </c>
      <c r="CJ335" s="72">
        <f t="shared" ref="CJ335" si="2868">O335</f>
        <v>101</v>
      </c>
      <c r="CK335" s="72">
        <f t="shared" ref="CK335" si="2869">S335</f>
        <v>105</v>
      </c>
      <c r="CL335" s="72">
        <f t="shared" ref="CL335" si="2870">W335</f>
        <v>141</v>
      </c>
      <c r="CM335" s="72" t="str">
        <f t="shared" ref="CM335" si="2871">AA335</f>
        <v>-</v>
      </c>
      <c r="CN335" s="72">
        <f t="shared" ref="CN335" si="2872">AE335</f>
        <v>173</v>
      </c>
      <c r="CO335" s="72">
        <f t="shared" ref="CO335" si="2873">AI335</f>
        <v>189</v>
      </c>
      <c r="CP335" s="72">
        <f t="shared" ref="CP335" si="2874">AM335</f>
        <v>237</v>
      </c>
      <c r="CQ335" s="72">
        <f t="shared" ref="CQ335" si="2875">AQ335</f>
        <v>278</v>
      </c>
      <c r="CR335" s="72">
        <f t="shared" ref="CR335" si="2876">AU335</f>
        <v>309</v>
      </c>
      <c r="CS335" s="72">
        <f t="shared" ref="CS335" si="2877">AY335</f>
        <v>314</v>
      </c>
      <c r="CT335" s="23">
        <f t="shared" ref="CT335" si="2878">M335-K335</f>
        <v>4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29" x14ac:dyDescent="0.2">
      <c r="A336" s="3" t="str">
        <f t="shared" ref="A336" si="2879">CONCATENATE(B336,"_",C336)</f>
        <v>opsd_bovin_6QNO</v>
      </c>
      <c r="B336" s="3" t="s">
        <v>915</v>
      </c>
      <c r="C336" s="3" t="s">
        <v>1581</v>
      </c>
      <c r="D336" s="3" t="str">
        <f>IFERROR(MID(VLOOKUP($B336,Seqs!$A:$B,2,0),E336,1),"")</f>
        <v>E</v>
      </c>
      <c r="E336" s="3">
        <v>33</v>
      </c>
      <c r="F336" s="3" t="str">
        <f>IFERROR(MID(VLOOKUP($B336,Seqs!$A:$B,2,0),G336,1),"")</f>
        <v>H</v>
      </c>
      <c r="G336" s="3">
        <v>65</v>
      </c>
      <c r="H336" s="3" t="str">
        <f>IFERROR(MID(VLOOKUP($B336,Seqs!$A:$B,2,0),I336,1),"")</f>
        <v>K</v>
      </c>
      <c r="I336" s="23">
        <v>66</v>
      </c>
      <c r="J336" s="3" t="str">
        <f>IFERROR(MID(VLOOKUP($B336,Seqs!$A:$B,2,0),K336,1),"")</f>
        <v>R</v>
      </c>
      <c r="K336" s="23">
        <v>69</v>
      </c>
      <c r="L336" s="3" t="str">
        <f>IFERROR(MID(VLOOKUP($B336,Seqs!$A:$B,2,0),M336,1),"")</f>
        <v>N</v>
      </c>
      <c r="M336" s="3">
        <v>73</v>
      </c>
      <c r="N336" s="3" t="str">
        <f>IFERROR(MID(VLOOKUP($B336,Seqs!$A:$B,2,0),O336,1),"")</f>
        <v>H</v>
      </c>
      <c r="O336" s="3">
        <v>100</v>
      </c>
      <c r="P336" s="3" t="str">
        <f>IFERROR(MID(VLOOKUP($B336,Seqs!$A:$B,2,0),Q336,1),"")</f>
        <v>Y</v>
      </c>
      <c r="Q336" s="3">
        <v>102</v>
      </c>
      <c r="R336" s="3" t="str">
        <f>IFERROR(MID(VLOOKUP($B336,Seqs!$A:$B,2,0),S336,1),"")</f>
        <v>F</v>
      </c>
      <c r="S336" s="3">
        <v>105</v>
      </c>
      <c r="T336" s="3" t="str">
        <f>IFERROR(MID(VLOOKUP($B336,Seqs!$A:$B,2,0),U336,1),"")</f>
        <v>G</v>
      </c>
      <c r="U336" s="3">
        <v>106</v>
      </c>
      <c r="V336" s="3" t="str">
        <f>IFERROR(MID(VLOOKUP($B336,Seqs!$A:$B,2,0),W336,1),"")</f>
        <v>K</v>
      </c>
      <c r="W336" s="3">
        <v>141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E</v>
      </c>
      <c r="AC336" s="3">
        <v>150</v>
      </c>
      <c r="AD336" s="3" t="str">
        <f>IFERROR(MID(VLOOKUP($B336,Seqs!$A:$B,2,0),AE336,1),"")</f>
        <v>V</v>
      </c>
      <c r="AE336" s="3">
        <v>173</v>
      </c>
      <c r="AF336" s="3" t="str">
        <f>IFERROR(MID(VLOOKUP($B336,Seqs!$A:$B,2,0),AG336,1),"")</f>
        <v>C</v>
      </c>
      <c r="AG336" s="3">
        <v>187</v>
      </c>
      <c r="AH336" s="3" t="str">
        <f>IFERROR(MID(VLOOKUP($B336,Seqs!$A:$B,2,0),AI336,1),"")</f>
        <v>I</v>
      </c>
      <c r="AI336" s="3">
        <v>189</v>
      </c>
      <c r="AJ336" s="3" t="str">
        <f>IFERROR(MID(VLOOKUP($B336,Seqs!$A:$B,2,0),AK336,1),"")</f>
        <v>N</v>
      </c>
      <c r="AK336" s="3">
        <v>200</v>
      </c>
      <c r="AL336" s="3" t="str">
        <f>IFERROR(MID(VLOOKUP($B336,Seqs!$A:$B,2,0),AM336,1),"")</f>
        <v>Q</v>
      </c>
      <c r="AM336" s="3">
        <v>237</v>
      </c>
      <c r="AN336" s="3" t="str">
        <f>IFERROR(MID(VLOOKUP($B336,Seqs!$A:$B,2,0),AO336,1),"")</f>
        <v>S</v>
      </c>
      <c r="AO336" s="3">
        <v>240</v>
      </c>
      <c r="AP336" s="3" t="str">
        <f>IFERROR(MID(VLOOKUP($B336,Seqs!$A:$B,2,0),AQ336,1),"")</f>
        <v>H</v>
      </c>
      <c r="AQ336" s="3">
        <v>278</v>
      </c>
      <c r="AR336" s="3" t="str">
        <f>IFERROR(MID(VLOOKUP($B336,Seqs!$A:$B,2,0),AS336,1),"")</f>
        <v>G</v>
      </c>
      <c r="AS336" s="3">
        <v>284</v>
      </c>
      <c r="AT336" s="3" t="str">
        <f>IFERROR(MID(VLOOKUP($B336,Seqs!$A:$B,2,0),AU336,1),"")</f>
        <v>M</v>
      </c>
      <c r="AU336" s="3">
        <v>309</v>
      </c>
      <c r="AV336" s="3" t="str">
        <f>IFERROR(MID(VLOOKUP($B336,Seqs!$A:$B,2,0),AW336,1),"")</f>
        <v>N</v>
      </c>
      <c r="AW336" s="3">
        <v>310</v>
      </c>
      <c r="AX336" s="3" t="str">
        <f>IFERROR(MID(VLOOKUP($B336,Seqs!$A:$B,2,0),AY336,1),"")</f>
        <v>C</v>
      </c>
      <c r="AY336" s="3">
        <v>322</v>
      </c>
      <c r="AZ336" s="77" t="str">
        <f>VLOOKUP(B336,Classification!A:D,2,0)</f>
        <v>A</v>
      </c>
      <c r="BA336" s="94" t="str">
        <f>VLOOKUP(B336,Classification!A:D,4,0)</f>
        <v>Opsins</v>
      </c>
      <c r="BB336" s="27" t="b">
        <f t="shared" ref="BB336" si="2880">AND(E336&lt;G336,OR(G336&lt;I336,I336="-"),OR(I336&lt;K336,I336="-"),OR(K336&lt;M336,K336="-"),M336&lt;O336,OR(O336&lt;Q336,Q336="-"),OR(Q336&lt;S336,Q336="-"),OR(S336&lt;U336,S336="-"),U336&lt;W336,OR(W336&lt;Y336,Y336="-"),OR(Y336&lt;AA336,Y336="-"),OR(AA336&lt;AC336,AA336="-"),AC336&lt;AE336,OR(AE336&lt;AG336,AG336="-"),OR(AG336&lt;AI336,AG336="-"),OR(AI336&lt;AK336,AI336="-"),AK336&lt;AM336,AM336&lt;AO336,AO336&lt;AQ336,AQ336&lt;AS336,AS336&lt;AU336,OR(AU336&lt;AW336,AW336="-"),OR(AW336&lt;AY336,AW336="-"))</f>
        <v>1</v>
      </c>
      <c r="BC336" s="23">
        <f t="shared" ref="BC336" si="2881">_xlfn.AGGREGATE(9,6,CH336:CS336)-_xlfn.AGGREGATE(9,6,BV336:CG336)+12</f>
        <v>249</v>
      </c>
      <c r="BD336" s="2" t="s">
        <v>23</v>
      </c>
      <c r="BE336" s="3" t="s">
        <v>1287</v>
      </c>
      <c r="BF336" s="118">
        <v>4.38</v>
      </c>
      <c r="BG336" s="49" t="s">
        <v>1418</v>
      </c>
      <c r="BH336" s="49" t="s">
        <v>1418</v>
      </c>
      <c r="BI336" s="1"/>
      <c r="BJ336" s="70" t="s">
        <v>1283</v>
      </c>
      <c r="BK336" s="57" t="s">
        <v>1283</v>
      </c>
      <c r="BL336" s="57" t="s">
        <v>1283</v>
      </c>
      <c r="BM336" s="57" t="s">
        <v>1283</v>
      </c>
      <c r="BN336" s="57" t="s">
        <v>1283</v>
      </c>
      <c r="BO336" s="57" t="s">
        <v>1283</v>
      </c>
      <c r="BP336" s="57" t="s">
        <v>1283</v>
      </c>
      <c r="BQ336" s="57" t="s">
        <v>1283</v>
      </c>
      <c r="BR336" s="57" t="s">
        <v>1283</v>
      </c>
      <c r="BS336" s="57" t="s">
        <v>1283</v>
      </c>
      <c r="BT336" s="57" t="s">
        <v>1283</v>
      </c>
      <c r="BU336" s="57" t="s">
        <v>1283</v>
      </c>
      <c r="BV336" s="70">
        <f t="shared" ref="BV336" si="2882">E336</f>
        <v>33</v>
      </c>
      <c r="BW336" s="71">
        <f t="shared" ref="BW336" si="2883">I336</f>
        <v>66</v>
      </c>
      <c r="BX336" s="72">
        <f t="shared" ref="BX336" si="2884">M336</f>
        <v>73</v>
      </c>
      <c r="BY336" s="71">
        <f t="shared" ref="BY336" si="2885">Q336</f>
        <v>102</v>
      </c>
      <c r="BZ336" s="72">
        <f t="shared" ref="BZ336" si="2886">U336</f>
        <v>106</v>
      </c>
      <c r="CA336" s="71" t="str">
        <f t="shared" ref="CA336" si="2887">Y336</f>
        <v>-</v>
      </c>
      <c r="CB336" s="72">
        <f t="shared" ref="CB336" si="2888">AC336</f>
        <v>150</v>
      </c>
      <c r="CC336" s="71">
        <f t="shared" ref="CC336" si="2889">AG336</f>
        <v>187</v>
      </c>
      <c r="CD336" s="72">
        <f t="shared" ref="CD336" si="2890">AK336</f>
        <v>200</v>
      </c>
      <c r="CE336" s="71">
        <f t="shared" ref="CE336" si="2891">AO336</f>
        <v>240</v>
      </c>
      <c r="CF336" s="72">
        <f t="shared" ref="CF336" si="2892">AS336</f>
        <v>284</v>
      </c>
      <c r="CG336" s="71">
        <f t="shared" ref="CG336" si="2893">AW336</f>
        <v>310</v>
      </c>
      <c r="CH336" s="70">
        <f t="shared" ref="CH336" si="2894">G336</f>
        <v>65</v>
      </c>
      <c r="CI336" s="71">
        <f t="shared" ref="CI336" si="2895">K336</f>
        <v>69</v>
      </c>
      <c r="CJ336" s="72">
        <f t="shared" ref="CJ336" si="2896">O336</f>
        <v>100</v>
      </c>
      <c r="CK336" s="72">
        <f t="shared" ref="CK336" si="2897">S336</f>
        <v>105</v>
      </c>
      <c r="CL336" s="72">
        <f t="shared" ref="CL336" si="2898">W336</f>
        <v>141</v>
      </c>
      <c r="CM336" s="72" t="str">
        <f t="shared" ref="CM336" si="2899">AA336</f>
        <v>-</v>
      </c>
      <c r="CN336" s="72">
        <f t="shared" ref="CN336" si="2900">AE336</f>
        <v>173</v>
      </c>
      <c r="CO336" s="72">
        <f t="shared" ref="CO336" si="2901">AI336</f>
        <v>189</v>
      </c>
      <c r="CP336" s="72">
        <f t="shared" ref="CP336" si="2902">AM336</f>
        <v>237</v>
      </c>
      <c r="CQ336" s="72">
        <f t="shared" ref="CQ336" si="2903">AQ336</f>
        <v>278</v>
      </c>
      <c r="CR336" s="72">
        <f t="shared" ref="CR336" si="2904">AU336</f>
        <v>309</v>
      </c>
      <c r="CS336" s="72">
        <f t="shared" ref="CS336" si="2905">AY336</f>
        <v>322</v>
      </c>
      <c r="CT336" s="23">
        <f t="shared" ref="CT336" si="2906">M336-K336</f>
        <v>4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30" x14ac:dyDescent="0.2">
      <c r="A337" s="3" t="str">
        <f t="shared" ref="A337" si="2907">CONCATENATE(B337,"_",C337)</f>
        <v>opsd_bovin_6OY9</v>
      </c>
      <c r="B337" s="3" t="s">
        <v>915</v>
      </c>
      <c r="C337" s="3" t="s">
        <v>1583</v>
      </c>
      <c r="D337" s="3" t="str">
        <f>IFERROR(MID(VLOOKUP($B337,Seqs!$A:$B,2,0),E337,1),"")</f>
        <v>E</v>
      </c>
      <c r="E337" s="3">
        <v>33</v>
      </c>
      <c r="F337" s="3" t="str">
        <f>IFERROR(MID(VLOOKUP($B337,Seqs!$A:$B,2,0),G337,1),"")</f>
        <v>Q</v>
      </c>
      <c r="G337" s="3">
        <v>64</v>
      </c>
      <c r="H337" s="3" t="str">
        <f>IFERROR(MID(VLOOKUP($B337,Seqs!$A:$B,2,0),I337,1),"")</f>
        <v/>
      </c>
      <c r="I337" s="23" t="s">
        <v>23</v>
      </c>
      <c r="J337" s="3" t="str">
        <f>IFERROR(MID(VLOOKUP($B337,Seqs!$A:$B,2,0),K337,1),"")</f>
        <v/>
      </c>
      <c r="K337" s="23" t="s">
        <v>23</v>
      </c>
      <c r="L337" s="3" t="str">
        <f>IFERROR(MID(VLOOKUP($B337,Seqs!$A:$B,2,0),M337,1),"")</f>
        <v>N</v>
      </c>
      <c r="M337" s="3">
        <v>73</v>
      </c>
      <c r="N337" s="3" t="str">
        <f>IFERROR(MID(VLOOKUP($B337,Seqs!$A:$B,2,0),O337,1),"")</f>
        <v>H</v>
      </c>
      <c r="O337" s="3">
        <v>100</v>
      </c>
      <c r="P337" s="3" t="str">
        <f>IFERROR(MID(VLOOKUP($B337,Seqs!$A:$B,2,0),Q337,1),"")</f>
        <v>Y</v>
      </c>
      <c r="Q337" s="3">
        <v>102</v>
      </c>
      <c r="R337" s="3" t="str">
        <f>IFERROR(MID(VLOOKUP($B337,Seqs!$A:$B,2,0),S337,1),"")</f>
        <v>F</v>
      </c>
      <c r="S337" s="3">
        <v>105</v>
      </c>
      <c r="T337" s="3" t="str">
        <f>IFERROR(MID(VLOOKUP($B337,Seqs!$A:$B,2,0),U337,1),"")</f>
        <v>G</v>
      </c>
      <c r="U337" s="3">
        <v>106</v>
      </c>
      <c r="V337" s="3" t="str">
        <f>IFERROR(MID(VLOOKUP($B337,Seqs!$A:$B,2,0),W337,1),"")</f>
        <v>C</v>
      </c>
      <c r="W337" s="3">
        <v>140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E</v>
      </c>
      <c r="AC337" s="3">
        <v>150</v>
      </c>
      <c r="AD337" s="3" t="str">
        <f>IFERROR(MID(VLOOKUP($B337,Seqs!$A:$B,2,0),AE337,1),"")</f>
        <v>L</v>
      </c>
      <c r="AE337" s="3">
        <v>172</v>
      </c>
      <c r="AF337" s="3" t="str">
        <f>IFERROR(MID(VLOOKUP($B337,Seqs!$A:$B,2,0),AG337,1),"")</f>
        <v>C</v>
      </c>
      <c r="AG337" s="3">
        <v>187</v>
      </c>
      <c r="AH337" s="3" t="str">
        <f>IFERROR(MID(VLOOKUP($B337,Seqs!$A:$B,2,0),AI337,1),"")</f>
        <v>I</v>
      </c>
      <c r="AI337" s="3">
        <v>189</v>
      </c>
      <c r="AJ337" s="3" t="str">
        <f>IFERROR(MID(VLOOKUP($B337,Seqs!$A:$B,2,0),AK337,1),"")</f>
        <v>N</v>
      </c>
      <c r="AK337" s="3">
        <v>199</v>
      </c>
      <c r="AL337" s="3" t="str">
        <f>IFERROR(MID(VLOOKUP($B337,Seqs!$A:$B,2,0),AM337,1),"")</f>
        <v>Q</v>
      </c>
      <c r="AM337" s="3">
        <v>236</v>
      </c>
      <c r="AN337" s="3" t="str">
        <f>IFERROR(MID(VLOOKUP($B337,Seqs!$A:$B,2,0),AO337,1),"")</f>
        <v>S</v>
      </c>
      <c r="AO337" s="3">
        <v>240</v>
      </c>
      <c r="AP337" s="3" t="str">
        <f>IFERROR(MID(VLOOKUP($B337,Seqs!$A:$B,2,0),AQ337,1),"")</f>
        <v>H</v>
      </c>
      <c r="AQ337" s="3">
        <v>278</v>
      </c>
      <c r="AR337" s="3" t="str">
        <f>IFERROR(MID(VLOOKUP($B337,Seqs!$A:$B,2,0),AS337,1),"")</f>
        <v>G</v>
      </c>
      <c r="AS337" s="3">
        <v>284</v>
      </c>
      <c r="AT337" s="3" t="str">
        <f>IFERROR(MID(VLOOKUP($B337,Seqs!$A:$B,2,0),AU337,1),"")</f>
        <v>M</v>
      </c>
      <c r="AU337" s="3">
        <v>309</v>
      </c>
      <c r="AV337" s="3" t="str">
        <f>IFERROR(MID(VLOOKUP($B337,Seqs!$A:$B,2,0),AW337,1),"")</f>
        <v>F</v>
      </c>
      <c r="AW337" s="3">
        <v>313</v>
      </c>
      <c r="AX337" s="3" t="str">
        <f>IFERROR(MID(VLOOKUP($B337,Seqs!$A:$B,2,0),AY337,1),"")</f>
        <v>C</v>
      </c>
      <c r="AY337" s="3">
        <v>322</v>
      </c>
      <c r="AZ337" s="77" t="str">
        <f>VLOOKUP(B337,Classification!A:D,2,0)</f>
        <v>A</v>
      </c>
      <c r="BA337" s="94" t="str">
        <f>VLOOKUP(B337,Classification!A:D,4,0)</f>
        <v>Opsins</v>
      </c>
      <c r="BB337" s="27" t="b">
        <f t="shared" ref="BB337" si="2908"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23">
        <f t="shared" ref="BC337" si="2909">_xlfn.AGGREGATE(9,6,CH337:CS337)-_xlfn.AGGREGATE(9,6,BV337:CG337)+12</f>
        <v>240</v>
      </c>
      <c r="BD337" s="2" t="s">
        <v>23</v>
      </c>
      <c r="BE337" s="3" t="s">
        <v>1287</v>
      </c>
      <c r="BF337" s="118">
        <v>3.9</v>
      </c>
      <c r="BG337" s="49" t="s">
        <v>1418</v>
      </c>
      <c r="BH337" s="49" t="s">
        <v>1418</v>
      </c>
      <c r="BI337" s="1"/>
      <c r="BJ337" s="70" t="s">
        <v>1283</v>
      </c>
      <c r="BK337" s="57" t="s">
        <v>1283</v>
      </c>
      <c r="BL337" s="57" t="s">
        <v>1283</v>
      </c>
      <c r="BM337" s="57" t="s">
        <v>1283</v>
      </c>
      <c r="BN337" s="57" t="s">
        <v>1283</v>
      </c>
      <c r="BO337" s="57" t="s">
        <v>1283</v>
      </c>
      <c r="BP337" s="57" t="s">
        <v>1283</v>
      </c>
      <c r="BQ337" s="57" t="s">
        <v>1283</v>
      </c>
      <c r="BR337" s="57" t="s">
        <v>1283</v>
      </c>
      <c r="BS337" s="57" t="s">
        <v>1283</v>
      </c>
      <c r="BT337" s="57" t="s">
        <v>1283</v>
      </c>
      <c r="BU337" s="57" t="s">
        <v>1283</v>
      </c>
      <c r="BV337" s="70">
        <f t="shared" ref="BV337" si="2910">E337</f>
        <v>33</v>
      </c>
      <c r="BW337" s="71" t="str">
        <f t="shared" ref="BW337" si="2911">I337</f>
        <v>-</v>
      </c>
      <c r="BX337" s="72">
        <f t="shared" ref="BX337" si="2912">M337</f>
        <v>73</v>
      </c>
      <c r="BY337" s="71">
        <f t="shared" ref="BY337" si="2913">Q337</f>
        <v>102</v>
      </c>
      <c r="BZ337" s="72">
        <f t="shared" ref="BZ337" si="2914">U337</f>
        <v>106</v>
      </c>
      <c r="CA337" s="71" t="str">
        <f t="shared" ref="CA337" si="2915">Y337</f>
        <v>-</v>
      </c>
      <c r="CB337" s="72">
        <f t="shared" ref="CB337" si="2916">AC337</f>
        <v>150</v>
      </c>
      <c r="CC337" s="71">
        <f t="shared" ref="CC337" si="2917">AG337</f>
        <v>187</v>
      </c>
      <c r="CD337" s="72">
        <f t="shared" ref="CD337" si="2918">AK337</f>
        <v>199</v>
      </c>
      <c r="CE337" s="71">
        <f t="shared" ref="CE337" si="2919">AO337</f>
        <v>240</v>
      </c>
      <c r="CF337" s="72">
        <f t="shared" ref="CF337" si="2920">AS337</f>
        <v>284</v>
      </c>
      <c r="CG337" s="71">
        <f t="shared" ref="CG337" si="2921">AW337</f>
        <v>313</v>
      </c>
      <c r="CH337" s="70">
        <f t="shared" ref="CH337" si="2922">G337</f>
        <v>64</v>
      </c>
      <c r="CI337" s="71" t="str">
        <f t="shared" ref="CI337" si="2923">K337</f>
        <v>-</v>
      </c>
      <c r="CJ337" s="72">
        <f t="shared" ref="CJ337" si="2924">O337</f>
        <v>100</v>
      </c>
      <c r="CK337" s="72">
        <f t="shared" ref="CK337" si="2925">S337</f>
        <v>105</v>
      </c>
      <c r="CL337" s="72">
        <f t="shared" ref="CL337" si="2926">W337</f>
        <v>140</v>
      </c>
      <c r="CM337" s="72" t="str">
        <f t="shared" ref="CM337" si="2927">AA337</f>
        <v>-</v>
      </c>
      <c r="CN337" s="72">
        <f t="shared" ref="CN337" si="2928">AE337</f>
        <v>172</v>
      </c>
      <c r="CO337" s="72">
        <f t="shared" ref="CO337" si="2929">AI337</f>
        <v>189</v>
      </c>
      <c r="CP337" s="72">
        <f t="shared" ref="CP337" si="2930">AM337</f>
        <v>236</v>
      </c>
      <c r="CQ337" s="72">
        <f t="shared" ref="CQ337" si="2931">AQ337</f>
        <v>278</v>
      </c>
      <c r="CR337" s="72">
        <f t="shared" ref="CR337" si="2932">AU337</f>
        <v>309</v>
      </c>
      <c r="CS337" s="72">
        <f t="shared" ref="CS337" si="2933">AY337</f>
        <v>322</v>
      </c>
      <c r="CT337" s="23" t="e">
        <f t="shared" ref="CT337" si="2934">M337-K337</f>
        <v>#VALUE!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30" x14ac:dyDescent="0.2">
      <c r="A338" s="3" t="str">
        <f t="shared" ref="A338" si="2935">CONCATENATE(B338,"_",C338)</f>
        <v>opsd_bovin_6OYA</v>
      </c>
      <c r="B338" s="3" t="s">
        <v>915</v>
      </c>
      <c r="C338" s="3" t="s">
        <v>1584</v>
      </c>
      <c r="D338" s="3" t="str">
        <f>IFERROR(MID(VLOOKUP($B338,Seqs!$A:$B,2,0),E338,1),"")</f>
        <v>E</v>
      </c>
      <c r="E338" s="3">
        <v>33</v>
      </c>
      <c r="F338" s="3" t="str">
        <f>IFERROR(MID(VLOOKUP($B338,Seqs!$A:$B,2,0),G338,1),"")</f>
        <v>H</v>
      </c>
      <c r="G338" s="3">
        <v>65</v>
      </c>
      <c r="H338" s="3" t="str">
        <f>IFERROR(MID(VLOOKUP($B338,Seqs!$A:$B,2,0),I338,1),"")</f>
        <v>K</v>
      </c>
      <c r="I338" s="23">
        <v>66</v>
      </c>
      <c r="J338" s="3" t="str">
        <f>IFERROR(MID(VLOOKUP($B338,Seqs!$A:$B,2,0),K338,1),"")</f>
        <v>R</v>
      </c>
      <c r="K338" s="23">
        <v>69</v>
      </c>
      <c r="L338" s="3" t="str">
        <f>IFERROR(MID(VLOOKUP($B338,Seqs!$A:$B,2,0),M338,1),"")</f>
        <v>T</v>
      </c>
      <c r="M338" s="3">
        <v>70</v>
      </c>
      <c r="N338" s="3" t="str">
        <f>IFERROR(MID(VLOOKUP($B338,Seqs!$A:$B,2,0),O338,1),"")</f>
        <v>G</v>
      </c>
      <c r="O338" s="3">
        <v>101</v>
      </c>
      <c r="P338" s="3" t="str">
        <f>IFERROR(MID(VLOOKUP($B338,Seqs!$A:$B,2,0),Q338,1),"")</f>
        <v>Y</v>
      </c>
      <c r="Q338" s="3">
        <v>102</v>
      </c>
      <c r="R338" s="3" t="str">
        <f>IFERROR(MID(VLOOKUP($B338,Seqs!$A:$B,2,0),S338,1),"")</f>
        <v>F</v>
      </c>
      <c r="S338" s="3">
        <v>105</v>
      </c>
      <c r="T338" s="3" t="str">
        <f>IFERROR(MID(VLOOKUP($B338,Seqs!$A:$B,2,0),U338,1),"")</f>
        <v>G</v>
      </c>
      <c r="U338" s="3">
        <v>106</v>
      </c>
      <c r="V338" s="3" t="str">
        <f>IFERROR(MID(VLOOKUP($B338,Seqs!$A:$B,2,0),W338,1),"")</f>
        <v>C</v>
      </c>
      <c r="W338" s="3">
        <v>140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G</v>
      </c>
      <c r="AC338" s="3">
        <v>149</v>
      </c>
      <c r="AD338" s="3" t="str">
        <f>IFERROR(MID(VLOOKUP($B338,Seqs!$A:$B,2,0),AE338,1),"")</f>
        <v>G</v>
      </c>
      <c r="AE338" s="3">
        <v>174</v>
      </c>
      <c r="AF338" s="3" t="str">
        <f>IFERROR(MID(VLOOKUP($B338,Seqs!$A:$B,2,0),AG338,1),"")</f>
        <v>C</v>
      </c>
      <c r="AG338" s="3">
        <v>187</v>
      </c>
      <c r="AH338" s="3" t="str">
        <f>IFERROR(MID(VLOOKUP($B338,Seqs!$A:$B,2,0),AI338,1),"")</f>
        <v>I</v>
      </c>
      <c r="AI338" s="3">
        <v>189</v>
      </c>
      <c r="AJ338" s="3" t="str">
        <f>IFERROR(MID(VLOOKUP($B338,Seqs!$A:$B,2,0),AK338,1),"")</f>
        <v>N</v>
      </c>
      <c r="AK338" s="3">
        <v>199</v>
      </c>
      <c r="AL338" s="3" t="str">
        <f>IFERROR(MID(VLOOKUP($B338,Seqs!$A:$B,2,0),AM338,1),"")</f>
        <v>A</v>
      </c>
      <c r="AM338" s="3">
        <v>235</v>
      </c>
      <c r="AN338" s="3" t="str">
        <f>IFERROR(MID(VLOOKUP($B338,Seqs!$A:$B,2,0),AO338,1),"")</f>
        <v>T</v>
      </c>
      <c r="AO338" s="3">
        <v>243</v>
      </c>
      <c r="AP338" s="3" t="str">
        <f>IFERROR(MID(VLOOKUP($B338,Seqs!$A:$B,2,0),AQ338,1),"")</f>
        <v>H</v>
      </c>
      <c r="AQ338" s="3">
        <v>278</v>
      </c>
      <c r="AR338" s="3" t="str">
        <f>IFERROR(MID(VLOOKUP($B338,Seqs!$A:$B,2,0),AS338,1),"")</f>
        <v>G</v>
      </c>
      <c r="AS338" s="3">
        <v>284</v>
      </c>
      <c r="AT338" s="3" t="str">
        <f>IFERROR(MID(VLOOKUP($B338,Seqs!$A:$B,2,0),AU338,1),"")</f>
        <v>M</v>
      </c>
      <c r="AU338" s="3">
        <v>308</v>
      </c>
      <c r="AV338" s="3" t="str">
        <f>IFERROR(MID(VLOOKUP($B338,Seqs!$A:$B,2,0),AW338,1),"")</f>
        <v>F</v>
      </c>
      <c r="AW338" s="3">
        <v>313</v>
      </c>
      <c r="AX338" s="3" t="str">
        <f>IFERROR(MID(VLOOKUP($B338,Seqs!$A:$B,2,0),AY338,1),"")</f>
        <v>C</v>
      </c>
      <c r="AY338" s="3">
        <v>322</v>
      </c>
      <c r="AZ338" s="77" t="str">
        <f>VLOOKUP(B338,Classification!A:D,2,0)</f>
        <v>A</v>
      </c>
      <c r="BA338" s="94" t="str">
        <f>VLOOKUP(B338,Classification!A:D,4,0)</f>
        <v>Opsins</v>
      </c>
      <c r="BB338" s="27" t="b">
        <f t="shared" ref="BB338" si="2936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23">
        <f t="shared" ref="BC338" si="2937">_xlfn.AGGREGATE(9,6,CH338:CS338)-_xlfn.AGGREGATE(9,6,BV338:CG338)+12</f>
        <v>246</v>
      </c>
      <c r="BD338" s="2" t="s">
        <v>23</v>
      </c>
      <c r="BE338" s="3" t="s">
        <v>1287</v>
      </c>
      <c r="BF338" s="118">
        <v>3.3</v>
      </c>
      <c r="BG338" s="49" t="s">
        <v>1418</v>
      </c>
      <c r="BH338" s="49" t="s">
        <v>1418</v>
      </c>
      <c r="BI338" s="1"/>
      <c r="BJ338" s="70" t="s">
        <v>1283</v>
      </c>
      <c r="BK338" s="57" t="s">
        <v>1283</v>
      </c>
      <c r="BL338" s="57" t="s">
        <v>1283</v>
      </c>
      <c r="BM338" s="57" t="s">
        <v>1283</v>
      </c>
      <c r="BN338" s="57" t="s">
        <v>1283</v>
      </c>
      <c r="BO338" s="57" t="s">
        <v>1283</v>
      </c>
      <c r="BP338" s="57" t="s">
        <v>1283</v>
      </c>
      <c r="BQ338" s="57" t="s">
        <v>1283</v>
      </c>
      <c r="BR338" s="57" t="s">
        <v>1283</v>
      </c>
      <c r="BS338" s="57" t="s">
        <v>1283</v>
      </c>
      <c r="BT338" s="57" t="s">
        <v>1283</v>
      </c>
      <c r="BU338" s="57" t="s">
        <v>1283</v>
      </c>
      <c r="BV338" s="70">
        <f t="shared" ref="BV338" si="2938">E338</f>
        <v>33</v>
      </c>
      <c r="BW338" s="71">
        <f t="shared" ref="BW338" si="2939">I338</f>
        <v>66</v>
      </c>
      <c r="BX338" s="72">
        <f t="shared" ref="BX338" si="2940">M338</f>
        <v>70</v>
      </c>
      <c r="BY338" s="71">
        <f t="shared" ref="BY338" si="2941">Q338</f>
        <v>102</v>
      </c>
      <c r="BZ338" s="72">
        <f t="shared" ref="BZ338" si="2942">U338</f>
        <v>106</v>
      </c>
      <c r="CA338" s="71" t="str">
        <f t="shared" ref="CA338" si="2943">Y338</f>
        <v>-</v>
      </c>
      <c r="CB338" s="72">
        <f t="shared" ref="CB338" si="2944">AC338</f>
        <v>149</v>
      </c>
      <c r="CC338" s="71">
        <f t="shared" ref="CC338" si="2945">AG338</f>
        <v>187</v>
      </c>
      <c r="CD338" s="72">
        <f t="shared" ref="CD338" si="2946">AK338</f>
        <v>199</v>
      </c>
      <c r="CE338" s="71">
        <f t="shared" ref="CE338" si="2947">AO338</f>
        <v>243</v>
      </c>
      <c r="CF338" s="72">
        <f t="shared" ref="CF338" si="2948">AS338</f>
        <v>284</v>
      </c>
      <c r="CG338" s="71">
        <f t="shared" ref="CG338" si="2949">AW338</f>
        <v>313</v>
      </c>
      <c r="CH338" s="70">
        <f t="shared" ref="CH338" si="2950">G338</f>
        <v>65</v>
      </c>
      <c r="CI338" s="71">
        <f t="shared" ref="CI338" si="2951">K338</f>
        <v>69</v>
      </c>
      <c r="CJ338" s="72">
        <f t="shared" ref="CJ338" si="2952">O338</f>
        <v>101</v>
      </c>
      <c r="CK338" s="72">
        <f t="shared" ref="CK338" si="2953">S338</f>
        <v>105</v>
      </c>
      <c r="CL338" s="72">
        <f t="shared" ref="CL338" si="2954">W338</f>
        <v>140</v>
      </c>
      <c r="CM338" s="72" t="str">
        <f t="shared" ref="CM338" si="2955">AA338</f>
        <v>-</v>
      </c>
      <c r="CN338" s="72">
        <f t="shared" ref="CN338" si="2956">AE338</f>
        <v>174</v>
      </c>
      <c r="CO338" s="72">
        <f t="shared" ref="CO338" si="2957">AI338</f>
        <v>189</v>
      </c>
      <c r="CP338" s="72">
        <f t="shared" ref="CP338" si="2958">AM338</f>
        <v>235</v>
      </c>
      <c r="CQ338" s="72">
        <f t="shared" ref="CQ338" si="2959">AQ338</f>
        <v>278</v>
      </c>
      <c r="CR338" s="72">
        <f t="shared" ref="CR338" si="2960">AU338</f>
        <v>308</v>
      </c>
      <c r="CS338" s="72">
        <f t="shared" ref="CS338" si="2961">AY338</f>
        <v>322</v>
      </c>
      <c r="CT338" s="23">
        <f t="shared" ref="CT338" si="2962">M338-K338</f>
        <v>1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30" x14ac:dyDescent="0.2">
      <c r="A339" s="3" t="str">
        <f t="shared" ref="A339" si="2963">CONCATENATE(B339,"_",C339)</f>
        <v>opsd_bovin_6OFJ</v>
      </c>
      <c r="B339" s="3" t="s">
        <v>915</v>
      </c>
      <c r="C339" s="3" t="s">
        <v>1587</v>
      </c>
      <c r="D339" s="3" t="str">
        <f>IFERROR(MID(VLOOKUP($B339,Seqs!$A:$B,2,0),E339,1),"")</f>
        <v>P</v>
      </c>
      <c r="E339" s="3">
        <v>34</v>
      </c>
      <c r="F339" s="3" t="str">
        <f>IFERROR(MID(VLOOKUP($B339,Seqs!$A:$B,2,0),G339,1),"")</f>
        <v>H</v>
      </c>
      <c r="G339" s="3">
        <v>65</v>
      </c>
      <c r="H339" s="3" t="str">
        <f>IFERROR(MID(VLOOKUP($B339,Seqs!$A:$B,2,0),I339,1),"")</f>
        <v/>
      </c>
      <c r="I339" s="23" t="s">
        <v>23</v>
      </c>
      <c r="J339" s="3" t="str">
        <f>IFERROR(MID(VLOOKUP($B339,Seqs!$A:$B,2,0),K339,1),"")</f>
        <v/>
      </c>
      <c r="K339" s="23" t="s">
        <v>23</v>
      </c>
      <c r="L339" s="3" t="str">
        <f>IFERROR(MID(VLOOKUP($B339,Seqs!$A:$B,2,0),M339,1),"")</f>
        <v>T</v>
      </c>
      <c r="M339" s="3">
        <v>70</v>
      </c>
      <c r="N339" s="3" t="str">
        <f>IFERROR(MID(VLOOKUP($B339,Seqs!$A:$B,2,0),O339,1),"")</f>
        <v>G</v>
      </c>
      <c r="O339" s="3">
        <v>101</v>
      </c>
      <c r="P339" s="3" t="str">
        <f>IFERROR(MID(VLOOKUP($B339,Seqs!$A:$B,2,0),Q339,1),"")</f>
        <v>Y</v>
      </c>
      <c r="Q339" s="3">
        <v>102</v>
      </c>
      <c r="R339" s="3" t="str">
        <f>IFERROR(MID(VLOOKUP($B339,Seqs!$A:$B,2,0),S339,1),"")</f>
        <v>F</v>
      </c>
      <c r="S339" s="3">
        <v>105</v>
      </c>
      <c r="T339" s="3" t="str">
        <f>IFERROR(MID(VLOOKUP($B339,Seqs!$A:$B,2,0),U339,1),"")</f>
        <v>G</v>
      </c>
      <c r="U339" s="3">
        <v>106</v>
      </c>
      <c r="V339" s="3" t="str">
        <f>IFERROR(MID(VLOOKUP($B339,Seqs!$A:$B,2,0),W339,1),"")</f>
        <v>K</v>
      </c>
      <c r="W339" s="3">
        <v>141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A</v>
      </c>
      <c r="AC339" s="3">
        <v>153</v>
      </c>
      <c r="AD339" s="3" t="str">
        <f>IFERROR(MID(VLOOKUP($B339,Seqs!$A:$B,2,0),AE339,1),"")</f>
        <v>V</v>
      </c>
      <c r="AE339" s="3">
        <v>173</v>
      </c>
      <c r="AF339" s="3" t="str">
        <f>IFERROR(MID(VLOOKUP($B339,Seqs!$A:$B,2,0),AG339,1),"")</f>
        <v>C</v>
      </c>
      <c r="AG339" s="3">
        <v>187</v>
      </c>
      <c r="AH339" s="3" t="str">
        <f>IFERROR(MID(VLOOKUP($B339,Seqs!$A:$B,2,0),AI339,1),"")</f>
        <v>I</v>
      </c>
      <c r="AI339" s="3">
        <v>189</v>
      </c>
      <c r="AJ339" s="3" t="str">
        <f>IFERROR(MID(VLOOKUP($B339,Seqs!$A:$B,2,0),AK339,1),"")</f>
        <v>N</v>
      </c>
      <c r="AK339" s="3">
        <v>200</v>
      </c>
      <c r="AL339" s="3" t="str">
        <f>IFERROR(MID(VLOOKUP($B339,Seqs!$A:$B,2,0),AM339,1),"")</f>
        <v>L</v>
      </c>
      <c r="AM339" s="3">
        <v>226</v>
      </c>
      <c r="AN339" s="3" t="str">
        <f>IFERROR(MID(VLOOKUP($B339,Seqs!$A:$B,2,0),AO339,1),"")</f>
        <v>A</v>
      </c>
      <c r="AO339" s="3">
        <v>241</v>
      </c>
      <c r="AP339" s="3" t="str">
        <f>IFERROR(MID(VLOOKUP($B339,Seqs!$A:$B,2,0),AQ339,1),"")</f>
        <v>H</v>
      </c>
      <c r="AQ339" s="3">
        <v>278</v>
      </c>
      <c r="AR339" s="3" t="str">
        <f>IFERROR(MID(VLOOKUP($B339,Seqs!$A:$B,2,0),AS339,1),"")</f>
        <v>M</v>
      </c>
      <c r="AS339" s="3">
        <v>288</v>
      </c>
      <c r="AT339" s="3" t="str">
        <f>IFERROR(MID(VLOOKUP($B339,Seqs!$A:$B,2,0),AU339,1),"")</f>
        <v>M</v>
      </c>
      <c r="AU339" s="3">
        <v>309</v>
      </c>
      <c r="AV339" s="3" t="str">
        <f>IFERROR(MID(VLOOKUP($B339,Seqs!$A:$B,2,0),AW339,1),"")</f>
        <v>N</v>
      </c>
      <c r="AW339" s="3">
        <v>310</v>
      </c>
      <c r="AX339" s="3" t="str">
        <f>IFERROR(MID(VLOOKUP($B339,Seqs!$A:$B,2,0),AY339,1),"")</f>
        <v>T</v>
      </c>
      <c r="AY339" s="3">
        <v>320</v>
      </c>
      <c r="AZ339" s="77" t="str">
        <f>VLOOKUP(B339,Classification!A:D,2,0)</f>
        <v>A</v>
      </c>
      <c r="BA339" s="94" t="str">
        <f>VLOOKUP(B339,Classification!A:D,4,0)</f>
        <v>Opsins</v>
      </c>
      <c r="BB339" s="27" t="b">
        <f t="shared" ref="BB339" si="2964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23">
        <f t="shared" ref="BC339" si="2965">_xlfn.AGGREGATE(9,6,CH339:CS339)-_xlfn.AGGREGATE(9,6,BV339:CG339)+12</f>
        <v>228</v>
      </c>
      <c r="BD339" s="2" t="s">
        <v>1425</v>
      </c>
      <c r="BE339" s="3" t="s">
        <v>1424</v>
      </c>
      <c r="BF339" s="118">
        <v>4.5</v>
      </c>
      <c r="BG339" s="49" t="s">
        <v>1</v>
      </c>
      <c r="BH339" s="49" t="s">
        <v>1</v>
      </c>
      <c r="BI339" s="1"/>
      <c r="BJ339" s="70" t="s">
        <v>1283</v>
      </c>
      <c r="BK339" s="57" t="s">
        <v>1283</v>
      </c>
      <c r="BL339" s="57" t="s">
        <v>1283</v>
      </c>
      <c r="BM339" s="57" t="s">
        <v>1283</v>
      </c>
      <c r="BN339" s="57" t="s">
        <v>1283</v>
      </c>
      <c r="BO339" s="57" t="s">
        <v>1283</v>
      </c>
      <c r="BP339" s="57" t="s">
        <v>1283</v>
      </c>
      <c r="BQ339" s="57" t="s">
        <v>1283</v>
      </c>
      <c r="BR339" s="57" t="s">
        <v>1283</v>
      </c>
      <c r="BS339" s="57" t="s">
        <v>1283</v>
      </c>
      <c r="BT339" s="57" t="s">
        <v>1283</v>
      </c>
      <c r="BU339" s="57" t="s">
        <v>1283</v>
      </c>
      <c r="BV339" s="70">
        <f t="shared" ref="BV339" si="2966">E339</f>
        <v>34</v>
      </c>
      <c r="BW339" s="71" t="str">
        <f t="shared" ref="BW339" si="2967">I339</f>
        <v>-</v>
      </c>
      <c r="BX339" s="72">
        <f t="shared" ref="BX339" si="2968">M339</f>
        <v>70</v>
      </c>
      <c r="BY339" s="71">
        <f t="shared" ref="BY339" si="2969">Q339</f>
        <v>102</v>
      </c>
      <c r="BZ339" s="72">
        <f t="shared" ref="BZ339" si="2970">U339</f>
        <v>106</v>
      </c>
      <c r="CA339" s="71" t="str">
        <f t="shared" ref="CA339" si="2971">Y339</f>
        <v>-</v>
      </c>
      <c r="CB339" s="72">
        <f t="shared" ref="CB339" si="2972">AC339</f>
        <v>153</v>
      </c>
      <c r="CC339" s="71">
        <f t="shared" ref="CC339" si="2973">AG339</f>
        <v>187</v>
      </c>
      <c r="CD339" s="72">
        <f t="shared" ref="CD339" si="2974">AK339</f>
        <v>200</v>
      </c>
      <c r="CE339" s="71">
        <f t="shared" ref="CE339" si="2975">AO339</f>
        <v>241</v>
      </c>
      <c r="CF339" s="72">
        <f t="shared" ref="CF339" si="2976">AS339</f>
        <v>288</v>
      </c>
      <c r="CG339" s="71">
        <f t="shared" ref="CG339" si="2977">AW339</f>
        <v>310</v>
      </c>
      <c r="CH339" s="70">
        <f t="shared" ref="CH339" si="2978">G339</f>
        <v>65</v>
      </c>
      <c r="CI339" s="71" t="str">
        <f t="shared" ref="CI339" si="2979">K339</f>
        <v>-</v>
      </c>
      <c r="CJ339" s="72">
        <f t="shared" ref="CJ339" si="2980">O339</f>
        <v>101</v>
      </c>
      <c r="CK339" s="72">
        <f t="shared" ref="CK339" si="2981">S339</f>
        <v>105</v>
      </c>
      <c r="CL339" s="72">
        <f t="shared" ref="CL339" si="2982">W339</f>
        <v>141</v>
      </c>
      <c r="CM339" s="72" t="str">
        <f t="shared" ref="CM339" si="2983">AA339</f>
        <v>-</v>
      </c>
      <c r="CN339" s="72">
        <f t="shared" ref="CN339" si="2984">AE339</f>
        <v>173</v>
      </c>
      <c r="CO339" s="72">
        <f t="shared" ref="CO339" si="2985">AI339</f>
        <v>189</v>
      </c>
      <c r="CP339" s="72">
        <f t="shared" ref="CP339" si="2986">AM339</f>
        <v>226</v>
      </c>
      <c r="CQ339" s="72">
        <f t="shared" ref="CQ339" si="2987">AQ339</f>
        <v>278</v>
      </c>
      <c r="CR339" s="72">
        <f t="shared" ref="CR339" si="2988">AU339</f>
        <v>309</v>
      </c>
      <c r="CS339" s="72">
        <f t="shared" ref="CS339" si="2989">AY339</f>
        <v>320</v>
      </c>
      <c r="CT339" s="23" t="e">
        <f t="shared" ref="CT339" si="2990">M339-K339</f>
        <v>#VALUE!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30" x14ac:dyDescent="0.2">
      <c r="A340" s="3" t="str">
        <f t="shared" ref="A340" si="2991">CONCATENATE(B340,"_",C340)</f>
        <v>opsd_bovin_6NWE</v>
      </c>
      <c r="B340" s="3" t="s">
        <v>915</v>
      </c>
      <c r="C340" s="3" t="s">
        <v>1650</v>
      </c>
      <c r="D340" s="3" t="str">
        <f>IFERROR(MID(VLOOKUP($B340,Seqs!$A:$B,2,0),E340,1),"")</f>
        <v>E</v>
      </c>
      <c r="E340" s="3">
        <v>33</v>
      </c>
      <c r="F340" s="3" t="str">
        <f>IFERROR(MID(VLOOKUP($B340,Seqs!$A:$B,2,0),G340,1),"")</f>
        <v>H</v>
      </c>
      <c r="G340" s="3">
        <v>65</v>
      </c>
      <c r="H340" s="3" t="str">
        <f>IFERROR(MID(VLOOKUP($B340,Seqs!$A:$B,2,0),I340,1),"")</f>
        <v>K</v>
      </c>
      <c r="I340" s="23">
        <v>66</v>
      </c>
      <c r="J340" s="3" t="str">
        <f>IFERROR(MID(VLOOKUP($B340,Seqs!$A:$B,2,0),K340,1),"")</f>
        <v>R</v>
      </c>
      <c r="K340" s="23">
        <v>69</v>
      </c>
      <c r="L340" s="3" t="str">
        <f>IFERROR(MID(VLOOKUP($B340,Seqs!$A:$B,2,0),M340,1),"")</f>
        <v>T</v>
      </c>
      <c r="M340" s="3">
        <v>70</v>
      </c>
      <c r="N340" s="3" t="str">
        <f>IFERROR(MID(VLOOKUP($B340,Seqs!$A:$B,2,0),O340,1),"")</f>
        <v>G</v>
      </c>
      <c r="O340" s="3">
        <v>101</v>
      </c>
      <c r="P340" s="3" t="str">
        <f>IFERROR(MID(VLOOKUP($B340,Seqs!$A:$B,2,0),Q340,1),"")</f>
        <v>Y</v>
      </c>
      <c r="Q340" s="3">
        <v>102</v>
      </c>
      <c r="R340" s="3" t="str">
        <f>IFERROR(MID(VLOOKUP($B340,Seqs!$A:$B,2,0),S340,1),"")</f>
        <v>F</v>
      </c>
      <c r="S340" s="3">
        <v>105</v>
      </c>
      <c r="T340" s="3" t="str">
        <f>IFERROR(MID(VLOOKUP($B340,Seqs!$A:$B,2,0),U340,1),"")</f>
        <v>G</v>
      </c>
      <c r="U340" s="3">
        <v>106</v>
      </c>
      <c r="V340" s="3" t="str">
        <f>IFERROR(MID(VLOOKUP($B340,Seqs!$A:$B,2,0),W340,1),"")</f>
        <v>K</v>
      </c>
      <c r="W340" s="3">
        <v>141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G</v>
      </c>
      <c r="AC340" s="3">
        <v>149</v>
      </c>
      <c r="AD340" s="3" t="str">
        <f>IFERROR(MID(VLOOKUP($B340,Seqs!$A:$B,2,0),AE340,1),"")</f>
        <v>V</v>
      </c>
      <c r="AE340" s="3">
        <v>173</v>
      </c>
      <c r="AF340" s="3" t="str">
        <f>IFERROR(MID(VLOOKUP($B340,Seqs!$A:$B,2,0),AG340,1),"")</f>
        <v>C</v>
      </c>
      <c r="AG340" s="3">
        <v>187</v>
      </c>
      <c r="AH340" s="3" t="str">
        <f>IFERROR(MID(VLOOKUP($B340,Seqs!$A:$B,2,0),AI340,1),"")</f>
        <v>I</v>
      </c>
      <c r="AI340" s="3">
        <v>189</v>
      </c>
      <c r="AJ340" s="3" t="str">
        <f>IFERROR(MID(VLOOKUP($B340,Seqs!$A:$B,2,0),AK340,1),"")</f>
        <v>N</v>
      </c>
      <c r="AK340" s="3">
        <v>199</v>
      </c>
      <c r="AL340" s="3" t="str">
        <f>IFERROR(MID(VLOOKUP($B340,Seqs!$A:$B,2,0),AM340,1),"")</f>
        <v>Q</v>
      </c>
      <c r="AM340" s="3">
        <v>237</v>
      </c>
      <c r="AN340" s="3" t="str">
        <f>IFERROR(MID(VLOOKUP($B340,Seqs!$A:$B,2,0),AO340,1),"")</f>
        <v>S</v>
      </c>
      <c r="AO340" s="3">
        <v>240</v>
      </c>
      <c r="AP340" s="3" t="str">
        <f>IFERROR(MID(VLOOKUP($B340,Seqs!$A:$B,2,0),AQ340,1),"")</f>
        <v>H</v>
      </c>
      <c r="AQ340" s="3">
        <v>278</v>
      </c>
      <c r="AR340" s="3" t="str">
        <f>IFERROR(MID(VLOOKUP($B340,Seqs!$A:$B,2,0),AS340,1),"")</f>
        <v>G</v>
      </c>
      <c r="AS340" s="3">
        <v>284</v>
      </c>
      <c r="AT340" s="3" t="str">
        <f>IFERROR(MID(VLOOKUP($B340,Seqs!$A:$B,2,0),AU340,1),"")</f>
        <v>M</v>
      </c>
      <c r="AU340" s="3">
        <v>309</v>
      </c>
      <c r="AV340" s="3" t="str">
        <f>IFERROR(MID(VLOOKUP($B340,Seqs!$A:$B,2,0),AW340,1),"")</f>
        <v>N</v>
      </c>
      <c r="AW340" s="3">
        <v>310</v>
      </c>
      <c r="AX340" s="3" t="str">
        <f>IFERROR(MID(VLOOKUP($B340,Seqs!$A:$B,2,0),AY340,1),"")</f>
        <v>C</v>
      </c>
      <c r="AY340" s="3">
        <v>323</v>
      </c>
      <c r="AZ340" s="77" t="str">
        <f>VLOOKUP(B340,Classification!A:D,2,0)</f>
        <v>A</v>
      </c>
      <c r="BA340" s="94" t="str">
        <f>VLOOKUP(B340,Classification!A:D,4,0)</f>
        <v>Opsins</v>
      </c>
      <c r="BB340" s="27" t="b">
        <f t="shared" ref="BB340" si="2992"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23">
        <f t="shared" ref="BC340" si="2993">_xlfn.AGGREGATE(9,6,CH340:CS340)-_xlfn.AGGREGATE(9,6,BV340:CG340)+12</f>
        <v>256</v>
      </c>
      <c r="BD340" s="2" t="s">
        <v>23</v>
      </c>
      <c r="BE340" s="3" t="s">
        <v>1287</v>
      </c>
      <c r="BF340" s="118">
        <v>2.71</v>
      </c>
      <c r="BG340" s="49" t="s">
        <v>1</v>
      </c>
      <c r="BH340" s="49" t="s">
        <v>1</v>
      </c>
      <c r="BI340" s="1"/>
      <c r="BJ340" s="70" t="s">
        <v>1283</v>
      </c>
      <c r="BK340" s="57" t="s">
        <v>1283</v>
      </c>
      <c r="BL340" s="57" t="s">
        <v>1283</v>
      </c>
      <c r="BM340" s="57" t="s">
        <v>1283</v>
      </c>
      <c r="BN340" s="57" t="s">
        <v>1283</v>
      </c>
      <c r="BO340" s="57" t="s">
        <v>1283</v>
      </c>
      <c r="BP340" s="57" t="s">
        <v>1283</v>
      </c>
      <c r="BQ340" s="57" t="s">
        <v>1283</v>
      </c>
      <c r="BR340" s="57" t="s">
        <v>1283</v>
      </c>
      <c r="BS340" s="57" t="s">
        <v>1283</v>
      </c>
      <c r="BT340" s="57" t="s">
        <v>1283</v>
      </c>
      <c r="BU340" s="57" t="s">
        <v>1283</v>
      </c>
      <c r="BV340" s="70">
        <f t="shared" ref="BV340" si="2994">E340</f>
        <v>33</v>
      </c>
      <c r="BW340" s="71">
        <f t="shared" ref="BW340" si="2995">I340</f>
        <v>66</v>
      </c>
      <c r="BX340" s="72">
        <f t="shared" ref="BX340" si="2996">M340</f>
        <v>70</v>
      </c>
      <c r="BY340" s="71">
        <f t="shared" ref="BY340" si="2997">Q340</f>
        <v>102</v>
      </c>
      <c r="BZ340" s="72">
        <f t="shared" ref="BZ340" si="2998">U340</f>
        <v>106</v>
      </c>
      <c r="CA340" s="71" t="str">
        <f t="shared" ref="CA340" si="2999">Y340</f>
        <v>-</v>
      </c>
      <c r="CB340" s="72">
        <f t="shared" ref="CB340" si="3000">AC340</f>
        <v>149</v>
      </c>
      <c r="CC340" s="71">
        <f t="shared" ref="CC340" si="3001">AG340</f>
        <v>187</v>
      </c>
      <c r="CD340" s="72">
        <f t="shared" ref="CD340" si="3002">AK340</f>
        <v>199</v>
      </c>
      <c r="CE340" s="71">
        <f t="shared" ref="CE340" si="3003">AO340</f>
        <v>240</v>
      </c>
      <c r="CF340" s="72">
        <f t="shared" ref="CF340" si="3004">AS340</f>
        <v>284</v>
      </c>
      <c r="CG340" s="71">
        <f t="shared" ref="CG340" si="3005">AW340</f>
        <v>310</v>
      </c>
      <c r="CH340" s="70">
        <f t="shared" ref="CH340" si="3006">G340</f>
        <v>65</v>
      </c>
      <c r="CI340" s="71">
        <f t="shared" ref="CI340" si="3007">K340</f>
        <v>69</v>
      </c>
      <c r="CJ340" s="72">
        <f t="shared" ref="CJ340" si="3008">O340</f>
        <v>101</v>
      </c>
      <c r="CK340" s="72">
        <f t="shared" ref="CK340" si="3009">S340</f>
        <v>105</v>
      </c>
      <c r="CL340" s="72">
        <f t="shared" ref="CL340" si="3010">W340</f>
        <v>141</v>
      </c>
      <c r="CM340" s="72" t="str">
        <f t="shared" ref="CM340" si="3011">AA340</f>
        <v>-</v>
      </c>
      <c r="CN340" s="72">
        <f t="shared" ref="CN340" si="3012">AE340</f>
        <v>173</v>
      </c>
      <c r="CO340" s="72">
        <f t="shared" ref="CO340" si="3013">AI340</f>
        <v>189</v>
      </c>
      <c r="CP340" s="72">
        <f t="shared" ref="CP340" si="3014">AM340</f>
        <v>237</v>
      </c>
      <c r="CQ340" s="72">
        <f t="shared" ref="CQ340" si="3015">AQ340</f>
        <v>278</v>
      </c>
      <c r="CR340" s="72">
        <f t="shared" ref="CR340" si="3016">AU340</f>
        <v>309</v>
      </c>
      <c r="CS340" s="72">
        <f t="shared" ref="CS340" si="3017">AY340</f>
        <v>323</v>
      </c>
      <c r="CT340" s="23">
        <f t="shared" ref="CT340" si="3018">M340-K340</f>
        <v>1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30" s="12" customFormat="1" x14ac:dyDescent="0.2">
      <c r="A341" s="9" t="str">
        <f t="shared" ref="A341" si="3019">CONCATENATE(B341,"_",C341)</f>
        <v>opsd_bovin_6PEL</v>
      </c>
      <c r="B341" s="9" t="s">
        <v>915</v>
      </c>
      <c r="C341" s="9" t="s">
        <v>1687</v>
      </c>
      <c r="D341" s="9" t="str">
        <f>IFERROR(MID(VLOOKUP($B341,Seqs!$A:$B,2,0),E341,1),"")</f>
        <v>E</v>
      </c>
      <c r="E341" s="9">
        <v>33</v>
      </c>
      <c r="F341" s="9" t="str">
        <f>IFERROR(MID(VLOOKUP($B341,Seqs!$A:$B,2,0),G341,1),"")</f>
        <v>H</v>
      </c>
      <c r="G341" s="9">
        <v>65</v>
      </c>
      <c r="H341" s="9" t="str">
        <f>IFERROR(MID(VLOOKUP($B341,Seqs!$A:$B,2,0),I341,1),"")</f>
        <v>K</v>
      </c>
      <c r="I341" s="109">
        <v>66</v>
      </c>
      <c r="J341" s="9" t="str">
        <f>IFERROR(MID(VLOOKUP($B341,Seqs!$A:$B,2,0),K341,1),"")</f>
        <v>R</v>
      </c>
      <c r="K341" s="109">
        <v>69</v>
      </c>
      <c r="L341" s="9" t="str">
        <f>IFERROR(MID(VLOOKUP($B341,Seqs!$A:$B,2,0),M341,1),"")</f>
        <v>N</v>
      </c>
      <c r="M341" s="9">
        <v>73</v>
      </c>
      <c r="N341" s="9" t="str">
        <f>IFERROR(MID(VLOOKUP($B341,Seqs!$A:$B,2,0),O341,1),"")</f>
        <v>G</v>
      </c>
      <c r="O341" s="9">
        <v>101</v>
      </c>
      <c r="P341" s="9" t="str">
        <f>IFERROR(MID(VLOOKUP($B341,Seqs!$A:$B,2,0),Q341,1),"")</f>
        <v>Y</v>
      </c>
      <c r="Q341" s="9">
        <v>102</v>
      </c>
      <c r="R341" s="9" t="str">
        <f>IFERROR(MID(VLOOKUP($B341,Seqs!$A:$B,2,0),S341,1),"")</f>
        <v>F</v>
      </c>
      <c r="S341" s="9">
        <v>105</v>
      </c>
      <c r="T341" s="9" t="str">
        <f>IFERROR(MID(VLOOKUP($B341,Seqs!$A:$B,2,0),U341,1),"")</f>
        <v>G</v>
      </c>
      <c r="U341" s="9">
        <v>106</v>
      </c>
      <c r="V341" s="9" t="str">
        <f>IFERROR(MID(VLOOKUP($B341,Seqs!$A:$B,2,0),W341,1),"")</f>
        <v>K</v>
      </c>
      <c r="W341" s="9">
        <v>141</v>
      </c>
      <c r="X341" s="9" t="str">
        <f>IFERROR(MID(VLOOKUP($B341,Seqs!$A:$B,2,0),Y341,1),"")</f>
        <v/>
      </c>
      <c r="Y341" s="9" t="s">
        <v>23</v>
      </c>
      <c r="Z341" s="9" t="str">
        <f>IFERROR(MID(VLOOKUP($B341,Seqs!$A:$B,2,0),AA341,1),"")</f>
        <v/>
      </c>
      <c r="AA341" s="9" t="s">
        <v>23</v>
      </c>
      <c r="AB341" s="9" t="str">
        <f>IFERROR(MID(VLOOKUP($B341,Seqs!$A:$B,2,0),AC341,1),"")</f>
        <v>G</v>
      </c>
      <c r="AC341" s="9">
        <v>149</v>
      </c>
      <c r="AD341" s="9" t="str">
        <f>IFERROR(MID(VLOOKUP($B341,Seqs!$A:$B,2,0),AE341,1),"")</f>
        <v>G</v>
      </c>
      <c r="AE341" s="9">
        <v>174</v>
      </c>
      <c r="AF341" s="9" t="str">
        <f>IFERROR(MID(VLOOKUP($B341,Seqs!$A:$B,2,0),AG341,1),"")</f>
        <v>C</v>
      </c>
      <c r="AG341" s="9">
        <v>187</v>
      </c>
      <c r="AH341" s="9" t="str">
        <f>IFERROR(MID(VLOOKUP($B341,Seqs!$A:$B,2,0),AI341,1),"")</f>
        <v>I</v>
      </c>
      <c r="AI341" s="9">
        <v>189</v>
      </c>
      <c r="AJ341" s="9" t="str">
        <f>IFERROR(MID(VLOOKUP($B341,Seqs!$A:$B,2,0),AK341,1),"")</f>
        <v>N</v>
      </c>
      <c r="AK341" s="9">
        <v>199</v>
      </c>
      <c r="AL341" s="9" t="str">
        <f>IFERROR(MID(VLOOKUP($B341,Seqs!$A:$B,2,0),AM341,1),"")</f>
        <v>Q</v>
      </c>
      <c r="AM341" s="9">
        <v>237</v>
      </c>
      <c r="AN341" s="9" t="str">
        <f>IFERROR(MID(VLOOKUP($B341,Seqs!$A:$B,2,0),AO341,1),"")</f>
        <v>S</v>
      </c>
      <c r="AO341" s="9">
        <v>240</v>
      </c>
      <c r="AP341" s="9" t="str">
        <f>IFERROR(MID(VLOOKUP($B341,Seqs!$A:$B,2,0),AQ341,1),"")</f>
        <v>H</v>
      </c>
      <c r="AQ341" s="9">
        <v>278</v>
      </c>
      <c r="AR341" s="9" t="str">
        <f>IFERROR(MID(VLOOKUP($B341,Seqs!$A:$B,2,0),AS341,1),"")</f>
        <v>G</v>
      </c>
      <c r="AS341" s="9">
        <v>284</v>
      </c>
      <c r="AT341" s="9" t="str">
        <f>IFERROR(MID(VLOOKUP($B341,Seqs!$A:$B,2,0),AU341,1),"")</f>
        <v>M</v>
      </c>
      <c r="AU341" s="9">
        <v>309</v>
      </c>
      <c r="AV341" s="9" t="str">
        <f>IFERROR(MID(VLOOKUP($B341,Seqs!$A:$B,2,0),AW341,1),"")</f>
        <v>N</v>
      </c>
      <c r="AW341" s="9">
        <v>310</v>
      </c>
      <c r="AX341" s="9" t="str">
        <f>IFERROR(MID(VLOOKUP($B341,Seqs!$A:$B,2,0),AY341,1),"")</f>
        <v>C</v>
      </c>
      <c r="AY341" s="9">
        <v>322</v>
      </c>
      <c r="AZ341" s="110" t="str">
        <f>VLOOKUP(B341,Classification!A:D,2,0)</f>
        <v>A</v>
      </c>
      <c r="BA341" s="98" t="str">
        <f>VLOOKUP(B341,Classification!A:D,4,0)</f>
        <v>Opsins</v>
      </c>
      <c r="BB341" s="36" t="b">
        <f t="shared" ref="BB341" si="3020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109">
        <f t="shared" ref="BC341" si="3021">_xlfn.AGGREGATE(9,6,CH341:CS341)-_xlfn.AGGREGATE(9,6,BV341:CG341)+12</f>
        <v>253</v>
      </c>
      <c r="BD341" s="40" t="s">
        <v>23</v>
      </c>
      <c r="BE341" s="9" t="s">
        <v>1287</v>
      </c>
      <c r="BF341" s="119">
        <v>3.19</v>
      </c>
      <c r="BG341" s="51" t="s">
        <v>1</v>
      </c>
      <c r="BH341" s="51" t="s">
        <v>1</v>
      </c>
      <c r="BJ341" s="111" t="s">
        <v>1283</v>
      </c>
      <c r="BK341" s="112" t="s">
        <v>1283</v>
      </c>
      <c r="BL341" s="112" t="s">
        <v>1283</v>
      </c>
      <c r="BM341" s="112" t="s">
        <v>1283</v>
      </c>
      <c r="BN341" s="112" t="s">
        <v>1283</v>
      </c>
      <c r="BO341" s="112" t="s">
        <v>1283</v>
      </c>
      <c r="BP341" s="112" t="s">
        <v>1283</v>
      </c>
      <c r="BQ341" s="112" t="s">
        <v>1283</v>
      </c>
      <c r="BR341" s="112" t="s">
        <v>1283</v>
      </c>
      <c r="BS341" s="112" t="s">
        <v>1283</v>
      </c>
      <c r="BT341" s="112" t="s">
        <v>1283</v>
      </c>
      <c r="BU341" s="112" t="s">
        <v>1283</v>
      </c>
      <c r="BV341" s="111">
        <f t="shared" ref="BV341" si="3022">E341</f>
        <v>33</v>
      </c>
      <c r="BW341" s="113">
        <f t="shared" ref="BW341" si="3023">I341</f>
        <v>66</v>
      </c>
      <c r="BX341" s="114">
        <f t="shared" ref="BX341" si="3024">M341</f>
        <v>73</v>
      </c>
      <c r="BY341" s="113">
        <f t="shared" ref="BY341" si="3025">Q341</f>
        <v>102</v>
      </c>
      <c r="BZ341" s="114">
        <f t="shared" ref="BZ341" si="3026">U341</f>
        <v>106</v>
      </c>
      <c r="CA341" s="113" t="str">
        <f t="shared" ref="CA341" si="3027">Y341</f>
        <v>-</v>
      </c>
      <c r="CB341" s="114">
        <f t="shared" ref="CB341" si="3028">AC341</f>
        <v>149</v>
      </c>
      <c r="CC341" s="113">
        <f t="shared" ref="CC341" si="3029">AG341</f>
        <v>187</v>
      </c>
      <c r="CD341" s="114">
        <f t="shared" ref="CD341" si="3030">AK341</f>
        <v>199</v>
      </c>
      <c r="CE341" s="113">
        <f t="shared" ref="CE341" si="3031">AO341</f>
        <v>240</v>
      </c>
      <c r="CF341" s="114">
        <f t="shared" ref="CF341" si="3032">AS341</f>
        <v>284</v>
      </c>
      <c r="CG341" s="113">
        <f t="shared" ref="CG341" si="3033">AW341</f>
        <v>310</v>
      </c>
      <c r="CH341" s="111">
        <f t="shared" ref="CH341" si="3034">G341</f>
        <v>65</v>
      </c>
      <c r="CI341" s="113">
        <f t="shared" ref="CI341" si="3035">K341</f>
        <v>69</v>
      </c>
      <c r="CJ341" s="114">
        <f t="shared" ref="CJ341" si="3036">O341</f>
        <v>101</v>
      </c>
      <c r="CK341" s="114">
        <f t="shared" ref="CK341" si="3037">S341</f>
        <v>105</v>
      </c>
      <c r="CL341" s="114">
        <f t="shared" ref="CL341" si="3038">W341</f>
        <v>141</v>
      </c>
      <c r="CM341" s="114" t="str">
        <f t="shared" ref="CM341" si="3039">AA341</f>
        <v>-</v>
      </c>
      <c r="CN341" s="114">
        <f t="shared" ref="CN341" si="3040">AE341</f>
        <v>174</v>
      </c>
      <c r="CO341" s="114">
        <f t="shared" ref="CO341" si="3041">AI341</f>
        <v>189</v>
      </c>
      <c r="CP341" s="114">
        <f t="shared" ref="CP341" si="3042">AM341</f>
        <v>237</v>
      </c>
      <c r="CQ341" s="114">
        <f t="shared" ref="CQ341" si="3043">AQ341</f>
        <v>278</v>
      </c>
      <c r="CR341" s="114">
        <f t="shared" ref="CR341" si="3044">AU341</f>
        <v>309</v>
      </c>
      <c r="CS341" s="114">
        <f t="shared" ref="CS341" si="3045">AY341</f>
        <v>322</v>
      </c>
      <c r="CT341" s="109">
        <f t="shared" ref="CT341" si="3046">M341-K341</f>
        <v>4</v>
      </c>
    </row>
    <row r="342" spans="1:1030" s="12" customFormat="1" x14ac:dyDescent="0.2">
      <c r="A342" s="9" t="str">
        <f t="shared" ref="A342" si="3047">CONCATENATE(B342,"_",C342)</f>
        <v>opsd_bovin_6PGS</v>
      </c>
      <c r="B342" s="9" t="s">
        <v>915</v>
      </c>
      <c r="C342" s="9" t="s">
        <v>1688</v>
      </c>
      <c r="D342" s="9" t="str">
        <f>IFERROR(MID(VLOOKUP($B342,Seqs!$A:$B,2,0),E342,1),"")</f>
        <v>E</v>
      </c>
      <c r="E342" s="9">
        <v>33</v>
      </c>
      <c r="F342" s="9" t="str">
        <f>IFERROR(MID(VLOOKUP($B342,Seqs!$A:$B,2,0),G342,1),"")</f>
        <v>Q</v>
      </c>
      <c r="G342" s="9">
        <v>64</v>
      </c>
      <c r="H342" s="9" t="str">
        <f>IFERROR(MID(VLOOKUP($B342,Seqs!$A:$B,2,0),I342,1),"")</f>
        <v>K</v>
      </c>
      <c r="I342" s="109">
        <v>66</v>
      </c>
      <c r="J342" s="9" t="str">
        <f>IFERROR(MID(VLOOKUP($B342,Seqs!$A:$B,2,0),K342,1),"")</f>
        <v>R</v>
      </c>
      <c r="K342" s="109">
        <v>69</v>
      </c>
      <c r="L342" s="9" t="str">
        <f>IFERROR(MID(VLOOKUP($B342,Seqs!$A:$B,2,0),M342,1),"")</f>
        <v>N</v>
      </c>
      <c r="M342" s="9">
        <v>73</v>
      </c>
      <c r="N342" s="9" t="str">
        <f>IFERROR(MID(VLOOKUP($B342,Seqs!$A:$B,2,0),O342,1),"")</f>
        <v>G</v>
      </c>
      <c r="O342" s="9">
        <v>101</v>
      </c>
      <c r="P342" s="9" t="str">
        <f>IFERROR(MID(VLOOKUP($B342,Seqs!$A:$B,2,0),Q342,1),"")</f>
        <v>Y</v>
      </c>
      <c r="Q342" s="9">
        <v>102</v>
      </c>
      <c r="R342" s="9" t="str">
        <f>IFERROR(MID(VLOOKUP($B342,Seqs!$A:$B,2,0),S342,1),"")</f>
        <v>F</v>
      </c>
      <c r="S342" s="9">
        <v>105</v>
      </c>
      <c r="T342" s="9" t="str">
        <f>IFERROR(MID(VLOOKUP($B342,Seqs!$A:$B,2,0),U342,1),"")</f>
        <v>G</v>
      </c>
      <c r="U342" s="9">
        <v>106</v>
      </c>
      <c r="V342" s="9" t="str">
        <f>IFERROR(MID(VLOOKUP($B342,Seqs!$A:$B,2,0),W342,1),"")</f>
        <v>K</v>
      </c>
      <c r="W342" s="9">
        <v>141</v>
      </c>
      <c r="X342" s="9" t="str">
        <f>IFERROR(MID(VLOOKUP($B342,Seqs!$A:$B,2,0),Y342,1),"")</f>
        <v/>
      </c>
      <c r="Y342" s="9" t="s">
        <v>23</v>
      </c>
      <c r="Z342" s="9" t="str">
        <f>IFERROR(MID(VLOOKUP($B342,Seqs!$A:$B,2,0),AA342,1),"")</f>
        <v/>
      </c>
      <c r="AA342" s="9" t="s">
        <v>23</v>
      </c>
      <c r="AB342" s="9" t="str">
        <f>IFERROR(MID(VLOOKUP($B342,Seqs!$A:$B,2,0),AC342,1),"")</f>
        <v>G</v>
      </c>
      <c r="AC342" s="9">
        <v>149</v>
      </c>
      <c r="AD342" s="9" t="str">
        <f>IFERROR(MID(VLOOKUP($B342,Seqs!$A:$B,2,0),AE342,1),"")</f>
        <v>G</v>
      </c>
      <c r="AE342" s="9">
        <v>174</v>
      </c>
      <c r="AF342" s="9" t="str">
        <f>IFERROR(MID(VLOOKUP($B342,Seqs!$A:$B,2,0),AG342,1),"")</f>
        <v>C</v>
      </c>
      <c r="AG342" s="9">
        <v>187</v>
      </c>
      <c r="AH342" s="9" t="str">
        <f>IFERROR(MID(VLOOKUP($B342,Seqs!$A:$B,2,0),AI342,1),"")</f>
        <v>I</v>
      </c>
      <c r="AI342" s="9">
        <v>189</v>
      </c>
      <c r="AJ342" s="9" t="str">
        <f>IFERROR(MID(VLOOKUP($B342,Seqs!$A:$B,2,0),AK342,1),"")</f>
        <v>N</v>
      </c>
      <c r="AK342" s="9">
        <v>199</v>
      </c>
      <c r="AL342" s="9" t="str">
        <f>IFERROR(MID(VLOOKUP($B342,Seqs!$A:$B,2,0),AM342,1),"")</f>
        <v>Q</v>
      </c>
      <c r="AM342" s="9">
        <v>237</v>
      </c>
      <c r="AN342" s="9" t="str">
        <f>IFERROR(MID(VLOOKUP($B342,Seqs!$A:$B,2,0),AO342,1),"")</f>
        <v>S</v>
      </c>
      <c r="AO342" s="9">
        <v>240</v>
      </c>
      <c r="AP342" s="9" t="str">
        <f>IFERROR(MID(VLOOKUP($B342,Seqs!$A:$B,2,0),AQ342,1),"")</f>
        <v>H</v>
      </c>
      <c r="AQ342" s="9">
        <v>278</v>
      </c>
      <c r="AR342" s="9" t="str">
        <f>IFERROR(MID(VLOOKUP($B342,Seqs!$A:$B,2,0),AS342,1),"")</f>
        <v>G</v>
      </c>
      <c r="AS342" s="9">
        <v>284</v>
      </c>
      <c r="AT342" s="9" t="str">
        <f>IFERROR(MID(VLOOKUP($B342,Seqs!$A:$B,2,0),AU342,1),"")</f>
        <v>M</v>
      </c>
      <c r="AU342" s="9">
        <v>309</v>
      </c>
      <c r="AV342" s="9" t="str">
        <f>IFERROR(MID(VLOOKUP($B342,Seqs!$A:$B,2,0),AW342,1),"")</f>
        <v>N</v>
      </c>
      <c r="AW342" s="9">
        <v>310</v>
      </c>
      <c r="AX342" s="9" t="str">
        <f>IFERROR(MID(VLOOKUP($B342,Seqs!$A:$B,2,0),AY342,1),"")</f>
        <v>C</v>
      </c>
      <c r="AY342" s="9">
        <v>322</v>
      </c>
      <c r="AZ342" s="110" t="str">
        <f>VLOOKUP(B342,Classification!A:D,2,0)</f>
        <v>A</v>
      </c>
      <c r="BA342" s="98" t="str">
        <f>VLOOKUP(B342,Classification!A:D,4,0)</f>
        <v>Opsins</v>
      </c>
      <c r="BB342" s="36" t="b">
        <f t="shared" ref="BB342" si="3048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109">
        <f t="shared" ref="BC342" si="3049">_xlfn.AGGREGATE(9,6,CH342:CS342)-_xlfn.AGGREGATE(9,6,BV342:CG342)+12</f>
        <v>252</v>
      </c>
      <c r="BD342" s="40" t="s">
        <v>23</v>
      </c>
      <c r="BE342" s="9" t="s">
        <v>1287</v>
      </c>
      <c r="BF342" s="119">
        <v>2.9</v>
      </c>
      <c r="BG342" s="51" t="s">
        <v>1</v>
      </c>
      <c r="BH342" s="51" t="s">
        <v>1</v>
      </c>
      <c r="BJ342" s="111" t="s">
        <v>1283</v>
      </c>
      <c r="BK342" s="112" t="s">
        <v>1283</v>
      </c>
      <c r="BL342" s="112" t="s">
        <v>1283</v>
      </c>
      <c r="BM342" s="112" t="s">
        <v>1283</v>
      </c>
      <c r="BN342" s="112" t="s">
        <v>1283</v>
      </c>
      <c r="BO342" s="112" t="s">
        <v>1283</v>
      </c>
      <c r="BP342" s="112" t="s">
        <v>1283</v>
      </c>
      <c r="BQ342" s="112" t="s">
        <v>1283</v>
      </c>
      <c r="BR342" s="112" t="s">
        <v>1283</v>
      </c>
      <c r="BS342" s="112" t="s">
        <v>1283</v>
      </c>
      <c r="BT342" s="112" t="s">
        <v>1283</v>
      </c>
      <c r="BU342" s="112" t="s">
        <v>1283</v>
      </c>
      <c r="BV342" s="111">
        <f t="shared" ref="BV342" si="3050">E342</f>
        <v>33</v>
      </c>
      <c r="BW342" s="113">
        <f t="shared" ref="BW342" si="3051">I342</f>
        <v>66</v>
      </c>
      <c r="BX342" s="114">
        <f t="shared" ref="BX342" si="3052">M342</f>
        <v>73</v>
      </c>
      <c r="BY342" s="113">
        <f t="shared" ref="BY342" si="3053">Q342</f>
        <v>102</v>
      </c>
      <c r="BZ342" s="114">
        <f t="shared" ref="BZ342" si="3054">U342</f>
        <v>106</v>
      </c>
      <c r="CA342" s="113" t="str">
        <f t="shared" ref="CA342" si="3055">Y342</f>
        <v>-</v>
      </c>
      <c r="CB342" s="114">
        <f t="shared" ref="CB342" si="3056">AC342</f>
        <v>149</v>
      </c>
      <c r="CC342" s="113">
        <f t="shared" ref="CC342" si="3057">AG342</f>
        <v>187</v>
      </c>
      <c r="CD342" s="114">
        <f t="shared" ref="CD342" si="3058">AK342</f>
        <v>199</v>
      </c>
      <c r="CE342" s="113">
        <f t="shared" ref="CE342" si="3059">AO342</f>
        <v>240</v>
      </c>
      <c r="CF342" s="114">
        <f t="shared" ref="CF342" si="3060">AS342</f>
        <v>284</v>
      </c>
      <c r="CG342" s="113">
        <f t="shared" ref="CG342" si="3061">AW342</f>
        <v>310</v>
      </c>
      <c r="CH342" s="111">
        <f t="shared" ref="CH342" si="3062">G342</f>
        <v>64</v>
      </c>
      <c r="CI342" s="113">
        <f t="shared" ref="CI342" si="3063">K342</f>
        <v>69</v>
      </c>
      <c r="CJ342" s="114">
        <f t="shared" ref="CJ342" si="3064">O342</f>
        <v>101</v>
      </c>
      <c r="CK342" s="114">
        <f t="shared" ref="CK342" si="3065">S342</f>
        <v>105</v>
      </c>
      <c r="CL342" s="114">
        <f t="shared" ref="CL342" si="3066">W342</f>
        <v>141</v>
      </c>
      <c r="CM342" s="114" t="str">
        <f t="shared" ref="CM342" si="3067">AA342</f>
        <v>-</v>
      </c>
      <c r="CN342" s="114">
        <f t="shared" ref="CN342" si="3068">AE342</f>
        <v>174</v>
      </c>
      <c r="CO342" s="114">
        <f t="shared" ref="CO342" si="3069">AI342</f>
        <v>189</v>
      </c>
      <c r="CP342" s="114">
        <f t="shared" ref="CP342" si="3070">AM342</f>
        <v>237</v>
      </c>
      <c r="CQ342" s="114">
        <f t="shared" ref="CQ342" si="3071">AQ342</f>
        <v>278</v>
      </c>
      <c r="CR342" s="114">
        <f t="shared" ref="CR342" si="3072">AU342</f>
        <v>309</v>
      </c>
      <c r="CS342" s="114">
        <f t="shared" ref="CS342" si="3073">AY342</f>
        <v>322</v>
      </c>
      <c r="CT342" s="109">
        <f t="shared" ref="CT342" si="3074">M342-K342</f>
        <v>4</v>
      </c>
    </row>
    <row r="343" spans="1:1030" s="12" customFormat="1" x14ac:dyDescent="0.2">
      <c r="A343" s="9" t="str">
        <f t="shared" ref="A343" si="3075">CONCATENATE(B343,"_",C343)</f>
        <v>opsd_bovin_6PH7</v>
      </c>
      <c r="B343" s="9" t="s">
        <v>915</v>
      </c>
      <c r="C343" s="9" t="s">
        <v>1689</v>
      </c>
      <c r="D343" s="9" t="str">
        <f>IFERROR(MID(VLOOKUP($B343,Seqs!$A:$B,2,0),E343,1),"")</f>
        <v>E</v>
      </c>
      <c r="E343" s="9">
        <v>33</v>
      </c>
      <c r="F343" s="9" t="str">
        <f>IFERROR(MID(VLOOKUP($B343,Seqs!$A:$B,2,0),G343,1),"")</f>
        <v>H</v>
      </c>
      <c r="G343" s="9">
        <v>65</v>
      </c>
      <c r="H343" s="9" t="str">
        <f>IFERROR(MID(VLOOKUP($B343,Seqs!$A:$B,2,0),I343,1),"")</f>
        <v>K</v>
      </c>
      <c r="I343" s="109">
        <v>66</v>
      </c>
      <c r="J343" s="9" t="str">
        <f>IFERROR(MID(VLOOKUP($B343,Seqs!$A:$B,2,0),K343,1),"")</f>
        <v>R</v>
      </c>
      <c r="K343" s="109">
        <v>69</v>
      </c>
      <c r="L343" s="9" t="str">
        <f>IFERROR(MID(VLOOKUP($B343,Seqs!$A:$B,2,0),M343,1),"")</f>
        <v>N</v>
      </c>
      <c r="M343" s="9">
        <v>73</v>
      </c>
      <c r="N343" s="9" t="str">
        <f>IFERROR(MID(VLOOKUP($B343,Seqs!$A:$B,2,0),O343,1),"")</f>
        <v>G</v>
      </c>
      <c r="O343" s="9">
        <v>101</v>
      </c>
      <c r="P343" s="9" t="str">
        <f>IFERROR(MID(VLOOKUP($B343,Seqs!$A:$B,2,0),Q343,1),"")</f>
        <v>Y</v>
      </c>
      <c r="Q343" s="9">
        <v>102</v>
      </c>
      <c r="R343" s="9" t="str">
        <f>IFERROR(MID(VLOOKUP($B343,Seqs!$A:$B,2,0),S343,1),"")</f>
        <v>F</v>
      </c>
      <c r="S343" s="9">
        <v>105</v>
      </c>
      <c r="T343" s="9" t="str">
        <f>IFERROR(MID(VLOOKUP($B343,Seqs!$A:$B,2,0),U343,1),"")</f>
        <v>G</v>
      </c>
      <c r="U343" s="9">
        <v>106</v>
      </c>
      <c r="V343" s="9" t="str">
        <f>IFERROR(MID(VLOOKUP($B343,Seqs!$A:$B,2,0),W343,1),"")</f>
        <v>K</v>
      </c>
      <c r="W343" s="9">
        <v>141</v>
      </c>
      <c r="X343" s="9" t="str">
        <f>IFERROR(MID(VLOOKUP($B343,Seqs!$A:$B,2,0),Y343,1),"")</f>
        <v/>
      </c>
      <c r="Y343" s="9" t="s">
        <v>23</v>
      </c>
      <c r="Z343" s="9" t="str">
        <f>IFERROR(MID(VLOOKUP($B343,Seqs!$A:$B,2,0),AA343,1),"")</f>
        <v/>
      </c>
      <c r="AA343" s="9" t="s">
        <v>23</v>
      </c>
      <c r="AB343" s="9" t="str">
        <f>IFERROR(MID(VLOOKUP($B343,Seqs!$A:$B,2,0),AC343,1),"")</f>
        <v>G</v>
      </c>
      <c r="AC343" s="9">
        <v>149</v>
      </c>
      <c r="AD343" s="9" t="str">
        <f>IFERROR(MID(VLOOKUP($B343,Seqs!$A:$B,2,0),AE343,1),"")</f>
        <v>V</v>
      </c>
      <c r="AE343" s="9">
        <v>173</v>
      </c>
      <c r="AF343" s="9" t="str">
        <f>IFERROR(MID(VLOOKUP($B343,Seqs!$A:$B,2,0),AG343,1),"")</f>
        <v>C</v>
      </c>
      <c r="AG343" s="9">
        <v>187</v>
      </c>
      <c r="AH343" s="9" t="str">
        <f>IFERROR(MID(VLOOKUP($B343,Seqs!$A:$B,2,0),AI343,1),"")</f>
        <v>I</v>
      </c>
      <c r="AI343" s="9">
        <v>189</v>
      </c>
      <c r="AJ343" s="9" t="str">
        <f>IFERROR(MID(VLOOKUP($B343,Seqs!$A:$B,2,0),AK343,1),"")</f>
        <v>N</v>
      </c>
      <c r="AK343" s="9">
        <v>199</v>
      </c>
      <c r="AL343" s="9" t="str">
        <f>IFERROR(MID(VLOOKUP($B343,Seqs!$A:$B,2,0),AM343,1),"")</f>
        <v>Q</v>
      </c>
      <c r="AM343" s="9">
        <v>237</v>
      </c>
      <c r="AN343" s="9" t="str">
        <f>IFERROR(MID(VLOOKUP($B343,Seqs!$A:$B,2,0),AO343,1),"")</f>
        <v>S</v>
      </c>
      <c r="AO343" s="9">
        <v>240</v>
      </c>
      <c r="AP343" s="9" t="str">
        <f>IFERROR(MID(VLOOKUP($B343,Seqs!$A:$B,2,0),AQ343,1),"")</f>
        <v>H</v>
      </c>
      <c r="AQ343" s="9">
        <v>278</v>
      </c>
      <c r="AR343" s="9" t="str">
        <f>IFERROR(MID(VLOOKUP($B343,Seqs!$A:$B,2,0),AS343,1),"")</f>
        <v>G</v>
      </c>
      <c r="AS343" s="9">
        <v>284</v>
      </c>
      <c r="AT343" s="9" t="str">
        <f>IFERROR(MID(VLOOKUP($B343,Seqs!$A:$B,2,0),AU343,1),"")</f>
        <v>M</v>
      </c>
      <c r="AU343" s="9">
        <v>309</v>
      </c>
      <c r="AV343" s="9" t="str">
        <f>IFERROR(MID(VLOOKUP($B343,Seqs!$A:$B,2,0),AW343,1),"")</f>
        <v>N</v>
      </c>
      <c r="AW343" s="9">
        <v>310</v>
      </c>
      <c r="AX343" s="9" t="str">
        <f>IFERROR(MID(VLOOKUP($B343,Seqs!$A:$B,2,0),AY343,1),"")</f>
        <v>C</v>
      </c>
      <c r="AY343" s="9">
        <v>322</v>
      </c>
      <c r="AZ343" s="110" t="str">
        <f>VLOOKUP(B343,Classification!A:D,2,0)</f>
        <v>A</v>
      </c>
      <c r="BA343" s="98" t="str">
        <f>VLOOKUP(B343,Classification!A:D,4,0)</f>
        <v>Opsins</v>
      </c>
      <c r="BB343" s="36" t="b">
        <f t="shared" ref="BB343" si="3076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109">
        <f t="shared" ref="BC343" si="3077">_xlfn.AGGREGATE(9,6,CH343:CS343)-_xlfn.AGGREGATE(9,6,BV343:CG343)+12</f>
        <v>252</v>
      </c>
      <c r="BD343" s="40" t="s">
        <v>23</v>
      </c>
      <c r="BE343" s="9" t="s">
        <v>1287</v>
      </c>
      <c r="BF343" s="119">
        <v>2.9</v>
      </c>
      <c r="BG343" s="51" t="s">
        <v>1</v>
      </c>
      <c r="BH343" s="51" t="s">
        <v>1</v>
      </c>
      <c r="BJ343" s="111" t="s">
        <v>1283</v>
      </c>
      <c r="BK343" s="112" t="s">
        <v>1283</v>
      </c>
      <c r="BL343" s="112" t="s">
        <v>1283</v>
      </c>
      <c r="BM343" s="112" t="s">
        <v>1283</v>
      </c>
      <c r="BN343" s="112" t="s">
        <v>1283</v>
      </c>
      <c r="BO343" s="112" t="s">
        <v>1283</v>
      </c>
      <c r="BP343" s="112" t="s">
        <v>1283</v>
      </c>
      <c r="BQ343" s="112" t="s">
        <v>1283</v>
      </c>
      <c r="BR343" s="112" t="s">
        <v>1283</v>
      </c>
      <c r="BS343" s="112" t="s">
        <v>1283</v>
      </c>
      <c r="BT343" s="112" t="s">
        <v>1283</v>
      </c>
      <c r="BU343" s="112" t="s">
        <v>1283</v>
      </c>
      <c r="BV343" s="111">
        <f t="shared" ref="BV343" si="3078">E343</f>
        <v>33</v>
      </c>
      <c r="BW343" s="113">
        <f t="shared" ref="BW343" si="3079">I343</f>
        <v>66</v>
      </c>
      <c r="BX343" s="114">
        <f t="shared" ref="BX343" si="3080">M343</f>
        <v>73</v>
      </c>
      <c r="BY343" s="113">
        <f t="shared" ref="BY343" si="3081">Q343</f>
        <v>102</v>
      </c>
      <c r="BZ343" s="114">
        <f t="shared" ref="BZ343" si="3082">U343</f>
        <v>106</v>
      </c>
      <c r="CA343" s="113" t="str">
        <f t="shared" ref="CA343" si="3083">Y343</f>
        <v>-</v>
      </c>
      <c r="CB343" s="114">
        <f t="shared" ref="CB343" si="3084">AC343</f>
        <v>149</v>
      </c>
      <c r="CC343" s="113">
        <f t="shared" ref="CC343" si="3085">AG343</f>
        <v>187</v>
      </c>
      <c r="CD343" s="114">
        <f t="shared" ref="CD343" si="3086">AK343</f>
        <v>199</v>
      </c>
      <c r="CE343" s="113">
        <f t="shared" ref="CE343" si="3087">AO343</f>
        <v>240</v>
      </c>
      <c r="CF343" s="114">
        <f t="shared" ref="CF343" si="3088">AS343</f>
        <v>284</v>
      </c>
      <c r="CG343" s="113">
        <f t="shared" ref="CG343" si="3089">AW343</f>
        <v>310</v>
      </c>
      <c r="CH343" s="111">
        <f t="shared" ref="CH343" si="3090">G343</f>
        <v>65</v>
      </c>
      <c r="CI343" s="113">
        <f t="shared" ref="CI343" si="3091">K343</f>
        <v>69</v>
      </c>
      <c r="CJ343" s="114">
        <f t="shared" ref="CJ343" si="3092">O343</f>
        <v>101</v>
      </c>
      <c r="CK343" s="114">
        <f t="shared" ref="CK343" si="3093">S343</f>
        <v>105</v>
      </c>
      <c r="CL343" s="114">
        <f t="shared" ref="CL343" si="3094">W343</f>
        <v>141</v>
      </c>
      <c r="CM343" s="114" t="str">
        <f t="shared" ref="CM343" si="3095">AA343</f>
        <v>-</v>
      </c>
      <c r="CN343" s="114">
        <f t="shared" ref="CN343" si="3096">AE343</f>
        <v>173</v>
      </c>
      <c r="CO343" s="114">
        <f t="shared" ref="CO343" si="3097">AI343</f>
        <v>189</v>
      </c>
      <c r="CP343" s="114">
        <f t="shared" ref="CP343" si="3098">AM343</f>
        <v>237</v>
      </c>
      <c r="CQ343" s="114">
        <f t="shared" ref="CQ343" si="3099">AQ343</f>
        <v>278</v>
      </c>
      <c r="CR343" s="114">
        <f t="shared" ref="CR343" si="3100">AU343</f>
        <v>309</v>
      </c>
      <c r="CS343" s="114">
        <f t="shared" ref="CS343" si="3101">AY343</f>
        <v>322</v>
      </c>
      <c r="CT343" s="109">
        <f t="shared" ref="CT343" si="3102">M343-K343</f>
        <v>4</v>
      </c>
    </row>
    <row r="344" spans="1:1030" x14ac:dyDescent="0.2">
      <c r="A344" s="3" t="str">
        <f t="shared" si="2821"/>
        <v>opsd_human__wt</v>
      </c>
      <c r="B344" s="3" t="s">
        <v>338</v>
      </c>
      <c r="C344" s="3" t="s">
        <v>100</v>
      </c>
      <c r="D344" s="3" t="str">
        <f>IFERROR(MID(VLOOKUP($B344,Seqs!$A:$B,2,0),E344,1),"")</f>
        <v>P</v>
      </c>
      <c r="E344" s="3">
        <v>34</v>
      </c>
      <c r="F344" s="3" t="str">
        <f>IFERROR(MID(VLOOKUP($B344,Seqs!$A:$B,2,0),G344,1),"")</f>
        <v>H</v>
      </c>
      <c r="G344" s="3">
        <v>65</v>
      </c>
      <c r="H344" s="3" t="str">
        <f>IFERROR(MID(VLOOKUP($B344,Seqs!$A:$B,2,0),I344,1),"")</f>
        <v>K</v>
      </c>
      <c r="I344" s="23">
        <v>66</v>
      </c>
      <c r="J344" s="3" t="str">
        <f>IFERROR(MID(VLOOKUP($B344,Seqs!$A:$B,2,0),K344,1),"")</f>
        <v>R</v>
      </c>
      <c r="K344" s="23">
        <v>69</v>
      </c>
      <c r="L344" s="3" t="str">
        <f>IFERROR(MID(VLOOKUP($B344,Seqs!$A:$B,2,0),M344,1),"")</f>
        <v>T</v>
      </c>
      <c r="M344" s="3">
        <v>70</v>
      </c>
      <c r="N344" s="3" t="str">
        <f>IFERROR(MID(VLOOKUP($B344,Seqs!$A:$B,2,0),O344,1),"")</f>
        <v>H</v>
      </c>
      <c r="O344" s="3">
        <v>100</v>
      </c>
      <c r="P344" s="3" t="str">
        <f>IFERROR(MID(VLOOKUP($B344,Seqs!$A:$B,2,0),Q344,1),"")</f>
        <v>Y</v>
      </c>
      <c r="Q344" s="3">
        <v>102</v>
      </c>
      <c r="R344" s="3" t="str">
        <f>IFERROR(MID(VLOOKUP($B344,Seqs!$A:$B,2,0),S344,1),"")</f>
        <v>F</v>
      </c>
      <c r="S344" s="3">
        <v>105</v>
      </c>
      <c r="T344" s="3" t="str">
        <f>IFERROR(MID(VLOOKUP($B344,Seqs!$A:$B,2,0),U344,1),"")</f>
        <v>G</v>
      </c>
      <c r="U344" s="3">
        <v>106</v>
      </c>
      <c r="V344" s="3" t="str">
        <f>IFERROR(MID(VLOOKUP($B344,Seqs!$A:$B,2,0),W344,1),"")</f>
        <v>K</v>
      </c>
      <c r="W344" s="3">
        <v>141</v>
      </c>
      <c r="X344" s="3" t="str">
        <f>IFERROR(MID(VLOOKUP($B344,Seqs!$A:$B,2,0),Y344,1),"")</f>
        <v>P</v>
      </c>
      <c r="Y344" s="3">
        <v>142</v>
      </c>
      <c r="Z344" s="3" t="str">
        <f>IFERROR(MID(VLOOKUP($B344,Seqs!$A:$B,2,0),AA344,1),"")</f>
        <v>F</v>
      </c>
      <c r="AA344" s="3">
        <v>148</v>
      </c>
      <c r="AB344" s="3" t="str">
        <f>IFERROR(MID(VLOOKUP($B344,Seqs!$A:$B,2,0),AC344,1),"")</f>
        <v>G</v>
      </c>
      <c r="AC344" s="9">
        <v>149</v>
      </c>
      <c r="AD344" s="3" t="str">
        <f>IFERROR(MID(VLOOKUP($B344,Seqs!$A:$B,2,0),AE344,1),"")</f>
        <v>A</v>
      </c>
      <c r="AE344" s="3">
        <v>173</v>
      </c>
      <c r="AF344" s="3" t="str">
        <f>IFERROR(MID(VLOOKUP($B344,Seqs!$A:$B,2,0),AG344,1),"")</f>
        <v>C</v>
      </c>
      <c r="AG344" s="3">
        <v>187</v>
      </c>
      <c r="AH344" s="3" t="str">
        <f>IFERROR(MID(VLOOKUP($B344,Seqs!$A:$B,2,0),AI344,1),"")</f>
        <v>I</v>
      </c>
      <c r="AI344" s="3">
        <v>189</v>
      </c>
      <c r="AJ344" s="3" t="str">
        <f>IFERROR(MID(VLOOKUP($B344,Seqs!$A:$B,2,0),AK344,1),"")</f>
        <v>N</v>
      </c>
      <c r="AK344" s="3">
        <v>199</v>
      </c>
      <c r="AL344" s="3" t="str">
        <f>IFERROR(MID(VLOOKUP($B344,Seqs!$A:$B,2,0),AM344,1),"")</f>
        <v>Q</v>
      </c>
      <c r="AM344" s="3">
        <v>237</v>
      </c>
      <c r="AN344" s="3" t="str">
        <f>IFERROR(MID(VLOOKUP($B344,Seqs!$A:$B,2,0),AO344,1),"")</f>
        <v>A</v>
      </c>
      <c r="AO344" s="3">
        <v>241</v>
      </c>
      <c r="AP344" s="3" t="str">
        <f>IFERROR(MID(VLOOKUP($B344,Seqs!$A:$B,2,0),AQ344,1),"")</f>
        <v>H</v>
      </c>
      <c r="AQ344" s="3">
        <v>278</v>
      </c>
      <c r="AR344" s="3" t="str">
        <f>IFERROR(MID(VLOOKUP($B344,Seqs!$A:$B,2,0),AS344,1),"")</f>
        <v>G</v>
      </c>
      <c r="AS344" s="3">
        <v>284</v>
      </c>
      <c r="AT344" s="3" t="str">
        <f>IFERROR(MID(VLOOKUP($B344,Seqs!$A:$B,2,0),AU344,1),"")</f>
        <v>M</v>
      </c>
      <c r="AU344" s="3">
        <v>309</v>
      </c>
      <c r="AV344" s="3" t="str">
        <f>IFERROR(MID(VLOOKUP($B344,Seqs!$A:$B,2,0),AW344,1),"")</f>
        <v>N</v>
      </c>
      <c r="AW344" s="3">
        <v>310</v>
      </c>
      <c r="AX344" s="3" t="str">
        <f>IFERROR(MID(VLOOKUP($B344,Seqs!$A:$B,2,0),AY344,1),"")</f>
        <v>C</v>
      </c>
      <c r="AY344" s="3">
        <v>322</v>
      </c>
      <c r="AZ344" s="77" t="str">
        <f>VLOOKUP(B344,Classification!A:D,2,0)</f>
        <v>A</v>
      </c>
      <c r="BA344" s="94" t="str">
        <f>VLOOKUP(B344,Classification!A:D,4,0)</f>
        <v>Opsins</v>
      </c>
      <c r="BB344" s="27" t="b">
        <f t="shared" si="2822"/>
        <v>1</v>
      </c>
      <c r="BC344" s="23">
        <f t="shared" si="2795"/>
        <v>258</v>
      </c>
      <c r="BD344" s="56" t="s">
        <v>23</v>
      </c>
      <c r="BE344" s="3" t="s">
        <v>23</v>
      </c>
      <c r="BF344" s="118" t="s">
        <v>23</v>
      </c>
      <c r="BG344" s="49" t="s">
        <v>1368</v>
      </c>
      <c r="BH344" s="49" t="s">
        <v>1373</v>
      </c>
      <c r="BI344" s="1"/>
      <c r="BJ344" s="70" t="s">
        <v>1283</v>
      </c>
      <c r="BK344" s="57" t="s">
        <v>1283</v>
      </c>
      <c r="BL344" s="57" t="s">
        <v>1283</v>
      </c>
      <c r="BM344" s="57" t="s">
        <v>1283</v>
      </c>
      <c r="BN344" s="57" t="s">
        <v>1283</v>
      </c>
      <c r="BO344" s="57" t="s">
        <v>1283</v>
      </c>
      <c r="BP344" s="57" t="s">
        <v>1283</v>
      </c>
      <c r="BQ344" s="57" t="s">
        <v>1283</v>
      </c>
      <c r="BR344" s="57" t="s">
        <v>1283</v>
      </c>
      <c r="BS344" s="57" t="s">
        <v>1283</v>
      </c>
      <c r="BT344" s="57" t="s">
        <v>1283</v>
      </c>
      <c r="BU344" s="57" t="s">
        <v>1283</v>
      </c>
      <c r="BV344" s="70">
        <f t="shared" si="2796"/>
        <v>34</v>
      </c>
      <c r="BW344" s="71">
        <f t="shared" si="2797"/>
        <v>66</v>
      </c>
      <c r="BX344" s="72">
        <f t="shared" si="2798"/>
        <v>70</v>
      </c>
      <c r="BY344" s="71">
        <f t="shared" si="2799"/>
        <v>102</v>
      </c>
      <c r="BZ344" s="72">
        <f t="shared" si="2800"/>
        <v>106</v>
      </c>
      <c r="CA344" s="71">
        <f t="shared" si="2801"/>
        <v>142</v>
      </c>
      <c r="CB344" s="72">
        <f t="shared" si="2802"/>
        <v>149</v>
      </c>
      <c r="CC344" s="71">
        <f t="shared" si="2803"/>
        <v>187</v>
      </c>
      <c r="CD344" s="72">
        <f t="shared" si="2804"/>
        <v>199</v>
      </c>
      <c r="CE344" s="71">
        <f t="shared" si="2805"/>
        <v>241</v>
      </c>
      <c r="CF344" s="72">
        <f t="shared" si="2806"/>
        <v>284</v>
      </c>
      <c r="CG344" s="71">
        <f t="shared" si="2807"/>
        <v>310</v>
      </c>
      <c r="CH344" s="70">
        <f t="shared" si="2808"/>
        <v>65</v>
      </c>
      <c r="CI344" s="71">
        <f t="shared" si="2809"/>
        <v>69</v>
      </c>
      <c r="CJ344" s="72">
        <f t="shared" si="2810"/>
        <v>100</v>
      </c>
      <c r="CK344" s="72">
        <f t="shared" si="2811"/>
        <v>105</v>
      </c>
      <c r="CL344" s="72">
        <f t="shared" si="2812"/>
        <v>141</v>
      </c>
      <c r="CM344" s="72">
        <f t="shared" si="2813"/>
        <v>148</v>
      </c>
      <c r="CN344" s="72">
        <f t="shared" si="2814"/>
        <v>173</v>
      </c>
      <c r="CO344" s="72">
        <f t="shared" si="2815"/>
        <v>189</v>
      </c>
      <c r="CP344" s="72">
        <f t="shared" si="2816"/>
        <v>237</v>
      </c>
      <c r="CQ344" s="72">
        <f t="shared" si="2817"/>
        <v>278</v>
      </c>
      <c r="CR344" s="72">
        <f t="shared" si="2818"/>
        <v>309</v>
      </c>
      <c r="CS344" s="72">
        <f t="shared" si="2819"/>
        <v>322</v>
      </c>
      <c r="CT344" s="23">
        <f t="shared" si="2820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 t="shared" si="2821"/>
        <v>opsd_human_4ZWJ</v>
      </c>
      <c r="B345" s="3" t="s">
        <v>338</v>
      </c>
      <c r="C345" s="3" t="s">
        <v>55</v>
      </c>
      <c r="D345" s="3" t="str">
        <f>IFERROR(MID(VLOOKUP($B345,Seqs!$A:$B,2,0),E345,1),"")</f>
        <v>P</v>
      </c>
      <c r="E345" s="3">
        <v>34</v>
      </c>
      <c r="F345" s="3" t="str">
        <f>IFERROR(MID(VLOOKUP($B345,Seqs!$A:$B,2,0),G345,1),"")</f>
        <v>H</v>
      </c>
      <c r="G345" s="3">
        <v>65</v>
      </c>
      <c r="H345" s="3" t="str">
        <f>IFERROR(MID(VLOOKUP($B345,Seqs!$A:$B,2,0),I345,1),"")</f>
        <v>K</v>
      </c>
      <c r="I345" s="23">
        <v>66</v>
      </c>
      <c r="J345" s="3" t="str">
        <f>IFERROR(MID(VLOOKUP($B345,Seqs!$A:$B,2,0),K345,1),"")</f>
        <v>R</v>
      </c>
      <c r="K345" s="23">
        <v>69</v>
      </c>
      <c r="L345" s="3" t="str">
        <f>IFERROR(MID(VLOOKUP($B345,Seqs!$A:$B,2,0),M345,1),"")</f>
        <v>T</v>
      </c>
      <c r="M345" s="3">
        <v>70</v>
      </c>
      <c r="N345" s="3" t="str">
        <f>IFERROR(MID(VLOOKUP($B345,Seqs!$A:$B,2,0),O345,1),"")</f>
        <v>H</v>
      </c>
      <c r="O345" s="3">
        <v>100</v>
      </c>
      <c r="P345" s="3" t="str">
        <f>IFERROR(MID(VLOOKUP($B345,Seqs!$A:$B,2,0),Q345,1),"")</f>
        <v>Y</v>
      </c>
      <c r="Q345" s="3">
        <v>102</v>
      </c>
      <c r="R345" s="3" t="str">
        <f>IFERROR(MID(VLOOKUP($B345,Seqs!$A:$B,2,0),S345,1),"")</f>
        <v>F</v>
      </c>
      <c r="S345" s="3">
        <v>105</v>
      </c>
      <c r="T345" s="3" t="str">
        <f>IFERROR(MID(VLOOKUP($B345,Seqs!$A:$B,2,0),U345,1),"")</f>
        <v>G</v>
      </c>
      <c r="U345" s="3">
        <v>106</v>
      </c>
      <c r="V345" s="3" t="str">
        <f>IFERROR(MID(VLOOKUP($B345,Seqs!$A:$B,2,0),W345,1),"")</f>
        <v>K</v>
      </c>
      <c r="W345" s="3">
        <v>141</v>
      </c>
      <c r="X345" s="3" t="str">
        <f>IFERROR(MID(VLOOKUP($B345,Seqs!$A:$B,2,0),Y345,1),"")</f>
        <v>P</v>
      </c>
      <c r="Y345" s="3">
        <v>142</v>
      </c>
      <c r="Z345" s="3" t="str">
        <f>IFERROR(MID(VLOOKUP($B345,Seqs!$A:$B,2,0),AA345,1),"")</f>
        <v>F</v>
      </c>
      <c r="AA345" s="3">
        <v>148</v>
      </c>
      <c r="AB345" s="3" t="str">
        <f>IFERROR(MID(VLOOKUP($B345,Seqs!$A:$B,2,0),AC345,1),"")</f>
        <v>G</v>
      </c>
      <c r="AC345" s="9">
        <v>149</v>
      </c>
      <c r="AD345" s="3" t="str">
        <f>IFERROR(MID(VLOOKUP($B345,Seqs!$A:$B,2,0),AE345,1),"")</f>
        <v>A</v>
      </c>
      <c r="AE345" s="3">
        <v>173</v>
      </c>
      <c r="AF345" s="3" t="str">
        <f>IFERROR(MID(VLOOKUP($B345,Seqs!$A:$B,2,0),AG345,1),"")</f>
        <v>C</v>
      </c>
      <c r="AG345" s="3">
        <v>187</v>
      </c>
      <c r="AH345" s="3" t="str">
        <f>IFERROR(MID(VLOOKUP($B345,Seqs!$A:$B,2,0),AI345,1),"")</f>
        <v>I</v>
      </c>
      <c r="AI345" s="3">
        <v>189</v>
      </c>
      <c r="AJ345" s="3" t="str">
        <f>IFERROR(MID(VLOOKUP($B345,Seqs!$A:$B,2,0),AK345,1),"")</f>
        <v>N</v>
      </c>
      <c r="AK345" s="3">
        <v>199</v>
      </c>
      <c r="AL345" s="3" t="str">
        <f>IFERROR(MID(VLOOKUP($B345,Seqs!$A:$B,2,0),AM345,1),"")</f>
        <v>Q</v>
      </c>
      <c r="AM345" s="3">
        <v>237</v>
      </c>
      <c r="AN345" s="3" t="str">
        <f>IFERROR(MID(VLOOKUP($B345,Seqs!$A:$B,2,0),AO345,1),"")</f>
        <v>A</v>
      </c>
      <c r="AO345" s="3">
        <v>241</v>
      </c>
      <c r="AP345" s="3" t="str">
        <f>IFERROR(MID(VLOOKUP($B345,Seqs!$A:$B,2,0),AQ345,1),"")</f>
        <v>H</v>
      </c>
      <c r="AQ345" s="3">
        <v>278</v>
      </c>
      <c r="AR345" s="3" t="str">
        <f>IFERROR(MID(VLOOKUP($B345,Seqs!$A:$B,2,0),AS345,1),"")</f>
        <v>G</v>
      </c>
      <c r="AS345" s="3">
        <v>284</v>
      </c>
      <c r="AT345" s="3" t="str">
        <f>IFERROR(MID(VLOOKUP($B345,Seqs!$A:$B,2,0),AU345,1),"")</f>
        <v>M</v>
      </c>
      <c r="AU345" s="3">
        <v>309</v>
      </c>
      <c r="AV345" s="3" t="str">
        <f>IFERROR(MID(VLOOKUP($B345,Seqs!$A:$B,2,0),AW345,1),"")</f>
        <v>N</v>
      </c>
      <c r="AW345" s="3">
        <v>310</v>
      </c>
      <c r="AX345" s="3" t="str">
        <f>IFERROR(MID(VLOOKUP($B345,Seqs!$A:$B,2,0),AY345,1),"")</f>
        <v>C</v>
      </c>
      <c r="AY345" s="3">
        <v>322</v>
      </c>
      <c r="AZ345" s="77" t="str">
        <f>VLOOKUP(B345,Classification!A:D,2,0)</f>
        <v>A</v>
      </c>
      <c r="BA345" s="94" t="str">
        <f>VLOOKUP(B345,Classification!A:D,4,0)</f>
        <v>Opsins</v>
      </c>
      <c r="BB345" s="27" t="b">
        <f t="shared" si="2822"/>
        <v>1</v>
      </c>
      <c r="BC345" s="23">
        <f t="shared" si="2795"/>
        <v>258</v>
      </c>
      <c r="BD345" s="2" t="s">
        <v>1371</v>
      </c>
      <c r="BE345" s="3" t="s">
        <v>1287</v>
      </c>
      <c r="BF345" s="118">
        <v>3.3</v>
      </c>
      <c r="BG345" s="49" t="s">
        <v>1373</v>
      </c>
      <c r="BH345" s="49" t="s">
        <v>1373</v>
      </c>
      <c r="BI345" s="1"/>
      <c r="BJ345" s="70" t="s">
        <v>1283</v>
      </c>
      <c r="BK345" s="57" t="s">
        <v>1283</v>
      </c>
      <c r="BL345" s="57" t="s">
        <v>1283</v>
      </c>
      <c r="BM345" s="57" t="s">
        <v>1283</v>
      </c>
      <c r="BN345" s="57" t="s">
        <v>1283</v>
      </c>
      <c r="BO345" s="57" t="s">
        <v>1283</v>
      </c>
      <c r="BP345" s="57" t="s">
        <v>1283</v>
      </c>
      <c r="BQ345" s="57" t="s">
        <v>1283</v>
      </c>
      <c r="BR345" s="57" t="s">
        <v>1283</v>
      </c>
      <c r="BS345" s="57" t="s">
        <v>1283</v>
      </c>
      <c r="BT345" s="57" t="s">
        <v>1283</v>
      </c>
      <c r="BU345" s="57" t="s">
        <v>1283</v>
      </c>
      <c r="BV345" s="70">
        <f t="shared" si="2796"/>
        <v>34</v>
      </c>
      <c r="BW345" s="71">
        <f t="shared" si="2797"/>
        <v>66</v>
      </c>
      <c r="BX345" s="72">
        <f t="shared" si="2798"/>
        <v>70</v>
      </c>
      <c r="BY345" s="71">
        <f t="shared" si="2799"/>
        <v>102</v>
      </c>
      <c r="BZ345" s="72">
        <f t="shared" si="2800"/>
        <v>106</v>
      </c>
      <c r="CA345" s="71">
        <f t="shared" si="2801"/>
        <v>142</v>
      </c>
      <c r="CB345" s="72">
        <f t="shared" si="2802"/>
        <v>149</v>
      </c>
      <c r="CC345" s="71">
        <f t="shared" si="2803"/>
        <v>187</v>
      </c>
      <c r="CD345" s="72">
        <f t="shared" si="2804"/>
        <v>199</v>
      </c>
      <c r="CE345" s="71">
        <f t="shared" si="2805"/>
        <v>241</v>
      </c>
      <c r="CF345" s="72">
        <f t="shared" si="2806"/>
        <v>284</v>
      </c>
      <c r="CG345" s="71">
        <f t="shared" si="2807"/>
        <v>310</v>
      </c>
      <c r="CH345" s="70">
        <f t="shared" si="2808"/>
        <v>65</v>
      </c>
      <c r="CI345" s="71">
        <f t="shared" si="2809"/>
        <v>69</v>
      </c>
      <c r="CJ345" s="72">
        <f t="shared" si="2810"/>
        <v>100</v>
      </c>
      <c r="CK345" s="72">
        <f t="shared" si="2811"/>
        <v>105</v>
      </c>
      <c r="CL345" s="72">
        <f t="shared" si="2812"/>
        <v>141</v>
      </c>
      <c r="CM345" s="72">
        <f t="shared" si="2813"/>
        <v>148</v>
      </c>
      <c r="CN345" s="72">
        <f t="shared" si="2814"/>
        <v>173</v>
      </c>
      <c r="CO345" s="72">
        <f t="shared" si="2815"/>
        <v>189</v>
      </c>
      <c r="CP345" s="72">
        <f t="shared" si="2816"/>
        <v>237</v>
      </c>
      <c r="CQ345" s="72">
        <f t="shared" si="2817"/>
        <v>278</v>
      </c>
      <c r="CR345" s="72">
        <f t="shared" si="2818"/>
        <v>309</v>
      </c>
      <c r="CS345" s="72">
        <f t="shared" si="2819"/>
        <v>322</v>
      </c>
      <c r="CT345" s="23">
        <f t="shared" si="2820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30" x14ac:dyDescent="0.2">
      <c r="A346" s="3" t="str">
        <f t="shared" si="2821"/>
        <v>opsd_human_5DGY</v>
      </c>
      <c r="B346" s="3" t="s">
        <v>338</v>
      </c>
      <c r="C346" s="3" t="s">
        <v>1430</v>
      </c>
      <c r="D346" s="3" t="str">
        <f>IFERROR(MID(VLOOKUP($B346,Seqs!$A:$B,2,0),E346,1),"")</f>
        <v>P</v>
      </c>
      <c r="E346" s="3">
        <v>34</v>
      </c>
      <c r="F346" s="3" t="str">
        <f>IFERROR(MID(VLOOKUP($B346,Seqs!$A:$B,2,0),G346,1),"")</f>
        <v>H</v>
      </c>
      <c r="G346" s="3">
        <v>65</v>
      </c>
      <c r="H346" s="3" t="str">
        <f>IFERROR(MID(VLOOKUP($B346,Seqs!$A:$B,2,0),I346,1),"")</f>
        <v>K</v>
      </c>
      <c r="I346" s="23">
        <v>66</v>
      </c>
      <c r="J346" s="3" t="str">
        <f>IFERROR(MID(VLOOKUP($B346,Seqs!$A:$B,2,0),K346,1),"")</f>
        <v>R</v>
      </c>
      <c r="K346" s="23">
        <v>69</v>
      </c>
      <c r="L346" s="3" t="str">
        <f>IFERROR(MID(VLOOKUP($B346,Seqs!$A:$B,2,0),M346,1),"")</f>
        <v>T</v>
      </c>
      <c r="M346" s="3">
        <v>70</v>
      </c>
      <c r="N346" s="3" t="str">
        <f>IFERROR(MID(VLOOKUP($B346,Seqs!$A:$B,2,0),O346,1),"")</f>
        <v>H</v>
      </c>
      <c r="O346" s="3">
        <v>100</v>
      </c>
      <c r="P346" s="3" t="str">
        <f>IFERROR(MID(VLOOKUP($B346,Seqs!$A:$B,2,0),Q346,1),"")</f>
        <v>Y</v>
      </c>
      <c r="Q346" s="3">
        <v>102</v>
      </c>
      <c r="R346" s="3" t="str">
        <f>IFERROR(MID(VLOOKUP($B346,Seqs!$A:$B,2,0),S346,1),"")</f>
        <v>F</v>
      </c>
      <c r="S346" s="3">
        <v>105</v>
      </c>
      <c r="T346" s="3" t="str">
        <f>IFERROR(MID(VLOOKUP($B346,Seqs!$A:$B,2,0),U346,1),"")</f>
        <v>G</v>
      </c>
      <c r="U346" s="3">
        <v>106</v>
      </c>
      <c r="V346" s="3" t="str">
        <f>IFERROR(MID(VLOOKUP($B346,Seqs!$A:$B,2,0),W346,1),"")</f>
        <v>K</v>
      </c>
      <c r="W346" s="3">
        <v>141</v>
      </c>
      <c r="X346" s="3" t="str">
        <f>IFERROR(MID(VLOOKUP($B346,Seqs!$A:$B,2,0),Y346,1),"")</f>
        <v>P</v>
      </c>
      <c r="Y346" s="3">
        <v>142</v>
      </c>
      <c r="Z346" s="3" t="str">
        <f>IFERROR(MID(VLOOKUP($B346,Seqs!$A:$B,2,0),AA346,1),"")</f>
        <v>F</v>
      </c>
      <c r="AA346" s="3">
        <v>148</v>
      </c>
      <c r="AB346" s="3" t="str">
        <f>IFERROR(MID(VLOOKUP($B346,Seqs!$A:$B,2,0),AC346,1),"")</f>
        <v>G</v>
      </c>
      <c r="AC346" s="3">
        <v>149</v>
      </c>
      <c r="AD346" s="3" t="str">
        <f>IFERROR(MID(VLOOKUP($B346,Seqs!$A:$B,2,0),AE346,1),"")</f>
        <v>A</v>
      </c>
      <c r="AE346" s="3">
        <v>173</v>
      </c>
      <c r="AF346" s="3" t="str">
        <f>IFERROR(MID(VLOOKUP($B346,Seqs!$A:$B,2,0),AG346,1),"")</f>
        <v>C</v>
      </c>
      <c r="AG346" s="3">
        <v>187</v>
      </c>
      <c r="AH346" s="3" t="str">
        <f>IFERROR(MID(VLOOKUP($B346,Seqs!$A:$B,2,0),AI346,1),"")</f>
        <v>I</v>
      </c>
      <c r="AI346" s="3">
        <v>189</v>
      </c>
      <c r="AJ346" s="3" t="str">
        <f>IFERROR(MID(VLOOKUP($B346,Seqs!$A:$B,2,0),AK346,1),"")</f>
        <v>N</v>
      </c>
      <c r="AK346" s="3">
        <v>199</v>
      </c>
      <c r="AL346" s="3" t="str">
        <f>IFERROR(MID(VLOOKUP($B346,Seqs!$A:$B,2,0),AM346,1),"")</f>
        <v>Q</v>
      </c>
      <c r="AM346" s="3">
        <v>237</v>
      </c>
      <c r="AN346" s="3" t="str">
        <f>IFERROR(MID(VLOOKUP($B346,Seqs!$A:$B,2,0),AO346,1),"")</f>
        <v>A</v>
      </c>
      <c r="AO346" s="3">
        <v>241</v>
      </c>
      <c r="AP346" s="3" t="str">
        <f>IFERROR(MID(VLOOKUP($B346,Seqs!$A:$B,2,0),AQ346,1),"")</f>
        <v>H</v>
      </c>
      <c r="AQ346" s="3">
        <v>278</v>
      </c>
      <c r="AR346" s="3" t="str">
        <f>IFERROR(MID(VLOOKUP($B346,Seqs!$A:$B,2,0),AS346,1),"")</f>
        <v>G</v>
      </c>
      <c r="AS346" s="3">
        <v>284</v>
      </c>
      <c r="AT346" s="3" t="str">
        <f>IFERROR(MID(VLOOKUP($B346,Seqs!$A:$B,2,0),AU346,1),"")</f>
        <v>M</v>
      </c>
      <c r="AU346" s="3">
        <v>309</v>
      </c>
      <c r="AV346" s="3" t="str">
        <f>IFERROR(MID(VLOOKUP($B346,Seqs!$A:$B,2,0),AW346,1),"")</f>
        <v>N</v>
      </c>
      <c r="AW346" s="3">
        <v>310</v>
      </c>
      <c r="AX346" s="3" t="str">
        <f>IFERROR(MID(VLOOKUP($B346,Seqs!$A:$B,2,0),AY346,1),"")</f>
        <v>C</v>
      </c>
      <c r="AY346" s="3">
        <v>322</v>
      </c>
      <c r="AZ346" s="77" t="str">
        <f>VLOOKUP(B346,Classification!A:D,2,0)</f>
        <v>A</v>
      </c>
      <c r="BA346" s="94" t="str">
        <f>VLOOKUP(B346,Classification!A:D,4,0)</f>
        <v>Opsins</v>
      </c>
      <c r="BB346" s="27" t="b">
        <f t="shared" si="2822"/>
        <v>1</v>
      </c>
      <c r="BC346" s="23">
        <f t="shared" si="2795"/>
        <v>258</v>
      </c>
      <c r="BD346" s="2" t="s">
        <v>23</v>
      </c>
      <c r="BE346" s="3" t="s">
        <v>1287</v>
      </c>
      <c r="BF346" s="118">
        <v>7.7</v>
      </c>
      <c r="BG346" s="49" t="s">
        <v>1429</v>
      </c>
      <c r="BH346" s="49" t="s">
        <v>1429</v>
      </c>
      <c r="BI346" s="1"/>
      <c r="BJ346" s="70" t="s">
        <v>1283</v>
      </c>
      <c r="BK346" s="57" t="s">
        <v>1283</v>
      </c>
      <c r="BL346" s="57" t="s">
        <v>1283</v>
      </c>
      <c r="BM346" s="57" t="s">
        <v>1283</v>
      </c>
      <c r="BN346" s="57" t="s">
        <v>1283</v>
      </c>
      <c r="BO346" s="57" t="s">
        <v>1283</v>
      </c>
      <c r="BP346" s="57" t="s">
        <v>1283</v>
      </c>
      <c r="BQ346" s="57" t="s">
        <v>1283</v>
      </c>
      <c r="BR346" s="57" t="s">
        <v>1283</v>
      </c>
      <c r="BS346" s="57" t="s">
        <v>1283</v>
      </c>
      <c r="BT346" s="57" t="s">
        <v>1283</v>
      </c>
      <c r="BU346" s="57" t="s">
        <v>1283</v>
      </c>
      <c r="BV346" s="70">
        <f t="shared" si="2796"/>
        <v>34</v>
      </c>
      <c r="BW346" s="71">
        <f t="shared" si="2797"/>
        <v>66</v>
      </c>
      <c r="BX346" s="72">
        <f t="shared" si="2798"/>
        <v>70</v>
      </c>
      <c r="BY346" s="71">
        <f t="shared" si="2799"/>
        <v>102</v>
      </c>
      <c r="BZ346" s="72">
        <f t="shared" si="2800"/>
        <v>106</v>
      </c>
      <c r="CA346" s="71">
        <f t="shared" si="2801"/>
        <v>142</v>
      </c>
      <c r="CB346" s="72">
        <f t="shared" si="2802"/>
        <v>149</v>
      </c>
      <c r="CC346" s="71">
        <f t="shared" si="2803"/>
        <v>187</v>
      </c>
      <c r="CD346" s="72">
        <f t="shared" si="2804"/>
        <v>199</v>
      </c>
      <c r="CE346" s="71">
        <f t="shared" si="2805"/>
        <v>241</v>
      </c>
      <c r="CF346" s="72">
        <f t="shared" si="2806"/>
        <v>284</v>
      </c>
      <c r="CG346" s="71">
        <f t="shared" si="2807"/>
        <v>310</v>
      </c>
      <c r="CH346" s="70">
        <f t="shared" si="2808"/>
        <v>65</v>
      </c>
      <c r="CI346" s="71">
        <f t="shared" si="2809"/>
        <v>69</v>
      </c>
      <c r="CJ346" s="72">
        <f t="shared" si="2810"/>
        <v>100</v>
      </c>
      <c r="CK346" s="72">
        <f t="shared" si="2811"/>
        <v>105</v>
      </c>
      <c r="CL346" s="72">
        <f t="shared" si="2812"/>
        <v>141</v>
      </c>
      <c r="CM346" s="72">
        <f t="shared" si="2813"/>
        <v>148</v>
      </c>
      <c r="CN346" s="72">
        <f t="shared" si="2814"/>
        <v>173</v>
      </c>
      <c r="CO346" s="72">
        <f t="shared" si="2815"/>
        <v>189</v>
      </c>
      <c r="CP346" s="72">
        <f t="shared" si="2816"/>
        <v>237</v>
      </c>
      <c r="CQ346" s="72">
        <f t="shared" si="2817"/>
        <v>278</v>
      </c>
      <c r="CR346" s="72">
        <f t="shared" si="2818"/>
        <v>309</v>
      </c>
      <c r="CS346" s="72">
        <f t="shared" si="2819"/>
        <v>322</v>
      </c>
      <c r="CT346" s="23">
        <f t="shared" si="2820"/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>CONCATENATE(B347,"_",C347)</f>
        <v>opsd_human_5W0P</v>
      </c>
      <c r="B347" s="3" t="s">
        <v>338</v>
      </c>
      <c r="C347" s="3" t="s">
        <v>1428</v>
      </c>
      <c r="D347" s="3" t="str">
        <f>IFERROR(MID(VLOOKUP($B347,Seqs!$A:$B,2,0),E347,1),"")</f>
        <v>P</v>
      </c>
      <c r="E347" s="3">
        <v>34</v>
      </c>
      <c r="F347" s="3" t="str">
        <f>IFERROR(MID(VLOOKUP($B347,Seqs!$A:$B,2,0),G347,1),"")</f>
        <v>H</v>
      </c>
      <c r="G347" s="3">
        <v>65</v>
      </c>
      <c r="H347" s="3" t="str">
        <f>IFERROR(MID(VLOOKUP($B347,Seqs!$A:$B,2,0),I347,1),"")</f>
        <v>K</v>
      </c>
      <c r="I347" s="23">
        <v>66</v>
      </c>
      <c r="J347" s="3" t="str">
        <f>IFERROR(MID(VLOOKUP($B347,Seqs!$A:$B,2,0),K347,1),"")</f>
        <v>R</v>
      </c>
      <c r="K347" s="23">
        <v>69</v>
      </c>
      <c r="L347" s="3" t="str">
        <f>IFERROR(MID(VLOOKUP($B347,Seqs!$A:$B,2,0),M347,1),"")</f>
        <v>T</v>
      </c>
      <c r="M347" s="3">
        <v>70</v>
      </c>
      <c r="N347" s="3" t="str">
        <f>IFERROR(MID(VLOOKUP($B347,Seqs!$A:$B,2,0),O347,1),"")</f>
        <v>H</v>
      </c>
      <c r="O347" s="3">
        <v>100</v>
      </c>
      <c r="P347" s="3" t="str">
        <f>IFERROR(MID(VLOOKUP($B347,Seqs!$A:$B,2,0),Q347,1),"")</f>
        <v>Y</v>
      </c>
      <c r="Q347" s="3">
        <v>102</v>
      </c>
      <c r="R347" s="3" t="str">
        <f>IFERROR(MID(VLOOKUP($B347,Seqs!$A:$B,2,0),S347,1),"")</f>
        <v>F</v>
      </c>
      <c r="S347" s="3">
        <v>105</v>
      </c>
      <c r="T347" s="3" t="str">
        <f>IFERROR(MID(VLOOKUP($B347,Seqs!$A:$B,2,0),U347,1),"")</f>
        <v>G</v>
      </c>
      <c r="U347" s="3">
        <v>106</v>
      </c>
      <c r="V347" s="3" t="str">
        <f>IFERROR(MID(VLOOKUP($B347,Seqs!$A:$B,2,0),W347,1),"")</f>
        <v>K</v>
      </c>
      <c r="W347" s="3">
        <v>141</v>
      </c>
      <c r="X347" s="3" t="str">
        <f>IFERROR(MID(VLOOKUP($B347,Seqs!$A:$B,2,0),Y347,1),"")</f>
        <v>P</v>
      </c>
      <c r="Y347" s="3">
        <v>142</v>
      </c>
      <c r="Z347" s="3" t="str">
        <f>IFERROR(MID(VLOOKUP($B347,Seqs!$A:$B,2,0),AA347,1),"")</f>
        <v>F</v>
      </c>
      <c r="AA347" s="3">
        <v>148</v>
      </c>
      <c r="AB347" s="3" t="str">
        <f>IFERROR(MID(VLOOKUP($B347,Seqs!$A:$B,2,0),AC347,1),"")</f>
        <v>G</v>
      </c>
      <c r="AC347" s="3">
        <v>149</v>
      </c>
      <c r="AD347" s="3" t="str">
        <f>IFERROR(MID(VLOOKUP($B347,Seqs!$A:$B,2,0),AE347,1),"")</f>
        <v>A</v>
      </c>
      <c r="AE347" s="3">
        <v>173</v>
      </c>
      <c r="AF347" s="3" t="str">
        <f>IFERROR(MID(VLOOKUP($B347,Seqs!$A:$B,2,0),AG347,1),"")</f>
        <v>C</v>
      </c>
      <c r="AG347" s="3">
        <v>187</v>
      </c>
      <c r="AH347" s="3" t="str">
        <f>IFERROR(MID(VLOOKUP($B347,Seqs!$A:$B,2,0),AI347,1),"")</f>
        <v>I</v>
      </c>
      <c r="AI347" s="3">
        <v>189</v>
      </c>
      <c r="AJ347" s="3" t="str">
        <f>IFERROR(MID(VLOOKUP($B347,Seqs!$A:$B,2,0),AK347,1),"")</f>
        <v>N</v>
      </c>
      <c r="AK347" s="3">
        <v>199</v>
      </c>
      <c r="AL347" s="3" t="str">
        <f>IFERROR(MID(VLOOKUP($B347,Seqs!$A:$B,2,0),AM347,1),"")</f>
        <v>Q</v>
      </c>
      <c r="AM347" s="3">
        <v>237</v>
      </c>
      <c r="AN347" s="3" t="str">
        <f>IFERROR(MID(VLOOKUP($B347,Seqs!$A:$B,2,0),AO347,1),"")</f>
        <v>A</v>
      </c>
      <c r="AO347" s="3">
        <v>241</v>
      </c>
      <c r="AP347" s="3" t="str">
        <f>IFERROR(MID(VLOOKUP($B347,Seqs!$A:$B,2,0),AQ347,1),"")</f>
        <v>H</v>
      </c>
      <c r="AQ347" s="3">
        <v>278</v>
      </c>
      <c r="AR347" s="3" t="str">
        <f>IFERROR(MID(VLOOKUP($B347,Seqs!$A:$B,2,0),AS347,1),"")</f>
        <v>G</v>
      </c>
      <c r="AS347" s="3">
        <v>284</v>
      </c>
      <c r="AT347" s="3" t="str">
        <f>IFERROR(MID(VLOOKUP($B347,Seqs!$A:$B,2,0),AU347,1),"")</f>
        <v>M</v>
      </c>
      <c r="AU347" s="3">
        <v>309</v>
      </c>
      <c r="AV347" s="3" t="str">
        <f>IFERROR(MID(VLOOKUP($B347,Seqs!$A:$B,2,0),AW347,1),"")</f>
        <v>N</v>
      </c>
      <c r="AW347" s="3">
        <v>310</v>
      </c>
      <c r="AX347" s="3" t="str">
        <f>IFERROR(MID(VLOOKUP($B347,Seqs!$A:$B,2,0),AY347,1),"")</f>
        <v>C</v>
      </c>
      <c r="AY347" s="3">
        <v>322</v>
      </c>
      <c r="AZ347" s="77" t="str">
        <f>VLOOKUP(B347,Classification!A:D,2,0)</f>
        <v>A</v>
      </c>
      <c r="BA347" s="94" t="str">
        <f>VLOOKUP(B347,Classification!A:D,4,0)</f>
        <v>Opsins</v>
      </c>
      <c r="BB347" s="27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258</v>
      </c>
      <c r="BD347" s="2" t="s">
        <v>23</v>
      </c>
      <c r="BE347" s="3" t="s">
        <v>1287</v>
      </c>
      <c r="BF347" s="118">
        <v>3.01</v>
      </c>
      <c r="BG347" s="49" t="s">
        <v>1429</v>
      </c>
      <c r="BH347" s="49" t="s">
        <v>1429</v>
      </c>
      <c r="BI347" s="1"/>
      <c r="BJ347" s="70" t="s">
        <v>1283</v>
      </c>
      <c r="BK347" s="57" t="s">
        <v>1283</v>
      </c>
      <c r="BL347" s="57" t="s">
        <v>1283</v>
      </c>
      <c r="BM347" s="57" t="s">
        <v>1283</v>
      </c>
      <c r="BN347" s="57" t="s">
        <v>1283</v>
      </c>
      <c r="BO347" s="57" t="s">
        <v>1283</v>
      </c>
      <c r="BP347" s="57" t="s">
        <v>1283</v>
      </c>
      <c r="BQ347" s="57" t="s">
        <v>1283</v>
      </c>
      <c r="BR347" s="57" t="s">
        <v>1283</v>
      </c>
      <c r="BS347" s="57" t="s">
        <v>1283</v>
      </c>
      <c r="BT347" s="57" t="s">
        <v>1283</v>
      </c>
      <c r="BU347" s="57" t="s">
        <v>1283</v>
      </c>
      <c r="BV347" s="70">
        <f>E347</f>
        <v>34</v>
      </c>
      <c r="BW347" s="71">
        <f>I347</f>
        <v>66</v>
      </c>
      <c r="BX347" s="72">
        <f>M347</f>
        <v>70</v>
      </c>
      <c r="BY347" s="71">
        <f>Q347</f>
        <v>102</v>
      </c>
      <c r="BZ347" s="72">
        <f>U347</f>
        <v>106</v>
      </c>
      <c r="CA347" s="71">
        <f>Y347</f>
        <v>142</v>
      </c>
      <c r="CB347" s="72">
        <f>AC347</f>
        <v>149</v>
      </c>
      <c r="CC347" s="71">
        <f>AG347</f>
        <v>187</v>
      </c>
      <c r="CD347" s="72">
        <f>AK347</f>
        <v>199</v>
      </c>
      <c r="CE347" s="71">
        <f>AO347</f>
        <v>241</v>
      </c>
      <c r="CF347" s="72">
        <f>AS347</f>
        <v>284</v>
      </c>
      <c r="CG347" s="71">
        <f>AW347</f>
        <v>310</v>
      </c>
      <c r="CH347" s="70">
        <f>G347</f>
        <v>65</v>
      </c>
      <c r="CI347" s="71">
        <f>K347</f>
        <v>69</v>
      </c>
      <c r="CJ347" s="72">
        <f>O347</f>
        <v>100</v>
      </c>
      <c r="CK347" s="72">
        <f>S347</f>
        <v>105</v>
      </c>
      <c r="CL347" s="72">
        <f>W347</f>
        <v>141</v>
      </c>
      <c r="CM347" s="72">
        <f>AA347</f>
        <v>148</v>
      </c>
      <c r="CN347" s="72">
        <f>AE347</f>
        <v>173</v>
      </c>
      <c r="CO347" s="72">
        <f>AI347</f>
        <v>189</v>
      </c>
      <c r="CP347" s="72">
        <f>AM347</f>
        <v>237</v>
      </c>
      <c r="CQ347" s="72">
        <f>AQ347</f>
        <v>278</v>
      </c>
      <c r="CR347" s="72">
        <f>AU347</f>
        <v>309</v>
      </c>
      <c r="CS347" s="72">
        <f>AY347</f>
        <v>322</v>
      </c>
      <c r="CT347" s="23">
        <f>M347-K347</f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30" x14ac:dyDescent="0.2">
      <c r="A348" s="3" t="str">
        <f>CONCATENATE(B348,"_",C348)</f>
        <v>opsd_human_6CMO</v>
      </c>
      <c r="B348" s="3" t="s">
        <v>338</v>
      </c>
      <c r="C348" s="3" t="s">
        <v>1498</v>
      </c>
      <c r="D348" s="3" t="str">
        <f>IFERROR(MID(VLOOKUP($B348,Seqs!$A:$B,2,0),E348,1),"")</f>
        <v>E</v>
      </c>
      <c r="E348" s="3">
        <v>33</v>
      </c>
      <c r="F348" s="3" t="str">
        <f>IFERROR(MID(VLOOKUP($B348,Seqs!$A:$B,2,0),G348,1),"")</f>
        <v>H</v>
      </c>
      <c r="G348" s="3">
        <v>65</v>
      </c>
      <c r="H348" s="3" t="str">
        <f>IFERROR(MID(VLOOKUP($B348,Seqs!$A:$B,2,0),I348,1),"")</f>
        <v>K</v>
      </c>
      <c r="I348" s="23">
        <v>66</v>
      </c>
      <c r="J348" s="3" t="str">
        <f>IFERROR(MID(VLOOKUP($B348,Seqs!$A:$B,2,0),K348,1),"")</f>
        <v>R</v>
      </c>
      <c r="K348" s="23">
        <v>69</v>
      </c>
      <c r="L348" s="3" t="str">
        <f>IFERROR(MID(VLOOKUP($B348,Seqs!$A:$B,2,0),M348,1),"")</f>
        <v>T</v>
      </c>
      <c r="M348" s="3">
        <v>70</v>
      </c>
      <c r="N348" s="3" t="str">
        <f>IFERROR(MID(VLOOKUP($B348,Seqs!$A:$B,2,0),O348,1),"")</f>
        <v>G</v>
      </c>
      <c r="O348" s="3">
        <v>101</v>
      </c>
      <c r="P348" s="3" t="str">
        <f>IFERROR(MID(VLOOKUP($B348,Seqs!$A:$B,2,0),Q348,1),"")</f>
        <v>Y</v>
      </c>
      <c r="Q348" s="3">
        <v>102</v>
      </c>
      <c r="R348" s="3" t="str">
        <f>IFERROR(MID(VLOOKUP($B348,Seqs!$A:$B,2,0),S348,1),"")</f>
        <v>F</v>
      </c>
      <c r="S348" s="3">
        <v>105</v>
      </c>
      <c r="T348" s="3" t="str">
        <f>IFERROR(MID(VLOOKUP($B348,Seqs!$A:$B,2,0),U348,1),"")</f>
        <v>G</v>
      </c>
      <c r="U348" s="3">
        <v>106</v>
      </c>
      <c r="V348" s="3" t="str">
        <f>IFERROR(MID(VLOOKUP($B348,Seqs!$A:$B,2,0),W348,1),"")</f>
        <v>K</v>
      </c>
      <c r="W348" s="3">
        <v>141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E</v>
      </c>
      <c r="AC348" s="3">
        <v>150</v>
      </c>
      <c r="AD348" s="3" t="str">
        <f>IFERROR(MID(VLOOKUP($B348,Seqs!$A:$B,2,0),AE348,1),"")</f>
        <v>A</v>
      </c>
      <c r="AE348" s="3">
        <v>173</v>
      </c>
      <c r="AF348" s="3" t="str">
        <f>IFERROR(MID(VLOOKUP($B348,Seqs!$A:$B,2,0),AG348,1),"")</f>
        <v>C</v>
      </c>
      <c r="AG348" s="3">
        <v>187</v>
      </c>
      <c r="AH348" s="3" t="str">
        <f>IFERROR(MID(VLOOKUP($B348,Seqs!$A:$B,2,0),AI348,1),"")</f>
        <v>I</v>
      </c>
      <c r="AI348" s="3">
        <v>189</v>
      </c>
      <c r="AJ348" s="3" t="str">
        <f>IFERROR(MID(VLOOKUP($B348,Seqs!$A:$B,2,0),AK348,1),"")</f>
        <v>N</v>
      </c>
      <c r="AK348" s="3">
        <v>200</v>
      </c>
      <c r="AL348" s="3" t="str">
        <f>IFERROR(MID(VLOOKUP($B348,Seqs!$A:$B,2,0),AM348,1),"")</f>
        <v>Q</v>
      </c>
      <c r="AM348" s="3">
        <v>238</v>
      </c>
      <c r="AN348" s="3" t="str">
        <f>IFERROR(MID(VLOOKUP($B348,Seqs!$A:$B,2,0),AO348,1),"")</f>
        <v>S</v>
      </c>
      <c r="AO348" s="3">
        <v>240</v>
      </c>
      <c r="AP348" s="3" t="str">
        <f>IFERROR(MID(VLOOKUP($B348,Seqs!$A:$B,2,0),AQ348,1),"")</f>
        <v>H</v>
      </c>
      <c r="AQ348" s="3">
        <v>278</v>
      </c>
      <c r="AR348" s="3" t="str">
        <f>IFERROR(MID(VLOOKUP($B348,Seqs!$A:$B,2,0),AS348,1),"")</f>
        <v>I</v>
      </c>
      <c r="AS348" s="3">
        <v>286</v>
      </c>
      <c r="AT348" s="3" t="str">
        <f>IFERROR(MID(VLOOKUP($B348,Seqs!$A:$B,2,0),AU348,1),"")</f>
        <v>M</v>
      </c>
      <c r="AU348" s="3">
        <v>309</v>
      </c>
      <c r="AV348" s="3" t="str">
        <f>IFERROR(MID(VLOOKUP($B348,Seqs!$A:$B,2,0),AW348,1),"")</f>
        <v>N</v>
      </c>
      <c r="AW348" s="3">
        <v>310</v>
      </c>
      <c r="AX348" s="3" t="str">
        <f>IFERROR(MID(VLOOKUP($B348,Seqs!$A:$B,2,0),AY348,1),"")</f>
        <v>C</v>
      </c>
      <c r="AY348" s="3">
        <v>323</v>
      </c>
      <c r="AZ348" s="77" t="str">
        <f>VLOOKUP(B348,Classification!A:D,2,0)</f>
        <v>A</v>
      </c>
      <c r="BA348" s="94" t="str">
        <f>VLOOKUP(B348,Classification!A:D,4,0)</f>
        <v>Opsins</v>
      </c>
      <c r="BB348" s="27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23">
        <f>_xlfn.AGGREGATE(9,6,CH348:CS348)-_xlfn.AGGREGATE(9,6,BV348:CG348)+12</f>
        <v>253</v>
      </c>
      <c r="BD348" s="2" t="s">
        <v>23</v>
      </c>
      <c r="BE348" s="3" t="s">
        <v>1287</v>
      </c>
      <c r="BF348" s="118">
        <v>4.5</v>
      </c>
      <c r="BG348" s="49" t="s">
        <v>1429</v>
      </c>
      <c r="BH348" s="49" t="s">
        <v>1429</v>
      </c>
      <c r="BI348" s="1"/>
      <c r="BJ348" s="70" t="s">
        <v>1283</v>
      </c>
      <c r="BK348" s="57" t="s">
        <v>1283</v>
      </c>
      <c r="BL348" s="57" t="s">
        <v>1283</v>
      </c>
      <c r="BM348" s="57" t="s">
        <v>1283</v>
      </c>
      <c r="BN348" s="57" t="s">
        <v>1283</v>
      </c>
      <c r="BO348" s="57" t="s">
        <v>1283</v>
      </c>
      <c r="BP348" s="57" t="s">
        <v>1283</v>
      </c>
      <c r="BQ348" s="57" t="s">
        <v>1283</v>
      </c>
      <c r="BR348" s="57" t="s">
        <v>1283</v>
      </c>
      <c r="BS348" s="57" t="s">
        <v>1283</v>
      </c>
      <c r="BT348" s="57" t="s">
        <v>1283</v>
      </c>
      <c r="BU348" s="57" t="s">
        <v>1283</v>
      </c>
      <c r="BV348" s="70">
        <f>E348</f>
        <v>33</v>
      </c>
      <c r="BW348" s="71">
        <f>I348</f>
        <v>66</v>
      </c>
      <c r="BX348" s="72">
        <f>M348</f>
        <v>70</v>
      </c>
      <c r="BY348" s="71">
        <f>Q348</f>
        <v>102</v>
      </c>
      <c r="BZ348" s="72">
        <f>U348</f>
        <v>106</v>
      </c>
      <c r="CA348" s="71" t="str">
        <f>Y348</f>
        <v>-</v>
      </c>
      <c r="CB348" s="72">
        <f>AC348</f>
        <v>150</v>
      </c>
      <c r="CC348" s="71">
        <f>AG348</f>
        <v>187</v>
      </c>
      <c r="CD348" s="72">
        <f>AK348</f>
        <v>200</v>
      </c>
      <c r="CE348" s="71">
        <f>AO348</f>
        <v>240</v>
      </c>
      <c r="CF348" s="72">
        <f>AS348</f>
        <v>286</v>
      </c>
      <c r="CG348" s="71">
        <f>AW348</f>
        <v>310</v>
      </c>
      <c r="CH348" s="70">
        <f>G348</f>
        <v>65</v>
      </c>
      <c r="CI348" s="71">
        <f>K348</f>
        <v>69</v>
      </c>
      <c r="CJ348" s="72">
        <f>O348</f>
        <v>101</v>
      </c>
      <c r="CK348" s="72">
        <f>S348</f>
        <v>105</v>
      </c>
      <c r="CL348" s="72">
        <f>W348</f>
        <v>141</v>
      </c>
      <c r="CM348" s="72" t="str">
        <f>AA348</f>
        <v>-</v>
      </c>
      <c r="CN348" s="72">
        <f>AE348</f>
        <v>173</v>
      </c>
      <c r="CO348" s="72">
        <f>AI348</f>
        <v>189</v>
      </c>
      <c r="CP348" s="72">
        <f>AM348</f>
        <v>238</v>
      </c>
      <c r="CQ348" s="72">
        <f>AQ348</f>
        <v>278</v>
      </c>
      <c r="CR348" s="72">
        <f>AU348</f>
        <v>309</v>
      </c>
      <c r="CS348" s="72">
        <f>AY348</f>
        <v>323</v>
      </c>
      <c r="CT348" s="23">
        <f>M348-K348</f>
        <v>1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30" x14ac:dyDescent="0.2">
      <c r="A349" s="3" t="str">
        <f t="shared" si="2821"/>
        <v>opsd_todpa__wt</v>
      </c>
      <c r="B349" s="3" t="s">
        <v>917</v>
      </c>
      <c r="C349" s="3" t="s">
        <v>100</v>
      </c>
      <c r="D349" s="3" t="str">
        <f>IFERROR(MID(VLOOKUP($B349,Seqs!$A:$B,2,0),E349,1),"")</f>
        <v>D</v>
      </c>
      <c r="E349" s="3">
        <v>31</v>
      </c>
      <c r="F349" s="3" t="str">
        <f>IFERROR(MID(VLOOKUP($B349,Seqs!$A:$B,2,0),G349,1),"")</f>
        <v>T</v>
      </c>
      <c r="G349" s="3">
        <v>62</v>
      </c>
      <c r="H349" s="3" t="str">
        <f>IFERROR(MID(VLOOKUP($B349,Seqs!$A:$B,2,0),I349,1),"")</f>
        <v>K</v>
      </c>
      <c r="I349" s="23">
        <v>63</v>
      </c>
      <c r="J349" s="3" t="str">
        <f>IFERROR(MID(VLOOKUP($B349,Seqs!$A:$B,2,0),K349,1),"")</f>
        <v>Q</v>
      </c>
      <c r="K349" s="23">
        <v>66</v>
      </c>
      <c r="L349" s="3" t="str">
        <f>IFERROR(MID(VLOOKUP($B349,Seqs!$A:$B,2,0),M349,1),"")</f>
        <v>T</v>
      </c>
      <c r="M349" s="3">
        <v>67</v>
      </c>
      <c r="N349" s="3" t="str">
        <f>IFERROR(MID(VLOOKUP($B349,Seqs!$A:$B,2,0),O349,1),"")</f>
        <v>K</v>
      </c>
      <c r="O349" s="3">
        <v>99</v>
      </c>
      <c r="P349" s="3" t="str">
        <f>IFERROR(MID(VLOOKUP($B349,Seqs!$A:$B,2,0),Q349,1),"")</f>
        <v>K</v>
      </c>
      <c r="Q349" s="3">
        <v>100</v>
      </c>
      <c r="R349" s="3" t="str">
        <f>IFERROR(MID(VLOOKUP($B349,Seqs!$A:$B,2,0),S349,1),"")</f>
        <v>F</v>
      </c>
      <c r="S349" s="3">
        <v>103</v>
      </c>
      <c r="T349" s="3" t="str">
        <f>IFERROR(MID(VLOOKUP($B349,Seqs!$A:$B,2,0),U349,1),"")</f>
        <v>G</v>
      </c>
      <c r="U349" s="3">
        <v>104</v>
      </c>
      <c r="V349" s="3" t="str">
        <f>IFERROR(MID(VLOOKUP($B349,Seqs!$A:$B,2,0),W349,1),"")</f>
        <v>R</v>
      </c>
      <c r="W349" s="3">
        <v>139</v>
      </c>
      <c r="X349" s="3" t="str">
        <f>IFERROR(MID(VLOOKUP($B349,Seqs!$A:$B,2,0),Y349,1),"")</f>
        <v>P</v>
      </c>
      <c r="Y349" s="3">
        <v>140</v>
      </c>
      <c r="Z349" s="3" t="str">
        <f>IFERROR(MID(VLOOKUP($B349,Seqs!$A:$B,2,0),AA349,1),"")</f>
        <v>M</v>
      </c>
      <c r="AA349" s="3">
        <v>147</v>
      </c>
      <c r="AB349" s="3" t="str">
        <f>IFERROR(MID(VLOOKUP($B349,Seqs!$A:$B,2,0),AC349,1),"")</f>
        <v>S</v>
      </c>
      <c r="AC349" s="9">
        <v>148</v>
      </c>
      <c r="AD349" s="3" t="str">
        <f>IFERROR(MID(VLOOKUP($B349,Seqs!$A:$B,2,0),AE349,1),"")</f>
        <v>F</v>
      </c>
      <c r="AE349" s="3">
        <v>172</v>
      </c>
      <c r="AF349" s="3" t="str">
        <f>IFERROR(MID(VLOOKUP($B349,Seqs!$A:$B,2,0),AG349,1),"")</f>
        <v>C</v>
      </c>
      <c r="AG349" s="3">
        <v>186</v>
      </c>
      <c r="AH349" s="3" t="str">
        <f>IFERROR(MID(VLOOKUP($B349,Seqs!$A:$B,2,0),AI349,1),"")</f>
        <v>F</v>
      </c>
      <c r="AI349" s="3">
        <v>188</v>
      </c>
      <c r="AJ349" s="3" t="str">
        <f>IFERROR(MID(VLOOKUP($B349,Seqs!$A:$B,2,0),AK349,1),"")</f>
        <v>D</v>
      </c>
      <c r="AK349" s="3">
        <v>194</v>
      </c>
      <c r="AL349" s="3" t="str">
        <f>IFERROR(MID(VLOOKUP($B349,Seqs!$A:$B,2,0),AM349,1),"")</f>
        <v>K</v>
      </c>
      <c r="AM349" s="3">
        <v>239</v>
      </c>
      <c r="AN349" s="3" t="str">
        <f>IFERROR(MID(VLOOKUP($B349,Seqs!$A:$B,2,0),AO349,1),"")</f>
        <v>K</v>
      </c>
      <c r="AO349" s="3">
        <v>244</v>
      </c>
      <c r="AP349" s="3" t="str">
        <f>IFERROR(MID(VLOOKUP($B349,Seqs!$A:$B,2,0),AQ349,1),"")</f>
        <v>G</v>
      </c>
      <c r="AQ349" s="3">
        <v>287</v>
      </c>
      <c r="AR349" s="3" t="str">
        <f>IFERROR(MID(VLOOKUP($B349,Seqs!$A:$B,2,0),AS349,1),"")</f>
        <v>T</v>
      </c>
      <c r="AS349" s="3">
        <v>293</v>
      </c>
      <c r="AT349" s="3" t="str">
        <f>IFERROR(MID(VLOOKUP($B349,Seqs!$A:$B,2,0),AU349,1),"")</f>
        <v>S</v>
      </c>
      <c r="AU349" s="3">
        <v>318</v>
      </c>
      <c r="AV349" s="3" t="str">
        <f>IFERROR(MID(VLOOKUP($B349,Seqs!$A:$B,2,0),AW349,1),"")</f>
        <v>H</v>
      </c>
      <c r="AW349" s="3">
        <v>319</v>
      </c>
      <c r="AX349" s="3" t="str">
        <f>IFERROR(MID(VLOOKUP($B349,Seqs!$A:$B,2,0),AY349,1),"")</f>
        <v>F</v>
      </c>
      <c r="AY349" s="3">
        <v>330</v>
      </c>
      <c r="AZ349" s="77" t="str">
        <f>VLOOKUP(B349,Classification!A:D,2,0)</f>
        <v>A</v>
      </c>
      <c r="BA349" s="94" t="str">
        <f>VLOOKUP(B349,Classification!A:D,4,0)</f>
        <v>Opsins</v>
      </c>
      <c r="BB349" s="27" t="b">
        <f t="shared" si="2822"/>
        <v>1</v>
      </c>
      <c r="BC349" s="23">
        <f t="shared" si="2795"/>
        <v>273</v>
      </c>
      <c r="BD349" s="56" t="s">
        <v>23</v>
      </c>
      <c r="BE349" s="3" t="s">
        <v>23</v>
      </c>
      <c r="BF349" s="118" t="s">
        <v>23</v>
      </c>
      <c r="BG349" s="49" t="s">
        <v>1368</v>
      </c>
      <c r="BH349" s="49" t="s">
        <v>1373</v>
      </c>
      <c r="BI349" s="1"/>
      <c r="BJ349" s="70" t="s">
        <v>1283</v>
      </c>
      <c r="BK349" s="57" t="s">
        <v>1283</v>
      </c>
      <c r="BL349" s="57" t="s">
        <v>1283</v>
      </c>
      <c r="BM349" s="57" t="s">
        <v>1283</v>
      </c>
      <c r="BN349" s="57" t="s">
        <v>1283</v>
      </c>
      <c r="BO349" s="57" t="s">
        <v>1283</v>
      </c>
      <c r="BP349" s="57" t="s">
        <v>1283</v>
      </c>
      <c r="BQ349" s="57" t="s">
        <v>1283</v>
      </c>
      <c r="BR349" s="57" t="s">
        <v>1283</v>
      </c>
      <c r="BS349" s="57" t="s">
        <v>1283</v>
      </c>
      <c r="BT349" s="57" t="s">
        <v>1283</v>
      </c>
      <c r="BU349" s="57" t="s">
        <v>1283</v>
      </c>
      <c r="BV349" s="70">
        <f t="shared" si="2796"/>
        <v>31</v>
      </c>
      <c r="BW349" s="71">
        <f t="shared" si="2797"/>
        <v>63</v>
      </c>
      <c r="BX349" s="72">
        <f t="shared" si="2798"/>
        <v>67</v>
      </c>
      <c r="BY349" s="71">
        <f t="shared" si="2799"/>
        <v>100</v>
      </c>
      <c r="BZ349" s="72">
        <f t="shared" si="2800"/>
        <v>104</v>
      </c>
      <c r="CA349" s="71">
        <f t="shared" si="2801"/>
        <v>140</v>
      </c>
      <c r="CB349" s="72">
        <f t="shared" si="2802"/>
        <v>148</v>
      </c>
      <c r="CC349" s="71">
        <f t="shared" si="2803"/>
        <v>186</v>
      </c>
      <c r="CD349" s="72">
        <f t="shared" si="2804"/>
        <v>194</v>
      </c>
      <c r="CE349" s="71">
        <f t="shared" si="2805"/>
        <v>244</v>
      </c>
      <c r="CF349" s="72">
        <f t="shared" si="2806"/>
        <v>293</v>
      </c>
      <c r="CG349" s="71">
        <f t="shared" si="2807"/>
        <v>319</v>
      </c>
      <c r="CH349" s="70">
        <f t="shared" si="2808"/>
        <v>62</v>
      </c>
      <c r="CI349" s="71">
        <f t="shared" si="2809"/>
        <v>66</v>
      </c>
      <c r="CJ349" s="72">
        <f t="shared" si="2810"/>
        <v>99</v>
      </c>
      <c r="CK349" s="72">
        <f t="shared" si="2811"/>
        <v>103</v>
      </c>
      <c r="CL349" s="72">
        <f t="shared" si="2812"/>
        <v>139</v>
      </c>
      <c r="CM349" s="72">
        <f t="shared" si="2813"/>
        <v>147</v>
      </c>
      <c r="CN349" s="72">
        <f t="shared" si="2814"/>
        <v>172</v>
      </c>
      <c r="CO349" s="72">
        <f t="shared" si="2815"/>
        <v>188</v>
      </c>
      <c r="CP349" s="72">
        <f t="shared" si="2816"/>
        <v>239</v>
      </c>
      <c r="CQ349" s="72">
        <f t="shared" si="2817"/>
        <v>287</v>
      </c>
      <c r="CR349" s="72">
        <f t="shared" si="2818"/>
        <v>318</v>
      </c>
      <c r="CS349" s="72">
        <f t="shared" si="2819"/>
        <v>330</v>
      </c>
      <c r="CT349" s="23">
        <f t="shared" si="2820"/>
        <v>1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30" x14ac:dyDescent="0.2">
      <c r="A350" s="3" t="str">
        <f t="shared" si="2821"/>
        <v>opsd_todpa_2Z73</v>
      </c>
      <c r="B350" s="3" t="s">
        <v>917</v>
      </c>
      <c r="C350" s="3" t="s">
        <v>97</v>
      </c>
      <c r="D350" s="3" t="str">
        <f>IFERROR(MID(VLOOKUP($B350,Seqs!$A:$B,2,0),E350,1),"")</f>
        <v>D</v>
      </c>
      <c r="E350" s="3">
        <v>31</v>
      </c>
      <c r="F350" s="3" t="str">
        <f>IFERROR(MID(VLOOKUP($B350,Seqs!$A:$B,2,0),G350,1),"")</f>
        <v>T</v>
      </c>
      <c r="G350" s="3">
        <v>62</v>
      </c>
      <c r="H350" s="3" t="str">
        <f>IFERROR(MID(VLOOKUP($B350,Seqs!$A:$B,2,0),I350,1),"")</f>
        <v>K</v>
      </c>
      <c r="I350" s="23">
        <v>63</v>
      </c>
      <c r="J350" s="3" t="str">
        <f>IFERROR(MID(VLOOKUP($B350,Seqs!$A:$B,2,0),K350,1),"")</f>
        <v>Q</v>
      </c>
      <c r="K350" s="23">
        <v>66</v>
      </c>
      <c r="L350" s="3" t="str">
        <f>IFERROR(MID(VLOOKUP($B350,Seqs!$A:$B,2,0),M350,1),"")</f>
        <v>T</v>
      </c>
      <c r="M350" s="3">
        <v>67</v>
      </c>
      <c r="N350" s="3" t="str">
        <f>IFERROR(MID(VLOOKUP($B350,Seqs!$A:$B,2,0),O350,1),"")</f>
        <v>K</v>
      </c>
      <c r="O350" s="3">
        <v>99</v>
      </c>
      <c r="P350" s="3" t="str">
        <f>IFERROR(MID(VLOOKUP($B350,Seqs!$A:$B,2,0),Q350,1),"")</f>
        <v>K</v>
      </c>
      <c r="Q350" s="3">
        <v>100</v>
      </c>
      <c r="R350" s="3" t="str">
        <f>IFERROR(MID(VLOOKUP($B350,Seqs!$A:$B,2,0),S350,1),"")</f>
        <v>F</v>
      </c>
      <c r="S350" s="3">
        <v>103</v>
      </c>
      <c r="T350" s="3" t="str">
        <f>IFERROR(MID(VLOOKUP($B350,Seqs!$A:$B,2,0),U350,1),"")</f>
        <v>G</v>
      </c>
      <c r="U350" s="3">
        <v>104</v>
      </c>
      <c r="V350" s="3" t="str">
        <f>IFERROR(MID(VLOOKUP($B350,Seqs!$A:$B,2,0),W350,1),"")</f>
        <v>R</v>
      </c>
      <c r="W350" s="3">
        <v>139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S</v>
      </c>
      <c r="AC350" s="9">
        <v>148</v>
      </c>
      <c r="AD350" s="3" t="str">
        <f>IFERROR(MID(VLOOKUP($B350,Seqs!$A:$B,2,0),AE350,1),"")</f>
        <v>F</v>
      </c>
      <c r="AE350" s="3">
        <v>172</v>
      </c>
      <c r="AF350" s="3" t="str">
        <f>IFERROR(MID(VLOOKUP($B350,Seqs!$A:$B,2,0),AG350,1),"")</f>
        <v>C</v>
      </c>
      <c r="AG350" s="3">
        <v>186</v>
      </c>
      <c r="AH350" s="3" t="str">
        <f>IFERROR(MID(VLOOKUP($B350,Seqs!$A:$B,2,0),AI350,1),"")</f>
        <v>F</v>
      </c>
      <c r="AI350" s="3">
        <v>188</v>
      </c>
      <c r="AJ350" s="3" t="str">
        <f>IFERROR(MID(VLOOKUP($B350,Seqs!$A:$B,2,0),AK350,1),"")</f>
        <v>D</v>
      </c>
      <c r="AK350" s="3">
        <v>194</v>
      </c>
      <c r="AL350" s="3" t="str">
        <f>IFERROR(MID(VLOOKUP($B350,Seqs!$A:$B,2,0),AM350,1),"")</f>
        <v>K</v>
      </c>
      <c r="AM350" s="3">
        <v>239</v>
      </c>
      <c r="AN350" s="3" t="str">
        <f>IFERROR(MID(VLOOKUP($B350,Seqs!$A:$B,2,0),AO350,1),"")</f>
        <v>K</v>
      </c>
      <c r="AO350" s="3">
        <v>244</v>
      </c>
      <c r="AP350" s="3" t="str">
        <f>IFERROR(MID(VLOOKUP($B350,Seqs!$A:$B,2,0),AQ350,1),"")</f>
        <v>G</v>
      </c>
      <c r="AQ350" s="3">
        <v>287</v>
      </c>
      <c r="AR350" s="3" t="str">
        <f>IFERROR(MID(VLOOKUP($B350,Seqs!$A:$B,2,0),AS350,1),"")</f>
        <v>T</v>
      </c>
      <c r="AS350" s="3">
        <v>293</v>
      </c>
      <c r="AT350" s="3" t="str">
        <f>IFERROR(MID(VLOOKUP($B350,Seqs!$A:$B,2,0),AU350,1),"")</f>
        <v>S</v>
      </c>
      <c r="AU350" s="3">
        <v>318</v>
      </c>
      <c r="AV350" s="3" t="str">
        <f>IFERROR(MID(VLOOKUP($B350,Seqs!$A:$B,2,0),AW350,1),"")</f>
        <v>H</v>
      </c>
      <c r="AW350" s="3">
        <v>319</v>
      </c>
      <c r="AX350" s="3" t="str">
        <f>IFERROR(MID(VLOOKUP($B350,Seqs!$A:$B,2,0),AY350,1),"")</f>
        <v>F</v>
      </c>
      <c r="AY350" s="3">
        <v>330</v>
      </c>
      <c r="AZ350" s="77" t="str">
        <f>VLOOKUP(B350,Classification!A:D,2,0)</f>
        <v>A</v>
      </c>
      <c r="BA350" s="94" t="str">
        <f>VLOOKUP(B350,Classification!A:D,4,0)</f>
        <v>Opsins</v>
      </c>
      <c r="BB350" s="27" t="b">
        <f t="shared" si="2822"/>
        <v>1</v>
      </c>
      <c r="BC350" s="23">
        <f t="shared" si="2795"/>
        <v>266</v>
      </c>
      <c r="BD350" s="2" t="s">
        <v>23</v>
      </c>
      <c r="BE350" s="3" t="s">
        <v>1370</v>
      </c>
      <c r="BF350" s="118">
        <v>2.5</v>
      </c>
      <c r="BG350" s="49" t="s">
        <v>1373</v>
      </c>
      <c r="BH350" s="49" t="s">
        <v>1373</v>
      </c>
      <c r="BI350" s="1"/>
      <c r="BJ350" s="70" t="s">
        <v>1283</v>
      </c>
      <c r="BK350" s="57" t="s">
        <v>1283</v>
      </c>
      <c r="BL350" s="57" t="s">
        <v>1283</v>
      </c>
      <c r="BM350" s="57" t="s">
        <v>1283</v>
      </c>
      <c r="BN350" s="57" t="s">
        <v>1283</v>
      </c>
      <c r="BO350" s="57" t="s">
        <v>1283</v>
      </c>
      <c r="BP350" s="57" t="s">
        <v>1283</v>
      </c>
      <c r="BQ350" s="57" t="s">
        <v>1283</v>
      </c>
      <c r="BR350" s="57" t="s">
        <v>1283</v>
      </c>
      <c r="BS350" s="57" t="s">
        <v>1283</v>
      </c>
      <c r="BT350" s="57" t="s">
        <v>1283</v>
      </c>
      <c r="BU350" s="57" t="s">
        <v>1283</v>
      </c>
      <c r="BV350" s="70">
        <f t="shared" si="2796"/>
        <v>31</v>
      </c>
      <c r="BW350" s="71">
        <f t="shared" si="2797"/>
        <v>63</v>
      </c>
      <c r="BX350" s="72">
        <f t="shared" si="2798"/>
        <v>67</v>
      </c>
      <c r="BY350" s="71">
        <f t="shared" si="2799"/>
        <v>100</v>
      </c>
      <c r="BZ350" s="72">
        <f t="shared" si="2800"/>
        <v>104</v>
      </c>
      <c r="CA350" s="71" t="str">
        <f t="shared" si="2801"/>
        <v>-</v>
      </c>
      <c r="CB350" s="72">
        <f t="shared" si="2802"/>
        <v>148</v>
      </c>
      <c r="CC350" s="71">
        <f t="shared" si="2803"/>
        <v>186</v>
      </c>
      <c r="CD350" s="72">
        <f t="shared" si="2804"/>
        <v>194</v>
      </c>
      <c r="CE350" s="71">
        <f t="shared" si="2805"/>
        <v>244</v>
      </c>
      <c r="CF350" s="72">
        <f t="shared" si="2806"/>
        <v>293</v>
      </c>
      <c r="CG350" s="71">
        <f t="shared" si="2807"/>
        <v>319</v>
      </c>
      <c r="CH350" s="70">
        <f t="shared" si="2808"/>
        <v>62</v>
      </c>
      <c r="CI350" s="71">
        <f t="shared" si="2809"/>
        <v>66</v>
      </c>
      <c r="CJ350" s="72">
        <f t="shared" si="2810"/>
        <v>99</v>
      </c>
      <c r="CK350" s="72">
        <f t="shared" si="2811"/>
        <v>103</v>
      </c>
      <c r="CL350" s="72">
        <f t="shared" si="2812"/>
        <v>139</v>
      </c>
      <c r="CM350" s="72" t="str">
        <f t="shared" si="2813"/>
        <v>-</v>
      </c>
      <c r="CN350" s="72">
        <f t="shared" si="2814"/>
        <v>172</v>
      </c>
      <c r="CO350" s="72">
        <f t="shared" si="2815"/>
        <v>188</v>
      </c>
      <c r="CP350" s="72">
        <f t="shared" si="2816"/>
        <v>239</v>
      </c>
      <c r="CQ350" s="72">
        <f t="shared" si="2817"/>
        <v>287</v>
      </c>
      <c r="CR350" s="72">
        <f t="shared" si="2818"/>
        <v>318</v>
      </c>
      <c r="CS350" s="72">
        <f t="shared" si="2819"/>
        <v>330</v>
      </c>
      <c r="CT350" s="23">
        <f t="shared" si="2820"/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  <c r="AMP350" s="2"/>
    </row>
    <row r="351" spans="1:1030" x14ac:dyDescent="0.2">
      <c r="A351" s="3" t="str">
        <f t="shared" si="2821"/>
        <v>ox1r_human__wt</v>
      </c>
      <c r="B351" s="3" t="s">
        <v>1170</v>
      </c>
      <c r="C351" s="3" t="s">
        <v>100</v>
      </c>
      <c r="D351" s="3" t="str">
        <f>IFERROR(MID(VLOOKUP($B351,Seqs!$A:$B,2,0),E351,1),"")</f>
        <v>E</v>
      </c>
      <c r="E351" s="3">
        <v>46</v>
      </c>
      <c r="F351" s="3" t="str">
        <f>IFERROR(MID(VLOOKUP($B351,Seqs!$A:$B,2,0),G351,1),"")</f>
        <v>N</v>
      </c>
      <c r="G351" s="3">
        <v>74</v>
      </c>
      <c r="H351" s="3" t="str">
        <f>IFERROR(MID(VLOOKUP($B351,Seqs!$A:$B,2,0),I351,1),"")</f>
        <v>H</v>
      </c>
      <c r="I351" s="23">
        <v>75</v>
      </c>
      <c r="J351" s="3" t="str">
        <f>IFERROR(MID(VLOOKUP($B351,Seqs!$A:$B,2,0),K351,1),"")</f>
        <v>R</v>
      </c>
      <c r="K351" s="23">
        <v>78</v>
      </c>
      <c r="L351" s="3" t="str">
        <f>IFERROR(MID(VLOOKUP($B351,Seqs!$A:$B,2,0),M351,1),"")</f>
        <v>T</v>
      </c>
      <c r="M351" s="3">
        <v>79</v>
      </c>
      <c r="N351" s="3" t="str">
        <f>IFERROR(MID(VLOOKUP($B351,Seqs!$A:$B,2,0),O351,1),"")</f>
        <v>E</v>
      </c>
      <c r="O351" s="105">
        <v>110</v>
      </c>
      <c r="P351" s="3" t="str">
        <f>IFERROR(MID(VLOOKUP($B351,Seqs!$A:$B,2,0),Q351,1),"")</f>
        <v>S</v>
      </c>
      <c r="Q351" s="3">
        <v>111</v>
      </c>
      <c r="R351" s="3" t="str">
        <f>IFERROR(MID(VLOOKUP($B351,Seqs!$A:$B,2,0),S351,1),"")</f>
        <v>F</v>
      </c>
      <c r="S351" s="3">
        <v>114</v>
      </c>
      <c r="T351" s="3" t="str">
        <f>IFERROR(MID(VLOOKUP($B351,Seqs!$A:$B,2,0),U351,1),"")</f>
        <v>G</v>
      </c>
      <c r="U351" s="3">
        <v>115</v>
      </c>
      <c r="V351" s="3" t="str">
        <f>IFERROR(MID(VLOOKUP($B351,Seqs!$A:$B,2,0),W351,1),"")</f>
        <v>H</v>
      </c>
      <c r="W351" s="3">
        <v>150</v>
      </c>
      <c r="X351" s="3" t="str">
        <f>IFERROR(MID(VLOOKUP($B351,Seqs!$A:$B,2,0),Y351,1),"")</f>
        <v>P</v>
      </c>
      <c r="Y351" s="3">
        <v>151</v>
      </c>
      <c r="Z351" s="3" t="str">
        <f>IFERROR(MID(VLOOKUP($B351,Seqs!$A:$B,2,0),AA351,1),"")</f>
        <v>F</v>
      </c>
      <c r="AA351" s="73">
        <v>154</v>
      </c>
      <c r="AB351" s="3" t="str">
        <f>IFERROR(MID(VLOOKUP($B351,Seqs!$A:$B,2,0),AC351,1),"")</f>
        <v>T</v>
      </c>
      <c r="AC351" s="9">
        <v>157</v>
      </c>
      <c r="AD351" s="3" t="str">
        <f>IFERROR(MID(VLOOKUP($B351,Seqs!$A:$B,2,0),AE351,1),"")</f>
        <v>M</v>
      </c>
      <c r="AE351" s="3">
        <v>183</v>
      </c>
      <c r="AF351" s="3" t="str">
        <f>IFERROR(MID(VLOOKUP($B351,Seqs!$A:$B,2,0),AG351,1),"")</f>
        <v>C</v>
      </c>
      <c r="AG351" s="3">
        <v>202</v>
      </c>
      <c r="AH351" s="3" t="str">
        <f>IFERROR(MID(VLOOKUP($B351,Seqs!$A:$B,2,0),AI351,1),"")</f>
        <v>E</v>
      </c>
      <c r="AI351" s="3">
        <v>204</v>
      </c>
      <c r="AJ351" s="3" t="str">
        <f>IFERROR(MID(VLOOKUP($B351,Seqs!$A:$B,2,0),AK351,1),"")</f>
        <v>L</v>
      </c>
      <c r="AK351" s="105">
        <v>210</v>
      </c>
      <c r="AL351" s="3" t="str">
        <f>IFERROR(MID(VLOOKUP($B351,Seqs!$A:$B,2,0),AM351,1),"")</f>
        <v>P</v>
      </c>
      <c r="AM351" s="3">
        <v>248</v>
      </c>
      <c r="AN351" s="3" t="str">
        <f>IFERROR(MID(VLOOKUP($B351,Seqs!$A:$B,2,0),AO351,1),"")</f>
        <v>F</v>
      </c>
      <c r="AO351" s="3">
        <v>283</v>
      </c>
      <c r="AP351" s="3" t="str">
        <f>IFERROR(MID(VLOOKUP($B351,Seqs!$A:$B,2,0),AQ351,1),"")</f>
        <v>F</v>
      </c>
      <c r="AQ351" s="3">
        <v>324</v>
      </c>
      <c r="AR351" s="3" t="str">
        <f>IFERROR(MID(VLOOKUP($B351,Seqs!$A:$B,2,0),AS351,1),"")</f>
        <v>D</v>
      </c>
      <c r="AS351" s="105">
        <v>332</v>
      </c>
      <c r="AT351" s="3" t="str">
        <f>IFERROR(MID(VLOOKUP($B351,Seqs!$A:$B,2,0),AU351,1),"")</f>
        <v>L</v>
      </c>
      <c r="AU351" s="3">
        <v>361</v>
      </c>
      <c r="AV351" s="3" t="str">
        <f>IFERROR(MID(VLOOKUP($B351,Seqs!$A:$B,2,0),AW351,1),"")</f>
        <v>S</v>
      </c>
      <c r="AW351" s="3">
        <v>362</v>
      </c>
      <c r="AX351" s="3" t="str">
        <f>IFERROR(MID(VLOOKUP($B351,Seqs!$A:$B,2,0),AY351,1),"")</f>
        <v>P</v>
      </c>
      <c r="AY351" s="3">
        <v>378</v>
      </c>
      <c r="AZ351" s="77" t="str">
        <f>VLOOKUP(B351,Classification!A:D,2,0)</f>
        <v>A</v>
      </c>
      <c r="BA351" s="94" t="str">
        <f>VLOOKUP(B351,Classification!A:D,4,0)</f>
        <v>Orexin</v>
      </c>
      <c r="BB351" s="27" t="b">
        <f t="shared" si="2822"/>
        <v>1</v>
      </c>
      <c r="BC351" s="23">
        <f t="shared" si="2795"/>
        <v>267</v>
      </c>
      <c r="BD351" s="56" t="s">
        <v>23</v>
      </c>
      <c r="BE351" s="3" t="s">
        <v>23</v>
      </c>
      <c r="BF351" s="118" t="s">
        <v>23</v>
      </c>
      <c r="BG351" s="49" t="s">
        <v>1368</v>
      </c>
      <c r="BH351" s="49" t="s">
        <v>1373</v>
      </c>
      <c r="BI351" s="1"/>
      <c r="BJ351" s="70" t="s">
        <v>1283</v>
      </c>
      <c r="BK351" s="57" t="s">
        <v>1283</v>
      </c>
      <c r="BL351" s="57" t="s">
        <v>1283</v>
      </c>
      <c r="BM351" s="57" t="s">
        <v>1283</v>
      </c>
      <c r="BN351" s="57" t="s">
        <v>1283</v>
      </c>
      <c r="BO351" s="57" t="s">
        <v>1283</v>
      </c>
      <c r="BP351" s="57" t="s">
        <v>1283</v>
      </c>
      <c r="BQ351" s="57" t="s">
        <v>1283</v>
      </c>
      <c r="BR351" s="57" t="s">
        <v>1283</v>
      </c>
      <c r="BS351" s="57" t="s">
        <v>1283</v>
      </c>
      <c r="BT351" s="57" t="s">
        <v>1283</v>
      </c>
      <c r="BU351" s="57" t="s">
        <v>1283</v>
      </c>
      <c r="BV351" s="70">
        <f t="shared" si="2796"/>
        <v>46</v>
      </c>
      <c r="BW351" s="71">
        <f t="shared" si="2797"/>
        <v>75</v>
      </c>
      <c r="BX351" s="72">
        <f t="shared" si="2798"/>
        <v>79</v>
      </c>
      <c r="BY351" s="71">
        <f t="shared" si="2799"/>
        <v>111</v>
      </c>
      <c r="BZ351" s="72">
        <f t="shared" si="2800"/>
        <v>115</v>
      </c>
      <c r="CA351" s="71">
        <f t="shared" si="2801"/>
        <v>151</v>
      </c>
      <c r="CB351" s="72">
        <f t="shared" si="2802"/>
        <v>157</v>
      </c>
      <c r="CC351" s="71">
        <f t="shared" si="2803"/>
        <v>202</v>
      </c>
      <c r="CD351" s="72">
        <f t="shared" si="2804"/>
        <v>210</v>
      </c>
      <c r="CE351" s="71">
        <f t="shared" si="2805"/>
        <v>283</v>
      </c>
      <c r="CF351" s="72">
        <f t="shared" si="2806"/>
        <v>332</v>
      </c>
      <c r="CG351" s="71">
        <f t="shared" si="2807"/>
        <v>362</v>
      </c>
      <c r="CH351" s="70">
        <f t="shared" si="2808"/>
        <v>74</v>
      </c>
      <c r="CI351" s="71">
        <f t="shared" si="2809"/>
        <v>78</v>
      </c>
      <c r="CJ351" s="72">
        <f t="shared" si="2810"/>
        <v>110</v>
      </c>
      <c r="CK351" s="72">
        <f t="shared" si="2811"/>
        <v>114</v>
      </c>
      <c r="CL351" s="72">
        <f t="shared" si="2812"/>
        <v>150</v>
      </c>
      <c r="CM351" s="72">
        <f t="shared" si="2813"/>
        <v>154</v>
      </c>
      <c r="CN351" s="72">
        <f t="shared" si="2814"/>
        <v>183</v>
      </c>
      <c r="CO351" s="72">
        <f t="shared" si="2815"/>
        <v>204</v>
      </c>
      <c r="CP351" s="72">
        <f t="shared" si="2816"/>
        <v>248</v>
      </c>
      <c r="CQ351" s="72">
        <f t="shared" si="2817"/>
        <v>324</v>
      </c>
      <c r="CR351" s="72">
        <f t="shared" si="2818"/>
        <v>361</v>
      </c>
      <c r="CS351" s="72">
        <f t="shared" si="2819"/>
        <v>378</v>
      </c>
      <c r="CT351" s="23">
        <f t="shared" si="2820"/>
        <v>1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30" x14ac:dyDescent="0.2">
      <c r="A352" s="3" t="str">
        <f t="shared" si="2821"/>
        <v>ox1r_human_4ZJ8</v>
      </c>
      <c r="B352" s="3" t="s">
        <v>1170</v>
      </c>
      <c r="C352" s="3" t="s">
        <v>90</v>
      </c>
      <c r="D352" s="3" t="str">
        <f>IFERROR(MID(VLOOKUP($B352,Seqs!$A:$B,2,0),E352,1),"")</f>
        <v>E</v>
      </c>
      <c r="E352" s="3">
        <v>46</v>
      </c>
      <c r="F352" s="3" t="str">
        <f>IFERROR(MID(VLOOKUP($B352,Seqs!$A:$B,2,0),G352,1),"")</f>
        <v>N</v>
      </c>
      <c r="G352" s="3">
        <v>74</v>
      </c>
      <c r="H352" s="3" t="str">
        <f>IFERROR(MID(VLOOKUP($B352,Seqs!$A:$B,2,0),I352,1),"")</f>
        <v>H</v>
      </c>
      <c r="I352" s="23">
        <v>75</v>
      </c>
      <c r="J352" s="3" t="str">
        <f>IFERROR(MID(VLOOKUP($B352,Seqs!$A:$B,2,0),K352,1),"")</f>
        <v>R</v>
      </c>
      <c r="K352" s="23">
        <v>78</v>
      </c>
      <c r="L352" s="3" t="str">
        <f>IFERROR(MID(VLOOKUP($B352,Seqs!$A:$B,2,0),M352,1),"")</f>
        <v>T</v>
      </c>
      <c r="M352" s="3">
        <v>79</v>
      </c>
      <c r="N352" s="3" t="str">
        <f>IFERROR(MID(VLOOKUP($B352,Seqs!$A:$B,2,0),O352,1),"")</f>
        <v>E</v>
      </c>
      <c r="O352" s="3">
        <v>110</v>
      </c>
      <c r="P352" s="3" t="str">
        <f>IFERROR(MID(VLOOKUP($B352,Seqs!$A:$B,2,0),Q352,1),"")</f>
        <v>S</v>
      </c>
      <c r="Q352" s="3">
        <v>111</v>
      </c>
      <c r="R352" s="3" t="str">
        <f>IFERROR(MID(VLOOKUP($B352,Seqs!$A:$B,2,0),S352,1),"")</f>
        <v>F</v>
      </c>
      <c r="S352" s="3">
        <v>114</v>
      </c>
      <c r="T352" s="3" t="str">
        <f>IFERROR(MID(VLOOKUP($B352,Seqs!$A:$B,2,0),U352,1),"")</f>
        <v>G</v>
      </c>
      <c r="U352" s="3">
        <v>115</v>
      </c>
      <c r="V352" s="3" t="str">
        <f>IFERROR(MID(VLOOKUP($B352,Seqs!$A:$B,2,0),W352,1),"")</f>
        <v>H</v>
      </c>
      <c r="W352" s="3">
        <v>150</v>
      </c>
      <c r="X352" s="3" t="str">
        <f>IFERROR(MID(VLOOKUP($B352,Seqs!$A:$B,2,0),Y352,1),"")</f>
        <v>P</v>
      </c>
      <c r="Y352" s="3">
        <v>151</v>
      </c>
      <c r="Z352" s="3" t="str">
        <f>IFERROR(MID(VLOOKUP($B352,Seqs!$A:$B,2,0),AA352,1),"")</f>
        <v>F</v>
      </c>
      <c r="AA352" s="3">
        <v>154</v>
      </c>
      <c r="AB352" s="3" t="str">
        <f>IFERROR(MID(VLOOKUP($B352,Seqs!$A:$B,2,0),AC352,1),"")</f>
        <v>T</v>
      </c>
      <c r="AC352" s="9">
        <v>157</v>
      </c>
      <c r="AD352" s="3" t="str">
        <f>IFERROR(MID(VLOOKUP($B352,Seqs!$A:$B,2,0),AE352,1),"")</f>
        <v>M</v>
      </c>
      <c r="AE352" s="3">
        <v>183</v>
      </c>
      <c r="AF352" s="3" t="str">
        <f>IFERROR(MID(VLOOKUP($B352,Seqs!$A:$B,2,0),AG352,1),"")</f>
        <v>C</v>
      </c>
      <c r="AG352" s="3">
        <v>202</v>
      </c>
      <c r="AH352" s="3" t="str">
        <f>IFERROR(MID(VLOOKUP($B352,Seqs!$A:$B,2,0),AI352,1),"")</f>
        <v>E</v>
      </c>
      <c r="AI352" s="3">
        <v>204</v>
      </c>
      <c r="AJ352" s="3" t="str">
        <f>IFERROR(MID(VLOOKUP($B352,Seqs!$A:$B,2,0),AK352,1),"")</f>
        <v>L</v>
      </c>
      <c r="AK352" s="3">
        <v>210</v>
      </c>
      <c r="AL352" s="3" t="str">
        <f>IFERROR(MID(VLOOKUP($B352,Seqs!$A:$B,2,0),AM352,1),"")</f>
        <v>L</v>
      </c>
      <c r="AM352" s="3">
        <v>242</v>
      </c>
      <c r="AN352" s="3" t="str">
        <f>IFERROR(MID(VLOOKUP($B352,Seqs!$A:$B,2,0),AO352,1),"")</f>
        <v>K</v>
      </c>
      <c r="AO352" s="3">
        <v>288</v>
      </c>
      <c r="AP352" s="3" t="str">
        <f>IFERROR(MID(VLOOKUP($B352,Seqs!$A:$B,2,0),AQ352,1),"")</f>
        <v>F</v>
      </c>
      <c r="AQ352" s="3">
        <v>324</v>
      </c>
      <c r="AR352" s="3" t="str">
        <f>IFERROR(MID(VLOOKUP($B352,Seqs!$A:$B,2,0),AS352,1),"")</f>
        <v>R</v>
      </c>
      <c r="AS352" s="3">
        <v>333</v>
      </c>
      <c r="AT352" s="3" t="str">
        <f>IFERROR(MID(VLOOKUP($B352,Seqs!$A:$B,2,0),AU352,1),"")</f>
        <v>L</v>
      </c>
      <c r="AU352" s="3">
        <v>361</v>
      </c>
      <c r="AV352" s="3" t="str">
        <f>IFERROR(MID(VLOOKUP($B352,Seqs!$A:$B,2,0),AW352,1),"")</f>
        <v>S</v>
      </c>
      <c r="AW352" s="3">
        <v>362</v>
      </c>
      <c r="AX352" s="3" t="str">
        <f>IFERROR(MID(VLOOKUP($B352,Seqs!$A:$B,2,0),AY352,1),"")</f>
        <v>F</v>
      </c>
      <c r="AY352" s="3">
        <v>373</v>
      </c>
      <c r="AZ352" s="77" t="str">
        <f>VLOOKUP(B352,Classification!A:D,2,0)</f>
        <v>A</v>
      </c>
      <c r="BA352" s="94" t="str">
        <f>VLOOKUP(B352,Classification!A:D,4,0)</f>
        <v>Orexin</v>
      </c>
      <c r="BB352" s="27" t="b">
        <f t="shared" si="2822"/>
        <v>1</v>
      </c>
      <c r="BC352" s="23">
        <f t="shared" si="2795"/>
        <v>250</v>
      </c>
      <c r="BD352" s="4" t="s">
        <v>23</v>
      </c>
      <c r="BE352" s="3" t="s">
        <v>1370</v>
      </c>
      <c r="BF352" s="118">
        <v>2.75</v>
      </c>
      <c r="BG352" s="49" t="s">
        <v>1373</v>
      </c>
      <c r="BH352" s="49" t="s">
        <v>1373</v>
      </c>
      <c r="BI352" s="1"/>
      <c r="BJ352" s="70" t="s">
        <v>1283</v>
      </c>
      <c r="BK352" s="57" t="s">
        <v>1283</v>
      </c>
      <c r="BL352" s="57" t="s">
        <v>1283</v>
      </c>
      <c r="BM352" s="57" t="s">
        <v>1283</v>
      </c>
      <c r="BN352" s="57" t="s">
        <v>1283</v>
      </c>
      <c r="BO352" s="57" t="s">
        <v>1283</v>
      </c>
      <c r="BP352" s="57" t="s">
        <v>1283</v>
      </c>
      <c r="BQ352" s="57" t="s">
        <v>1283</v>
      </c>
      <c r="BR352" s="57" t="s">
        <v>1283</v>
      </c>
      <c r="BS352" s="57" t="s">
        <v>1283</v>
      </c>
      <c r="BT352" s="57" t="s">
        <v>1283</v>
      </c>
      <c r="BU352" s="57" t="s">
        <v>1283</v>
      </c>
      <c r="BV352" s="70">
        <f t="shared" si="2796"/>
        <v>46</v>
      </c>
      <c r="BW352" s="71">
        <f t="shared" si="2797"/>
        <v>75</v>
      </c>
      <c r="BX352" s="72">
        <f t="shared" si="2798"/>
        <v>79</v>
      </c>
      <c r="BY352" s="71">
        <f t="shared" si="2799"/>
        <v>111</v>
      </c>
      <c r="BZ352" s="72">
        <f t="shared" si="2800"/>
        <v>115</v>
      </c>
      <c r="CA352" s="71">
        <f t="shared" si="2801"/>
        <v>151</v>
      </c>
      <c r="CB352" s="72">
        <f t="shared" si="2802"/>
        <v>157</v>
      </c>
      <c r="CC352" s="71">
        <f t="shared" si="2803"/>
        <v>202</v>
      </c>
      <c r="CD352" s="72">
        <f t="shared" si="2804"/>
        <v>210</v>
      </c>
      <c r="CE352" s="71">
        <f t="shared" si="2805"/>
        <v>288</v>
      </c>
      <c r="CF352" s="72">
        <f t="shared" si="2806"/>
        <v>333</v>
      </c>
      <c r="CG352" s="71">
        <f t="shared" si="2807"/>
        <v>362</v>
      </c>
      <c r="CH352" s="70">
        <f t="shared" si="2808"/>
        <v>74</v>
      </c>
      <c r="CI352" s="71">
        <f t="shared" si="2809"/>
        <v>78</v>
      </c>
      <c r="CJ352" s="72">
        <f t="shared" si="2810"/>
        <v>110</v>
      </c>
      <c r="CK352" s="72">
        <f t="shared" si="2811"/>
        <v>114</v>
      </c>
      <c r="CL352" s="72">
        <f t="shared" si="2812"/>
        <v>150</v>
      </c>
      <c r="CM352" s="72">
        <f t="shared" si="2813"/>
        <v>154</v>
      </c>
      <c r="CN352" s="72">
        <f t="shared" si="2814"/>
        <v>183</v>
      </c>
      <c r="CO352" s="72">
        <f t="shared" si="2815"/>
        <v>204</v>
      </c>
      <c r="CP352" s="72">
        <f t="shared" si="2816"/>
        <v>242</v>
      </c>
      <c r="CQ352" s="72">
        <f t="shared" si="2817"/>
        <v>324</v>
      </c>
      <c r="CR352" s="72">
        <f t="shared" si="2818"/>
        <v>361</v>
      </c>
      <c r="CS352" s="72">
        <f t="shared" si="2819"/>
        <v>373</v>
      </c>
      <c r="CT352" s="23">
        <f t="shared" si="2820"/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  <c r="AMP352" s="2"/>
    </row>
    <row r="353" spans="1:1030" x14ac:dyDescent="0.2">
      <c r="A353" s="3" t="str">
        <f t="shared" si="2821"/>
        <v>ox1r_human_4ZJC</v>
      </c>
      <c r="B353" s="3" t="s">
        <v>1170</v>
      </c>
      <c r="C353" s="3" t="s">
        <v>91</v>
      </c>
      <c r="D353" s="3" t="str">
        <f>IFERROR(MID(VLOOKUP($B353,Seqs!$A:$B,2,0),E353,1),"")</f>
        <v>E</v>
      </c>
      <c r="E353" s="3">
        <v>46</v>
      </c>
      <c r="F353" s="3" t="str">
        <f>IFERROR(MID(VLOOKUP($B353,Seqs!$A:$B,2,0),G353,1),"")</f>
        <v>N</v>
      </c>
      <c r="G353" s="3">
        <v>74</v>
      </c>
      <c r="H353" s="3" t="str">
        <f>IFERROR(MID(VLOOKUP($B353,Seqs!$A:$B,2,0),I353,1),"")</f>
        <v>H</v>
      </c>
      <c r="I353" s="23">
        <v>75</v>
      </c>
      <c r="J353" s="3" t="str">
        <f>IFERROR(MID(VLOOKUP($B353,Seqs!$A:$B,2,0),K353,1),"")</f>
        <v>R</v>
      </c>
      <c r="K353" s="23">
        <v>78</v>
      </c>
      <c r="L353" s="3" t="str">
        <f>IFERROR(MID(VLOOKUP($B353,Seqs!$A:$B,2,0),M353,1),"")</f>
        <v>T</v>
      </c>
      <c r="M353" s="3">
        <v>79</v>
      </c>
      <c r="N353" s="3" t="str">
        <f>IFERROR(MID(VLOOKUP($B353,Seqs!$A:$B,2,0),O353,1),"")</f>
        <v>E</v>
      </c>
      <c r="O353" s="3">
        <v>110</v>
      </c>
      <c r="P353" s="3" t="str">
        <f>IFERROR(MID(VLOOKUP($B353,Seqs!$A:$B,2,0),Q353,1),"")</f>
        <v>S</v>
      </c>
      <c r="Q353" s="3">
        <v>111</v>
      </c>
      <c r="R353" s="3" t="str">
        <f>IFERROR(MID(VLOOKUP($B353,Seqs!$A:$B,2,0),S353,1),"")</f>
        <v>F</v>
      </c>
      <c r="S353" s="3">
        <v>114</v>
      </c>
      <c r="T353" s="3" t="str">
        <f>IFERROR(MID(VLOOKUP($B353,Seqs!$A:$B,2,0),U353,1),"")</f>
        <v>G</v>
      </c>
      <c r="U353" s="3">
        <v>115</v>
      </c>
      <c r="V353" s="3" t="str">
        <f>IFERROR(MID(VLOOKUP($B353,Seqs!$A:$B,2,0),W353,1),"")</f>
        <v>H</v>
      </c>
      <c r="W353" s="3">
        <v>150</v>
      </c>
      <c r="X353" s="3" t="str">
        <f>IFERROR(MID(VLOOKUP($B353,Seqs!$A:$B,2,0),Y353,1),"")</f>
        <v>P</v>
      </c>
      <c r="Y353" s="3">
        <v>151</v>
      </c>
      <c r="Z353" s="3" t="str">
        <f>IFERROR(MID(VLOOKUP($B353,Seqs!$A:$B,2,0),AA353,1),"")</f>
        <v>F</v>
      </c>
      <c r="AA353" s="3">
        <v>154</v>
      </c>
      <c r="AB353" s="3" t="str">
        <f>IFERROR(MID(VLOOKUP($B353,Seqs!$A:$B,2,0),AC353,1),"")</f>
        <v>T</v>
      </c>
      <c r="AC353" s="9">
        <v>157</v>
      </c>
      <c r="AD353" s="3" t="str">
        <f>IFERROR(MID(VLOOKUP($B353,Seqs!$A:$B,2,0),AE353,1),"")</f>
        <v>M</v>
      </c>
      <c r="AE353" s="3">
        <v>183</v>
      </c>
      <c r="AF353" s="3" t="str">
        <f>IFERROR(MID(VLOOKUP($B353,Seqs!$A:$B,2,0),AG353,1),"")</f>
        <v>C</v>
      </c>
      <c r="AG353" s="3">
        <v>202</v>
      </c>
      <c r="AH353" s="3" t="str">
        <f>IFERROR(MID(VLOOKUP($B353,Seqs!$A:$B,2,0),AI353,1),"")</f>
        <v>E</v>
      </c>
      <c r="AI353" s="3">
        <v>204</v>
      </c>
      <c r="AJ353" s="3" t="str">
        <f>IFERROR(MID(VLOOKUP($B353,Seqs!$A:$B,2,0),AK353,1),"")</f>
        <v>L</v>
      </c>
      <c r="AK353" s="3">
        <v>210</v>
      </c>
      <c r="AL353" s="3" t="str">
        <f>IFERROR(MID(VLOOKUP($B353,Seqs!$A:$B,2,0),AM353,1),"")</f>
        <v>L</v>
      </c>
      <c r="AM353" s="3">
        <v>242</v>
      </c>
      <c r="AN353" s="3" t="str">
        <f>IFERROR(MID(VLOOKUP($B353,Seqs!$A:$B,2,0),AO353,1),"")</f>
        <v>K</v>
      </c>
      <c r="AO353" s="3">
        <v>288</v>
      </c>
      <c r="AP353" s="3" t="str">
        <f>IFERROR(MID(VLOOKUP($B353,Seqs!$A:$B,2,0),AQ353,1),"")</f>
        <v>F</v>
      </c>
      <c r="AQ353" s="3">
        <v>324</v>
      </c>
      <c r="AR353" s="3" t="str">
        <f>IFERROR(MID(VLOOKUP($B353,Seqs!$A:$B,2,0),AS353,1),"")</f>
        <v>R</v>
      </c>
      <c r="AS353" s="3">
        <v>333</v>
      </c>
      <c r="AT353" s="3" t="str">
        <f>IFERROR(MID(VLOOKUP($B353,Seqs!$A:$B,2,0),AU353,1),"")</f>
        <v>L</v>
      </c>
      <c r="AU353" s="3">
        <v>361</v>
      </c>
      <c r="AV353" s="3" t="str">
        <f>IFERROR(MID(VLOOKUP($B353,Seqs!$A:$B,2,0),AW353,1),"")</f>
        <v>S</v>
      </c>
      <c r="AW353" s="3">
        <v>362</v>
      </c>
      <c r="AX353" s="3" t="str">
        <f>IFERROR(MID(VLOOKUP($B353,Seqs!$A:$B,2,0),AY353,1),"")</f>
        <v>F</v>
      </c>
      <c r="AY353" s="3">
        <v>373</v>
      </c>
      <c r="AZ353" s="77" t="str">
        <f>VLOOKUP(B353,Classification!A:D,2,0)</f>
        <v>A</v>
      </c>
      <c r="BA353" s="94" t="str">
        <f>VLOOKUP(B353,Classification!A:D,4,0)</f>
        <v>Orexin</v>
      </c>
      <c r="BB353" s="27" t="b">
        <f t="shared" si="2822"/>
        <v>1</v>
      </c>
      <c r="BC353" s="23">
        <f t="shared" si="2795"/>
        <v>250</v>
      </c>
      <c r="BD353" s="2" t="s">
        <v>23</v>
      </c>
      <c r="BE353" s="3" t="s">
        <v>1370</v>
      </c>
      <c r="BF353" s="118">
        <v>2.83</v>
      </c>
      <c r="BG353" s="49" t="s">
        <v>1373</v>
      </c>
      <c r="BH353" s="49" t="s">
        <v>1373</v>
      </c>
      <c r="BI353" s="1"/>
      <c r="BJ353" s="70" t="s">
        <v>1283</v>
      </c>
      <c r="BK353" s="57" t="s">
        <v>1283</v>
      </c>
      <c r="BL353" s="57" t="s">
        <v>1283</v>
      </c>
      <c r="BM353" s="57" t="s">
        <v>1283</v>
      </c>
      <c r="BN353" s="57" t="s">
        <v>1283</v>
      </c>
      <c r="BO353" s="57" t="s">
        <v>1283</v>
      </c>
      <c r="BP353" s="57" t="s">
        <v>1283</v>
      </c>
      <c r="BQ353" s="57" t="s">
        <v>1283</v>
      </c>
      <c r="BR353" s="57" t="s">
        <v>1283</v>
      </c>
      <c r="BS353" s="57" t="s">
        <v>1283</v>
      </c>
      <c r="BT353" s="57" t="s">
        <v>1283</v>
      </c>
      <c r="BU353" s="57" t="s">
        <v>1283</v>
      </c>
      <c r="BV353" s="70">
        <f t="shared" si="2796"/>
        <v>46</v>
      </c>
      <c r="BW353" s="71">
        <f t="shared" si="2797"/>
        <v>75</v>
      </c>
      <c r="BX353" s="72">
        <f t="shared" si="2798"/>
        <v>79</v>
      </c>
      <c r="BY353" s="71">
        <f t="shared" si="2799"/>
        <v>111</v>
      </c>
      <c r="BZ353" s="72">
        <f t="shared" si="2800"/>
        <v>115</v>
      </c>
      <c r="CA353" s="71">
        <f t="shared" si="2801"/>
        <v>151</v>
      </c>
      <c r="CB353" s="72">
        <f t="shared" si="2802"/>
        <v>157</v>
      </c>
      <c r="CC353" s="71">
        <f t="shared" si="2803"/>
        <v>202</v>
      </c>
      <c r="CD353" s="72">
        <f t="shared" si="2804"/>
        <v>210</v>
      </c>
      <c r="CE353" s="71">
        <f t="shared" si="2805"/>
        <v>288</v>
      </c>
      <c r="CF353" s="72">
        <f t="shared" si="2806"/>
        <v>333</v>
      </c>
      <c r="CG353" s="71">
        <f t="shared" si="2807"/>
        <v>362</v>
      </c>
      <c r="CH353" s="70">
        <f t="shared" si="2808"/>
        <v>74</v>
      </c>
      <c r="CI353" s="71">
        <f t="shared" si="2809"/>
        <v>78</v>
      </c>
      <c r="CJ353" s="72">
        <f t="shared" si="2810"/>
        <v>110</v>
      </c>
      <c r="CK353" s="72">
        <f t="shared" si="2811"/>
        <v>114</v>
      </c>
      <c r="CL353" s="72">
        <f t="shared" si="2812"/>
        <v>150</v>
      </c>
      <c r="CM353" s="72">
        <f t="shared" si="2813"/>
        <v>154</v>
      </c>
      <c r="CN353" s="72">
        <f t="shared" si="2814"/>
        <v>183</v>
      </c>
      <c r="CO353" s="72">
        <f t="shared" si="2815"/>
        <v>204</v>
      </c>
      <c r="CP353" s="72">
        <f t="shared" si="2816"/>
        <v>242</v>
      </c>
      <c r="CQ353" s="72">
        <f t="shared" si="2817"/>
        <v>324</v>
      </c>
      <c r="CR353" s="72">
        <f t="shared" si="2818"/>
        <v>361</v>
      </c>
      <c r="CS353" s="72">
        <f t="shared" si="2819"/>
        <v>373</v>
      </c>
      <c r="CT353" s="23">
        <f t="shared" si="2820"/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  <c r="AMP353" s="2"/>
    </row>
    <row r="354" spans="1:1030" x14ac:dyDescent="0.2">
      <c r="A354" s="3" t="str">
        <f t="shared" ref="A354" si="3103">CONCATENATE(B354,"_",C354)</f>
        <v>ox1r_human_6TO7</v>
      </c>
      <c r="B354" s="3" t="s">
        <v>1170</v>
      </c>
      <c r="C354" s="3" t="s">
        <v>1621</v>
      </c>
      <c r="D354" s="3" t="str">
        <f>IFERROR(MID(VLOOKUP($B354,Seqs!$A:$B,2,0),E354,1),"")</f>
        <v>Y</v>
      </c>
      <c r="E354" s="3">
        <v>45</v>
      </c>
      <c r="F354" s="3" t="str">
        <f>IFERROR(MID(VLOOKUP($B354,Seqs!$A:$B,2,0),G354,1),"")</f>
        <v>N</v>
      </c>
      <c r="G354" s="3">
        <v>74</v>
      </c>
      <c r="H354" s="3" t="str">
        <f>IFERROR(MID(VLOOKUP($B354,Seqs!$A:$B,2,0),I354,1),"")</f>
        <v>H</v>
      </c>
      <c r="I354" s="23">
        <v>75</v>
      </c>
      <c r="J354" s="3" t="str">
        <f>IFERROR(MID(VLOOKUP($B354,Seqs!$A:$B,2,0),K354,1),"")</f>
        <v>R</v>
      </c>
      <c r="K354" s="23">
        <v>78</v>
      </c>
      <c r="L354" s="3" t="str">
        <f>IFERROR(MID(VLOOKUP($B354,Seqs!$A:$B,2,0),M354,1),"")</f>
        <v>T</v>
      </c>
      <c r="M354" s="3">
        <v>79</v>
      </c>
      <c r="N354" s="3" t="str">
        <f>IFERROR(MID(VLOOKUP($B354,Seqs!$A:$B,2,0),O354,1),"")</f>
        <v>E</v>
      </c>
      <c r="O354" s="3">
        <v>110</v>
      </c>
      <c r="P354" s="3" t="str">
        <f>IFERROR(MID(VLOOKUP($B354,Seqs!$A:$B,2,0),Q354,1),"")</f>
        <v>S</v>
      </c>
      <c r="Q354" s="3">
        <v>111</v>
      </c>
      <c r="R354" s="3" t="str">
        <f>IFERROR(MID(VLOOKUP($B354,Seqs!$A:$B,2,0),S354,1),"")</f>
        <v>F</v>
      </c>
      <c r="S354" s="3">
        <v>114</v>
      </c>
      <c r="T354" s="3" t="str">
        <f>IFERROR(MID(VLOOKUP($B354,Seqs!$A:$B,2,0),U354,1),"")</f>
        <v>G</v>
      </c>
      <c r="U354" s="3">
        <v>115</v>
      </c>
      <c r="V354" s="3" t="str">
        <f>IFERROR(MID(VLOOKUP($B354,Seqs!$A:$B,2,0),W354,1),"")</f>
        <v>H</v>
      </c>
      <c r="W354" s="3">
        <v>150</v>
      </c>
      <c r="X354" s="3" t="str">
        <f>IFERROR(MID(VLOOKUP($B354,Seqs!$A:$B,2,0),Y354,1),"")</f>
        <v>P</v>
      </c>
      <c r="Y354" s="3">
        <v>151</v>
      </c>
      <c r="Z354" s="3" t="str">
        <f>IFERROR(MID(VLOOKUP($B354,Seqs!$A:$B,2,0),AA354,1),"")</f>
        <v>F</v>
      </c>
      <c r="AA354" s="3">
        <v>154</v>
      </c>
      <c r="AB354" s="3" t="str">
        <f>IFERROR(MID(VLOOKUP($B354,Seqs!$A:$B,2,0),AC354,1),"")</f>
        <v>T</v>
      </c>
      <c r="AC354" s="3">
        <v>157</v>
      </c>
      <c r="AD354" s="3" t="str">
        <f>IFERROR(MID(VLOOKUP($B354,Seqs!$A:$B,2,0),AE354,1),"")</f>
        <v>M</v>
      </c>
      <c r="AE354" s="3">
        <v>183</v>
      </c>
      <c r="AF354" s="3" t="str">
        <f>IFERROR(MID(VLOOKUP($B354,Seqs!$A:$B,2,0),AG354,1),"")</f>
        <v>C</v>
      </c>
      <c r="AG354" s="3">
        <v>202</v>
      </c>
      <c r="AH354" s="3" t="str">
        <f>IFERROR(MID(VLOOKUP($B354,Seqs!$A:$B,2,0),AI354,1),"")</f>
        <v>E</v>
      </c>
      <c r="AI354" s="3">
        <v>204</v>
      </c>
      <c r="AJ354" s="3" t="str">
        <f>IFERROR(MID(VLOOKUP($B354,Seqs!$A:$B,2,0),AK354,1),"")</f>
        <v>L</v>
      </c>
      <c r="AK354" s="3">
        <v>210</v>
      </c>
      <c r="AL354" s="3" t="str">
        <f>IFERROR(MID(VLOOKUP($B354,Seqs!$A:$B,2,0),AM354,1),"")</f>
        <v>G</v>
      </c>
      <c r="AM354" s="3">
        <v>244</v>
      </c>
      <c r="AN354" s="3" t="str">
        <f>IFERROR(MID(VLOOKUP($B354,Seqs!$A:$B,2,0),AO354,1),"")</f>
        <v>E</v>
      </c>
      <c r="AO354" s="3">
        <v>286</v>
      </c>
      <c r="AP354" s="3" t="str">
        <f>IFERROR(MID(VLOOKUP($B354,Seqs!$A:$B,2,0),AQ354,1),"")</f>
        <v>F</v>
      </c>
      <c r="AQ354" s="3">
        <v>324</v>
      </c>
      <c r="AR354" s="3" t="str">
        <f>IFERROR(MID(VLOOKUP($B354,Seqs!$A:$B,2,0),AS354,1),"")</f>
        <v>D</v>
      </c>
      <c r="AS354" s="3">
        <v>332</v>
      </c>
      <c r="AT354" s="3" t="str">
        <f>IFERROR(MID(VLOOKUP($B354,Seqs!$A:$B,2,0),AU354,1),"")</f>
        <v>L</v>
      </c>
      <c r="AU354" s="3">
        <v>361</v>
      </c>
      <c r="AV354" s="3" t="str">
        <f>IFERROR(MID(VLOOKUP($B354,Seqs!$A:$B,2,0),AW354,1),"")</f>
        <v>S</v>
      </c>
      <c r="AW354" s="3">
        <v>362</v>
      </c>
      <c r="AX354" s="3" t="str">
        <f>IFERROR(MID(VLOOKUP($B354,Seqs!$A:$B,2,0),AY354,1),"")</f>
        <v>L</v>
      </c>
      <c r="AY354" s="3">
        <v>377</v>
      </c>
      <c r="AZ354" s="77" t="str">
        <f>VLOOKUP(B354,Classification!A:D,2,0)</f>
        <v>A</v>
      </c>
      <c r="BA354" s="94" t="str">
        <f>VLOOKUP(B354,Classification!A:D,4,0)</f>
        <v>Orexin</v>
      </c>
      <c r="BB354" s="27" t="b">
        <f t="shared" ref="BB354" si="3104">AND(E354&lt;G354,OR(G354&lt;I354,I354="-"),OR(I354&lt;K354,I354="-"),OR(K354&lt;M354,K354="-"),M354&lt;O354,OR(O354&lt;Q354,Q354="-"),OR(Q354&lt;S354,Q354="-"),OR(S354&lt;U354,S354="-"),U354&lt;W354,OR(W354&lt;Y354,Y354="-"),OR(Y354&lt;AA354,Y354="-"),OR(AA354&lt;AC354,AA354="-"),AC354&lt;AE354,OR(AE354&lt;AG354,AG354="-"),OR(AG354&lt;AI354,AG354="-"),OR(AI354&lt;AK354,AI354="-"),AK354&lt;AM354,AM354&lt;AO354,AO354&lt;AQ354,AQ354&lt;AS354,AS354&lt;AU354,OR(AU354&lt;AW354,AW354="-"),OR(AW354&lt;AY354,AW354="-"))</f>
        <v>1</v>
      </c>
      <c r="BC354" s="23">
        <f t="shared" ref="BC354" si="3105">_xlfn.AGGREGATE(9,6,CH354:CS354)-_xlfn.AGGREGATE(9,6,BV354:CG354)+12</f>
        <v>260</v>
      </c>
      <c r="BD354" s="2" t="s">
        <v>1372</v>
      </c>
      <c r="BE354" s="3" t="s">
        <v>1370</v>
      </c>
      <c r="BF354" s="118">
        <v>2.2599999999999998</v>
      </c>
      <c r="BG354" s="49" t="s">
        <v>1</v>
      </c>
      <c r="BH354" s="49" t="s">
        <v>1</v>
      </c>
      <c r="BI354" s="1"/>
      <c r="BJ354" s="70" t="s">
        <v>1283</v>
      </c>
      <c r="BK354" s="57" t="s">
        <v>1283</v>
      </c>
      <c r="BL354" s="57" t="s">
        <v>1283</v>
      </c>
      <c r="BM354" s="57" t="s">
        <v>1283</v>
      </c>
      <c r="BN354" s="57" t="s">
        <v>1283</v>
      </c>
      <c r="BO354" s="57" t="s">
        <v>1283</v>
      </c>
      <c r="BP354" s="57" t="s">
        <v>1283</v>
      </c>
      <c r="BQ354" s="57" t="s">
        <v>1283</v>
      </c>
      <c r="BR354" s="57" t="s">
        <v>1283</v>
      </c>
      <c r="BS354" s="57" t="s">
        <v>1283</v>
      </c>
      <c r="BT354" s="57" t="s">
        <v>1283</v>
      </c>
      <c r="BU354" s="57" t="s">
        <v>1283</v>
      </c>
      <c r="BV354" s="70">
        <f t="shared" ref="BV354" si="3106">E354</f>
        <v>45</v>
      </c>
      <c r="BW354" s="71">
        <f t="shared" ref="BW354" si="3107">I354</f>
        <v>75</v>
      </c>
      <c r="BX354" s="72">
        <f t="shared" ref="BX354" si="3108">M354</f>
        <v>79</v>
      </c>
      <c r="BY354" s="71">
        <f t="shared" ref="BY354" si="3109">Q354</f>
        <v>111</v>
      </c>
      <c r="BZ354" s="72">
        <f t="shared" ref="BZ354" si="3110">U354</f>
        <v>115</v>
      </c>
      <c r="CA354" s="71">
        <f t="shared" ref="CA354" si="3111">Y354</f>
        <v>151</v>
      </c>
      <c r="CB354" s="72">
        <f t="shared" ref="CB354" si="3112">AC354</f>
        <v>157</v>
      </c>
      <c r="CC354" s="71">
        <f t="shared" ref="CC354" si="3113">AG354</f>
        <v>202</v>
      </c>
      <c r="CD354" s="72">
        <f t="shared" ref="CD354" si="3114">AK354</f>
        <v>210</v>
      </c>
      <c r="CE354" s="71">
        <f t="shared" ref="CE354" si="3115">AO354</f>
        <v>286</v>
      </c>
      <c r="CF354" s="72">
        <f t="shared" ref="CF354" si="3116">AS354</f>
        <v>332</v>
      </c>
      <c r="CG354" s="71">
        <f t="shared" ref="CG354" si="3117">AW354</f>
        <v>362</v>
      </c>
      <c r="CH354" s="70">
        <f t="shared" ref="CH354" si="3118">G354</f>
        <v>74</v>
      </c>
      <c r="CI354" s="71">
        <f t="shared" ref="CI354" si="3119">K354</f>
        <v>78</v>
      </c>
      <c r="CJ354" s="72">
        <f t="shared" ref="CJ354" si="3120">O354</f>
        <v>110</v>
      </c>
      <c r="CK354" s="72">
        <f t="shared" ref="CK354" si="3121">S354</f>
        <v>114</v>
      </c>
      <c r="CL354" s="72">
        <f t="shared" ref="CL354" si="3122">W354</f>
        <v>150</v>
      </c>
      <c r="CM354" s="72">
        <f t="shared" ref="CM354" si="3123">AA354</f>
        <v>154</v>
      </c>
      <c r="CN354" s="72">
        <f t="shared" ref="CN354" si="3124">AE354</f>
        <v>183</v>
      </c>
      <c r="CO354" s="72">
        <f t="shared" ref="CO354" si="3125">AI354</f>
        <v>204</v>
      </c>
      <c r="CP354" s="72">
        <f t="shared" ref="CP354" si="3126">AM354</f>
        <v>244</v>
      </c>
      <c r="CQ354" s="72">
        <f t="shared" ref="CQ354" si="3127">AQ354</f>
        <v>324</v>
      </c>
      <c r="CR354" s="72">
        <f t="shared" ref="CR354" si="3128">AU354</f>
        <v>361</v>
      </c>
      <c r="CS354" s="72">
        <f t="shared" ref="CS354" si="3129">AY354</f>
        <v>377</v>
      </c>
      <c r="CT354" s="23">
        <f t="shared" ref="CT354" si="3130">M354-K354</f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  <c r="AMP354" s="2"/>
    </row>
    <row r="355" spans="1:1030" x14ac:dyDescent="0.2">
      <c r="A355" s="3" t="str">
        <f t="shared" ref="A355" si="3131">CONCATENATE(B355,"_",C355)</f>
        <v>ox1r_human_6TOD</v>
      </c>
      <c r="B355" s="3" t="s">
        <v>1170</v>
      </c>
      <c r="C355" s="3" t="s">
        <v>1622</v>
      </c>
      <c r="D355" s="3" t="str">
        <f>IFERROR(MID(VLOOKUP($B355,Seqs!$A:$B,2,0),E355,1),"")</f>
        <v>Y</v>
      </c>
      <c r="E355" s="3">
        <v>45</v>
      </c>
      <c r="F355" s="3" t="str">
        <f>IFERROR(MID(VLOOKUP($B355,Seqs!$A:$B,2,0),G355,1),"")</f>
        <v>N</v>
      </c>
      <c r="G355" s="3">
        <v>74</v>
      </c>
      <c r="H355" s="3" t="str">
        <f>IFERROR(MID(VLOOKUP($B355,Seqs!$A:$B,2,0),I355,1),"")</f>
        <v>H</v>
      </c>
      <c r="I355" s="23">
        <v>75</v>
      </c>
      <c r="J355" s="3" t="str">
        <f>IFERROR(MID(VLOOKUP($B355,Seqs!$A:$B,2,0),K355,1),"")</f>
        <v>R</v>
      </c>
      <c r="K355" s="23">
        <v>78</v>
      </c>
      <c r="L355" s="3" t="str">
        <f>IFERROR(MID(VLOOKUP($B355,Seqs!$A:$B,2,0),M355,1),"")</f>
        <v>T</v>
      </c>
      <c r="M355" s="3">
        <v>79</v>
      </c>
      <c r="N355" s="3" t="str">
        <f>IFERROR(MID(VLOOKUP($B355,Seqs!$A:$B,2,0),O355,1),"")</f>
        <v>E</v>
      </c>
      <c r="O355" s="3">
        <v>110</v>
      </c>
      <c r="P355" s="3" t="str">
        <f>IFERROR(MID(VLOOKUP($B355,Seqs!$A:$B,2,0),Q355,1),"")</f>
        <v>S</v>
      </c>
      <c r="Q355" s="3">
        <v>111</v>
      </c>
      <c r="R355" s="3" t="str">
        <f>IFERROR(MID(VLOOKUP($B355,Seqs!$A:$B,2,0),S355,1),"")</f>
        <v>F</v>
      </c>
      <c r="S355" s="3">
        <v>114</v>
      </c>
      <c r="T355" s="3" t="str">
        <f>IFERROR(MID(VLOOKUP($B355,Seqs!$A:$B,2,0),U355,1),"")</f>
        <v>G</v>
      </c>
      <c r="U355" s="3">
        <v>115</v>
      </c>
      <c r="V355" s="3" t="str">
        <f>IFERROR(MID(VLOOKUP($B355,Seqs!$A:$B,2,0),W355,1),"")</f>
        <v>H</v>
      </c>
      <c r="W355" s="3">
        <v>150</v>
      </c>
      <c r="X355" s="3" t="str">
        <f>IFERROR(MID(VLOOKUP($B355,Seqs!$A:$B,2,0),Y355,1),"")</f>
        <v>P</v>
      </c>
      <c r="Y355" s="3">
        <v>151</v>
      </c>
      <c r="Z355" s="3" t="str">
        <f>IFERROR(MID(VLOOKUP($B355,Seqs!$A:$B,2,0),AA355,1),"")</f>
        <v>F</v>
      </c>
      <c r="AA355" s="3">
        <v>154</v>
      </c>
      <c r="AB355" s="3" t="str">
        <f>IFERROR(MID(VLOOKUP($B355,Seqs!$A:$B,2,0),AC355,1),"")</f>
        <v>T</v>
      </c>
      <c r="AC355" s="3">
        <v>157</v>
      </c>
      <c r="AD355" s="3" t="str">
        <f>IFERROR(MID(VLOOKUP($B355,Seqs!$A:$B,2,0),AE355,1),"")</f>
        <v>M</v>
      </c>
      <c r="AE355" s="3">
        <v>183</v>
      </c>
      <c r="AF355" s="3" t="str">
        <f>IFERROR(MID(VLOOKUP($B355,Seqs!$A:$B,2,0),AG355,1),"")</f>
        <v>C</v>
      </c>
      <c r="AG355" s="3">
        <v>202</v>
      </c>
      <c r="AH355" s="3" t="str">
        <f>IFERROR(MID(VLOOKUP($B355,Seqs!$A:$B,2,0),AI355,1),"")</f>
        <v>E</v>
      </c>
      <c r="AI355" s="3">
        <v>204</v>
      </c>
      <c r="AJ355" s="3" t="str">
        <f>IFERROR(MID(VLOOKUP($B355,Seqs!$A:$B,2,0),AK355,1),"")</f>
        <v>L</v>
      </c>
      <c r="AK355" s="3">
        <v>210</v>
      </c>
      <c r="AL355" s="3" t="str">
        <f>IFERROR(MID(VLOOKUP($B355,Seqs!$A:$B,2,0),AM355,1),"")</f>
        <v>G</v>
      </c>
      <c r="AM355" s="3">
        <v>244</v>
      </c>
      <c r="AN355" s="3" t="str">
        <f>IFERROR(MID(VLOOKUP($B355,Seqs!$A:$B,2,0),AO355,1),"")</f>
        <v>E</v>
      </c>
      <c r="AO355" s="3">
        <v>286</v>
      </c>
      <c r="AP355" s="3" t="str">
        <f>IFERROR(MID(VLOOKUP($B355,Seqs!$A:$B,2,0),AQ355,1),"")</f>
        <v>F</v>
      </c>
      <c r="AQ355" s="3">
        <v>324</v>
      </c>
      <c r="AR355" s="3" t="str">
        <f>IFERROR(MID(VLOOKUP($B355,Seqs!$A:$B,2,0),AS355,1),"")</f>
        <v>D</v>
      </c>
      <c r="AS355" s="3">
        <v>332</v>
      </c>
      <c r="AT355" s="3" t="str">
        <f>IFERROR(MID(VLOOKUP($B355,Seqs!$A:$B,2,0),AU355,1),"")</f>
        <v>L</v>
      </c>
      <c r="AU355" s="3">
        <v>361</v>
      </c>
      <c r="AV355" s="3" t="str">
        <f>IFERROR(MID(VLOOKUP($B355,Seqs!$A:$B,2,0),AW355,1),"")</f>
        <v>S</v>
      </c>
      <c r="AW355" s="3">
        <v>362</v>
      </c>
      <c r="AX355" s="3" t="str">
        <f>IFERROR(MID(VLOOKUP($B355,Seqs!$A:$B,2,0),AY355,1),"")</f>
        <v>C</v>
      </c>
      <c r="AY355" s="3">
        <v>375</v>
      </c>
      <c r="AZ355" s="77" t="str">
        <f>VLOOKUP(B355,Classification!A:D,2,0)</f>
        <v>A</v>
      </c>
      <c r="BA355" s="94" t="str">
        <f>VLOOKUP(B355,Classification!A:D,4,0)</f>
        <v>Orexin</v>
      </c>
      <c r="BB355" s="27" t="b">
        <f t="shared" ref="BB355" si="3132">AND(E355&lt;G355,OR(G355&lt;I355,I355="-"),OR(I355&lt;K355,I355="-"),OR(K355&lt;M355,K355="-"),M355&lt;O355,OR(O355&lt;Q355,Q355="-"),OR(Q355&lt;S355,Q355="-"),OR(S355&lt;U355,S355="-"),U355&lt;W355,OR(W355&lt;Y355,Y355="-"),OR(Y355&lt;AA355,Y355="-"),OR(AA355&lt;AC355,AA355="-"),AC355&lt;AE355,OR(AE355&lt;AG355,AG355="-"),OR(AG355&lt;AI355,AG355="-"),OR(AI355&lt;AK355,AI355="-"),AK355&lt;AM355,AM355&lt;AO355,AO355&lt;AQ355,AQ355&lt;AS355,AS355&lt;AU355,OR(AU355&lt;AW355,AW355="-"),OR(AW355&lt;AY355,AW355="-"))</f>
        <v>1</v>
      </c>
      <c r="BC355" s="23">
        <f t="shared" ref="BC355" si="3133">_xlfn.AGGREGATE(9,6,CH355:CS355)-_xlfn.AGGREGATE(9,6,BV355:CG355)+12</f>
        <v>258</v>
      </c>
      <c r="BD355" s="2" t="s">
        <v>23</v>
      </c>
      <c r="BE355" s="3" t="s">
        <v>1370</v>
      </c>
      <c r="BF355" s="118">
        <v>2.11</v>
      </c>
      <c r="BG355" s="49" t="s">
        <v>1</v>
      </c>
      <c r="BH355" s="49" t="s">
        <v>1</v>
      </c>
      <c r="BI355" s="1"/>
      <c r="BJ355" s="70" t="s">
        <v>1283</v>
      </c>
      <c r="BK355" s="57" t="s">
        <v>1283</v>
      </c>
      <c r="BL355" s="57" t="s">
        <v>1283</v>
      </c>
      <c r="BM355" s="57" t="s">
        <v>1283</v>
      </c>
      <c r="BN355" s="57" t="s">
        <v>1283</v>
      </c>
      <c r="BO355" s="57" t="s">
        <v>1283</v>
      </c>
      <c r="BP355" s="57" t="s">
        <v>1283</v>
      </c>
      <c r="BQ355" s="57" t="s">
        <v>1283</v>
      </c>
      <c r="BR355" s="57" t="s">
        <v>1283</v>
      </c>
      <c r="BS355" s="57" t="s">
        <v>1283</v>
      </c>
      <c r="BT355" s="57" t="s">
        <v>1283</v>
      </c>
      <c r="BU355" s="57" t="s">
        <v>1283</v>
      </c>
      <c r="BV355" s="70">
        <f t="shared" ref="BV355" si="3134">E355</f>
        <v>45</v>
      </c>
      <c r="BW355" s="71">
        <f t="shared" ref="BW355" si="3135">I355</f>
        <v>75</v>
      </c>
      <c r="BX355" s="72">
        <f t="shared" ref="BX355" si="3136">M355</f>
        <v>79</v>
      </c>
      <c r="BY355" s="71">
        <f t="shared" ref="BY355" si="3137">Q355</f>
        <v>111</v>
      </c>
      <c r="BZ355" s="72">
        <f t="shared" ref="BZ355" si="3138">U355</f>
        <v>115</v>
      </c>
      <c r="CA355" s="71">
        <f t="shared" ref="CA355" si="3139">Y355</f>
        <v>151</v>
      </c>
      <c r="CB355" s="72">
        <f t="shared" ref="CB355" si="3140">AC355</f>
        <v>157</v>
      </c>
      <c r="CC355" s="71">
        <f t="shared" ref="CC355" si="3141">AG355</f>
        <v>202</v>
      </c>
      <c r="CD355" s="72">
        <f t="shared" ref="CD355" si="3142">AK355</f>
        <v>210</v>
      </c>
      <c r="CE355" s="71">
        <f t="shared" ref="CE355" si="3143">AO355</f>
        <v>286</v>
      </c>
      <c r="CF355" s="72">
        <f t="shared" ref="CF355" si="3144">AS355</f>
        <v>332</v>
      </c>
      <c r="CG355" s="71">
        <f t="shared" ref="CG355" si="3145">AW355</f>
        <v>362</v>
      </c>
      <c r="CH355" s="70">
        <f t="shared" ref="CH355" si="3146">G355</f>
        <v>74</v>
      </c>
      <c r="CI355" s="71">
        <f t="shared" ref="CI355" si="3147">K355</f>
        <v>78</v>
      </c>
      <c r="CJ355" s="72">
        <f t="shared" ref="CJ355" si="3148">O355</f>
        <v>110</v>
      </c>
      <c r="CK355" s="72">
        <f t="shared" ref="CK355" si="3149">S355</f>
        <v>114</v>
      </c>
      <c r="CL355" s="72">
        <f t="shared" ref="CL355" si="3150">W355</f>
        <v>150</v>
      </c>
      <c r="CM355" s="72">
        <f t="shared" ref="CM355" si="3151">AA355</f>
        <v>154</v>
      </c>
      <c r="CN355" s="72">
        <f t="shared" ref="CN355" si="3152">AE355</f>
        <v>183</v>
      </c>
      <c r="CO355" s="72">
        <f t="shared" ref="CO355" si="3153">AI355</f>
        <v>204</v>
      </c>
      <c r="CP355" s="72">
        <f t="shared" ref="CP355" si="3154">AM355</f>
        <v>244</v>
      </c>
      <c r="CQ355" s="72">
        <f t="shared" ref="CQ355" si="3155">AQ355</f>
        <v>324</v>
      </c>
      <c r="CR355" s="72">
        <f t="shared" ref="CR355" si="3156">AU355</f>
        <v>361</v>
      </c>
      <c r="CS355" s="72">
        <f t="shared" ref="CS355" si="3157">AY355</f>
        <v>375</v>
      </c>
      <c r="CT355" s="23">
        <f t="shared" ref="CT355" si="3158">M355-K355</f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  <c r="AMP355" s="2"/>
    </row>
    <row r="356" spans="1:1030" x14ac:dyDescent="0.2">
      <c r="A356" s="3" t="str">
        <f t="shared" ref="A356" si="3159">CONCATENATE(B356,"_",C356)</f>
        <v>ox1r_human_6TP3</v>
      </c>
      <c r="B356" s="3" t="s">
        <v>1170</v>
      </c>
      <c r="C356" s="3" t="s">
        <v>1623</v>
      </c>
      <c r="D356" s="3" t="str">
        <f>IFERROR(MID(VLOOKUP($B356,Seqs!$A:$B,2,0),E356,1),"")</f>
        <v>Y</v>
      </c>
      <c r="E356" s="3">
        <v>45</v>
      </c>
      <c r="F356" s="3" t="str">
        <f>IFERROR(MID(VLOOKUP($B356,Seqs!$A:$B,2,0),G356,1),"")</f>
        <v>N</v>
      </c>
      <c r="G356" s="3">
        <v>74</v>
      </c>
      <c r="H356" s="3" t="str">
        <f>IFERROR(MID(VLOOKUP($B356,Seqs!$A:$B,2,0),I356,1),"")</f>
        <v>H</v>
      </c>
      <c r="I356" s="23">
        <v>75</v>
      </c>
      <c r="J356" s="3" t="str">
        <f>IFERROR(MID(VLOOKUP($B356,Seqs!$A:$B,2,0),K356,1),"")</f>
        <v>R</v>
      </c>
      <c r="K356" s="23">
        <v>78</v>
      </c>
      <c r="L356" s="3" t="str">
        <f>IFERROR(MID(VLOOKUP($B356,Seqs!$A:$B,2,0),M356,1),"")</f>
        <v>T</v>
      </c>
      <c r="M356" s="3">
        <v>79</v>
      </c>
      <c r="N356" s="3" t="str">
        <f>IFERROR(MID(VLOOKUP($B356,Seqs!$A:$B,2,0),O356,1),"")</f>
        <v>E</v>
      </c>
      <c r="O356" s="3">
        <v>110</v>
      </c>
      <c r="P356" s="3" t="str">
        <f>IFERROR(MID(VLOOKUP($B356,Seqs!$A:$B,2,0),Q356,1),"")</f>
        <v>S</v>
      </c>
      <c r="Q356" s="3">
        <v>111</v>
      </c>
      <c r="R356" s="3" t="str">
        <f>IFERROR(MID(VLOOKUP($B356,Seqs!$A:$B,2,0),S356,1),"")</f>
        <v>F</v>
      </c>
      <c r="S356" s="3">
        <v>114</v>
      </c>
      <c r="T356" s="3" t="str">
        <f>IFERROR(MID(VLOOKUP($B356,Seqs!$A:$B,2,0),U356,1),"")</f>
        <v>G</v>
      </c>
      <c r="U356" s="3">
        <v>115</v>
      </c>
      <c r="V356" s="3" t="str">
        <f>IFERROR(MID(VLOOKUP($B356,Seqs!$A:$B,2,0),W356,1),"")</f>
        <v>H</v>
      </c>
      <c r="W356" s="3">
        <v>150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T</v>
      </c>
      <c r="AC356" s="3">
        <v>157</v>
      </c>
      <c r="AD356" s="3" t="str">
        <f>IFERROR(MID(VLOOKUP($B356,Seqs!$A:$B,2,0),AE356,1),"")</f>
        <v>M</v>
      </c>
      <c r="AE356" s="3">
        <v>183</v>
      </c>
      <c r="AF356" s="3" t="str">
        <f>IFERROR(MID(VLOOKUP($B356,Seqs!$A:$B,2,0),AG356,1),"")</f>
        <v>C</v>
      </c>
      <c r="AG356" s="3">
        <v>202</v>
      </c>
      <c r="AH356" s="3" t="str">
        <f>IFERROR(MID(VLOOKUP($B356,Seqs!$A:$B,2,0),AI356,1),"")</f>
        <v>E</v>
      </c>
      <c r="AI356" s="3">
        <v>204</v>
      </c>
      <c r="AJ356" s="3" t="str">
        <f>IFERROR(MID(VLOOKUP($B356,Seqs!$A:$B,2,0),AK356,1),"")</f>
        <v>L</v>
      </c>
      <c r="AK356" s="3">
        <v>210</v>
      </c>
      <c r="AL356" s="3" t="str">
        <f>IFERROR(MID(VLOOKUP($B356,Seqs!$A:$B,2,0),AM356,1),"")</f>
        <v>W</v>
      </c>
      <c r="AM356" s="3">
        <v>243</v>
      </c>
      <c r="AN356" s="3" t="str">
        <f>IFERROR(MID(VLOOKUP($B356,Seqs!$A:$B,2,0),AO356,1),"")</f>
        <v>E</v>
      </c>
      <c r="AO356" s="3">
        <v>286</v>
      </c>
      <c r="AP356" s="3" t="str">
        <f>IFERROR(MID(VLOOKUP($B356,Seqs!$A:$B,2,0),AQ356,1),"")</f>
        <v>F</v>
      </c>
      <c r="AQ356" s="3">
        <v>324</v>
      </c>
      <c r="AR356" s="3" t="str">
        <f>IFERROR(MID(VLOOKUP($B356,Seqs!$A:$B,2,0),AS356,1),"")</f>
        <v>D</v>
      </c>
      <c r="AS356" s="3">
        <v>332</v>
      </c>
      <c r="AT356" s="3" t="str">
        <f>IFERROR(MID(VLOOKUP($B356,Seqs!$A:$B,2,0),AU356,1),"")</f>
        <v>L</v>
      </c>
      <c r="AU356" s="3">
        <v>361</v>
      </c>
      <c r="AV356" s="3" t="str">
        <f>IFERROR(MID(VLOOKUP($B356,Seqs!$A:$B,2,0),AW356,1),"")</f>
        <v>S</v>
      </c>
      <c r="AW356" s="3">
        <v>362</v>
      </c>
      <c r="AX356" s="3" t="str">
        <f>IFERROR(MID(VLOOKUP($B356,Seqs!$A:$B,2,0),AY356,1),"")</f>
        <v>L</v>
      </c>
      <c r="AY356" s="3">
        <v>377</v>
      </c>
      <c r="AZ356" s="77" t="str">
        <f>VLOOKUP(B356,Classification!A:D,2,0)</f>
        <v>A</v>
      </c>
      <c r="BA356" s="94" t="str">
        <f>VLOOKUP(B356,Classification!A:D,4,0)</f>
        <v>Orexin</v>
      </c>
      <c r="BB356" s="27" t="b">
        <f t="shared" ref="BB356" si="3160">AND(E356&lt;G356,OR(G356&lt;I356,I356="-"),OR(I356&lt;K356,I356="-"),OR(K356&lt;M356,K356="-"),M356&lt;O356,OR(O356&lt;Q356,Q356="-"),OR(Q356&lt;S356,Q356="-"),OR(S356&lt;U356,S356="-"),U356&lt;W356,OR(W356&lt;Y356,Y356="-"),OR(Y356&lt;AA356,Y356="-"),OR(AA356&lt;AC356,AA356="-"),AC356&lt;AE356,OR(AE356&lt;AG356,AG356="-"),OR(AG356&lt;AI356,AG356="-"),OR(AI356&lt;AK356,AI356="-"),AK356&lt;AM356,AM356&lt;AO356,AO356&lt;AQ356,AQ356&lt;AS356,AS356&lt;AU356,OR(AU356&lt;AW356,AW356="-"),OR(AW356&lt;AY356,AW356="-"))</f>
        <v>1</v>
      </c>
      <c r="BC356" s="23">
        <f t="shared" ref="BC356" si="3161">_xlfn.AGGREGATE(9,6,CH356:CS356)-_xlfn.AGGREGATE(9,6,BV356:CG356)+12</f>
        <v>256</v>
      </c>
      <c r="BD356" s="2" t="s">
        <v>23</v>
      </c>
      <c r="BE356" s="3" t="s">
        <v>1370</v>
      </c>
      <c r="BF356" s="118">
        <v>3.04</v>
      </c>
      <c r="BG356" s="49" t="s">
        <v>1</v>
      </c>
      <c r="BH356" s="49" t="s">
        <v>1</v>
      </c>
      <c r="BI356" s="1"/>
      <c r="BJ356" s="70" t="s">
        <v>1283</v>
      </c>
      <c r="BK356" s="57" t="s">
        <v>1283</v>
      </c>
      <c r="BL356" s="57" t="s">
        <v>1283</v>
      </c>
      <c r="BM356" s="57" t="s">
        <v>1283</v>
      </c>
      <c r="BN356" s="57" t="s">
        <v>1283</v>
      </c>
      <c r="BO356" s="57" t="s">
        <v>1283</v>
      </c>
      <c r="BP356" s="57" t="s">
        <v>1283</v>
      </c>
      <c r="BQ356" s="57" t="s">
        <v>1283</v>
      </c>
      <c r="BR356" s="57" t="s">
        <v>1283</v>
      </c>
      <c r="BS356" s="57" t="s">
        <v>1283</v>
      </c>
      <c r="BT356" s="57" t="s">
        <v>1283</v>
      </c>
      <c r="BU356" s="57" t="s">
        <v>1283</v>
      </c>
      <c r="BV356" s="70">
        <f t="shared" ref="BV356" si="3162">E356</f>
        <v>45</v>
      </c>
      <c r="BW356" s="71">
        <f t="shared" ref="BW356" si="3163">I356</f>
        <v>75</v>
      </c>
      <c r="BX356" s="72">
        <f t="shared" ref="BX356" si="3164">M356</f>
        <v>79</v>
      </c>
      <c r="BY356" s="71">
        <f t="shared" ref="BY356" si="3165">Q356</f>
        <v>111</v>
      </c>
      <c r="BZ356" s="72">
        <f t="shared" ref="BZ356" si="3166">U356</f>
        <v>115</v>
      </c>
      <c r="CA356" s="71" t="str">
        <f t="shared" ref="CA356" si="3167">Y356</f>
        <v>-</v>
      </c>
      <c r="CB356" s="72">
        <f t="shared" ref="CB356" si="3168">AC356</f>
        <v>157</v>
      </c>
      <c r="CC356" s="71">
        <f t="shared" ref="CC356" si="3169">AG356</f>
        <v>202</v>
      </c>
      <c r="CD356" s="72">
        <f t="shared" ref="CD356" si="3170">AK356</f>
        <v>210</v>
      </c>
      <c r="CE356" s="71">
        <f t="shared" ref="CE356" si="3171">AO356</f>
        <v>286</v>
      </c>
      <c r="CF356" s="72">
        <f t="shared" ref="CF356" si="3172">AS356</f>
        <v>332</v>
      </c>
      <c r="CG356" s="71">
        <f t="shared" ref="CG356" si="3173">AW356</f>
        <v>362</v>
      </c>
      <c r="CH356" s="70">
        <f t="shared" ref="CH356" si="3174">G356</f>
        <v>74</v>
      </c>
      <c r="CI356" s="71">
        <f t="shared" ref="CI356" si="3175">K356</f>
        <v>78</v>
      </c>
      <c r="CJ356" s="72">
        <f t="shared" ref="CJ356" si="3176">O356</f>
        <v>110</v>
      </c>
      <c r="CK356" s="72">
        <f t="shared" ref="CK356" si="3177">S356</f>
        <v>114</v>
      </c>
      <c r="CL356" s="72">
        <f t="shared" ref="CL356" si="3178">W356</f>
        <v>150</v>
      </c>
      <c r="CM356" s="72" t="str">
        <f t="shared" ref="CM356" si="3179">AA356</f>
        <v>-</v>
      </c>
      <c r="CN356" s="72">
        <f t="shared" ref="CN356" si="3180">AE356</f>
        <v>183</v>
      </c>
      <c r="CO356" s="72">
        <f t="shared" ref="CO356" si="3181">AI356</f>
        <v>204</v>
      </c>
      <c r="CP356" s="72">
        <f t="shared" ref="CP356" si="3182">AM356</f>
        <v>243</v>
      </c>
      <c r="CQ356" s="72">
        <f t="shared" ref="CQ356" si="3183">AQ356</f>
        <v>324</v>
      </c>
      <c r="CR356" s="72">
        <f t="shared" ref="CR356" si="3184">AU356</f>
        <v>361</v>
      </c>
      <c r="CS356" s="72">
        <f t="shared" ref="CS356" si="3185">AY356</f>
        <v>377</v>
      </c>
      <c r="CT356" s="23">
        <f t="shared" ref="CT356" si="3186">M356-K356</f>
        <v>1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  <c r="AMP356" s="2"/>
    </row>
    <row r="357" spans="1:1030" x14ac:dyDescent="0.2">
      <c r="A357" s="3" t="str">
        <f t="shared" ref="A357" si="3187">CONCATENATE(B357,"_",C357)</f>
        <v>ox1r_human_6TP4</v>
      </c>
      <c r="B357" s="3" t="s">
        <v>1170</v>
      </c>
      <c r="C357" s="3" t="s">
        <v>1624</v>
      </c>
      <c r="D357" s="3" t="str">
        <f>IFERROR(MID(VLOOKUP($B357,Seqs!$A:$B,2,0),E357,1),"")</f>
        <v>E</v>
      </c>
      <c r="E357" s="3">
        <v>46</v>
      </c>
      <c r="F357" s="3" t="str">
        <f>IFERROR(MID(VLOOKUP($B357,Seqs!$A:$B,2,0),G357,1),"")</f>
        <v>N</v>
      </c>
      <c r="G357" s="3">
        <v>74</v>
      </c>
      <c r="H357" s="3" t="str">
        <f>IFERROR(MID(VLOOKUP($B357,Seqs!$A:$B,2,0),I357,1),"")</f>
        <v>H</v>
      </c>
      <c r="I357" s="23">
        <v>75</v>
      </c>
      <c r="J357" s="3" t="str">
        <f>IFERROR(MID(VLOOKUP($B357,Seqs!$A:$B,2,0),K357,1),"")</f>
        <v>R</v>
      </c>
      <c r="K357" s="23">
        <v>78</v>
      </c>
      <c r="L357" s="3" t="str">
        <f>IFERROR(MID(VLOOKUP($B357,Seqs!$A:$B,2,0),M357,1),"")</f>
        <v>T</v>
      </c>
      <c r="M357" s="3">
        <v>79</v>
      </c>
      <c r="N357" s="3" t="str">
        <f>IFERROR(MID(VLOOKUP($B357,Seqs!$A:$B,2,0),O357,1),"")</f>
        <v>E</v>
      </c>
      <c r="O357" s="3">
        <v>110</v>
      </c>
      <c r="P357" s="3" t="str">
        <f>IFERROR(MID(VLOOKUP($B357,Seqs!$A:$B,2,0),Q357,1),"")</f>
        <v>S</v>
      </c>
      <c r="Q357" s="3">
        <v>111</v>
      </c>
      <c r="R357" s="3" t="str">
        <f>IFERROR(MID(VLOOKUP($B357,Seqs!$A:$B,2,0),S357,1),"")</f>
        <v>F</v>
      </c>
      <c r="S357" s="3">
        <v>114</v>
      </c>
      <c r="T357" s="3" t="str">
        <f>IFERROR(MID(VLOOKUP($B357,Seqs!$A:$B,2,0),U357,1),"")</f>
        <v>G</v>
      </c>
      <c r="U357" s="3">
        <v>115</v>
      </c>
      <c r="V357" s="3" t="str">
        <f>IFERROR(MID(VLOOKUP($B357,Seqs!$A:$B,2,0),W357,1),"")</f>
        <v>H</v>
      </c>
      <c r="W357" s="3">
        <v>150</v>
      </c>
      <c r="X357" s="3" t="str">
        <f>IFERROR(MID(VLOOKUP($B357,Seqs!$A:$B,2,0),Y357,1),"")</f>
        <v>P</v>
      </c>
      <c r="Y357" s="3">
        <v>151</v>
      </c>
      <c r="Z357" s="3" t="str">
        <f>IFERROR(MID(VLOOKUP($B357,Seqs!$A:$B,2,0),AA357,1),"")</f>
        <v>F</v>
      </c>
      <c r="AA357" s="3">
        <v>154</v>
      </c>
      <c r="AB357" s="3" t="str">
        <f>IFERROR(MID(VLOOKUP($B357,Seqs!$A:$B,2,0),AC357,1),"")</f>
        <v>T</v>
      </c>
      <c r="AC357" s="3">
        <v>157</v>
      </c>
      <c r="AD357" s="3" t="str">
        <f>IFERROR(MID(VLOOKUP($B357,Seqs!$A:$B,2,0),AE357,1),"")</f>
        <v>M</v>
      </c>
      <c r="AE357" s="3">
        <v>183</v>
      </c>
      <c r="AF357" s="3" t="str">
        <f>IFERROR(MID(VLOOKUP($B357,Seqs!$A:$B,2,0),AG357,1),"")</f>
        <v>C</v>
      </c>
      <c r="AG357" s="3">
        <v>202</v>
      </c>
      <c r="AH357" s="3" t="str">
        <f>IFERROR(MID(VLOOKUP($B357,Seqs!$A:$B,2,0),AI357,1),"")</f>
        <v>E</v>
      </c>
      <c r="AI357" s="3">
        <v>204</v>
      </c>
      <c r="AJ357" s="3" t="str">
        <f>IFERROR(MID(VLOOKUP($B357,Seqs!$A:$B,2,0),AK357,1),"")</f>
        <v>L</v>
      </c>
      <c r="AK357" s="3">
        <v>210</v>
      </c>
      <c r="AL357" s="3" t="str">
        <f>IFERROR(MID(VLOOKUP($B357,Seqs!$A:$B,2,0),AM357,1),"")</f>
        <v>W</v>
      </c>
      <c r="AM357" s="3">
        <v>243</v>
      </c>
      <c r="AN357" s="3" t="str">
        <f>IFERROR(MID(VLOOKUP($B357,Seqs!$A:$B,2,0),AO357,1),"")</f>
        <v>E</v>
      </c>
      <c r="AO357" s="3">
        <v>286</v>
      </c>
      <c r="AP357" s="3" t="str">
        <f>IFERROR(MID(VLOOKUP($B357,Seqs!$A:$B,2,0),AQ357,1),"")</f>
        <v>F</v>
      </c>
      <c r="AQ357" s="3">
        <v>324</v>
      </c>
      <c r="AR357" s="3" t="str">
        <f>IFERROR(MID(VLOOKUP($B357,Seqs!$A:$B,2,0),AS357,1),"")</f>
        <v>D</v>
      </c>
      <c r="AS357" s="3">
        <v>332</v>
      </c>
      <c r="AT357" s="3" t="str">
        <f>IFERROR(MID(VLOOKUP($B357,Seqs!$A:$B,2,0),AU357,1),"")</f>
        <v>L</v>
      </c>
      <c r="AU357" s="3">
        <v>361</v>
      </c>
      <c r="AV357" s="3" t="str">
        <f>IFERROR(MID(VLOOKUP($B357,Seqs!$A:$B,2,0),AW357,1),"")</f>
        <v>S</v>
      </c>
      <c r="AW357" s="3">
        <v>362</v>
      </c>
      <c r="AX357" s="3" t="str">
        <f>IFERROR(MID(VLOOKUP($B357,Seqs!$A:$B,2,0),AY357,1),"")</f>
        <v>L</v>
      </c>
      <c r="AY357" s="3">
        <v>377</v>
      </c>
      <c r="AZ357" s="77" t="str">
        <f>VLOOKUP(B357,Classification!A:D,2,0)</f>
        <v>A</v>
      </c>
      <c r="BA357" s="94" t="str">
        <f>VLOOKUP(B357,Classification!A:D,4,0)</f>
        <v>Orexin</v>
      </c>
      <c r="BB357" s="27" t="b">
        <f t="shared" ref="BB357" si="3188">AND(E357&lt;G357,OR(G357&lt;I357,I357="-"),OR(I357&lt;K357,I357="-"),OR(K357&lt;M357,K357="-"),M357&lt;O357,OR(O357&lt;Q357,Q357="-"),OR(Q357&lt;S357,Q357="-"),OR(S357&lt;U357,S357="-"),U357&lt;W357,OR(W357&lt;Y357,Y357="-"),OR(Y357&lt;AA357,Y357="-"),OR(AA357&lt;AC357,AA357="-"),AC357&lt;AE357,OR(AE357&lt;AG357,AG357="-"),OR(AG357&lt;AI357,AG357="-"),OR(AI357&lt;AK357,AI357="-"),AK357&lt;AM357,AM357&lt;AO357,AO357&lt;AQ357,AQ357&lt;AS357,AS357&lt;AU357,OR(AU357&lt;AW357,AW357="-"),OR(AW357&lt;AY357,AW357="-"))</f>
        <v>1</v>
      </c>
      <c r="BC357" s="23">
        <f t="shared" ref="BC357" si="3189">_xlfn.AGGREGATE(9,6,CH357:CS357)-_xlfn.AGGREGATE(9,6,BV357:CG357)+12</f>
        <v>258</v>
      </c>
      <c r="BD357" s="2" t="s">
        <v>23</v>
      </c>
      <c r="BE357" s="3" t="s">
        <v>1370</v>
      </c>
      <c r="BF357" s="118">
        <v>3.01</v>
      </c>
      <c r="BG357" s="49" t="s">
        <v>1277</v>
      </c>
      <c r="BH357" s="49" t="s">
        <v>1277</v>
      </c>
      <c r="BI357" s="1"/>
      <c r="BJ357" s="70" t="s">
        <v>1283</v>
      </c>
      <c r="BK357" s="57" t="s">
        <v>1283</v>
      </c>
      <c r="BL357" s="57" t="s">
        <v>1283</v>
      </c>
      <c r="BM357" s="57" t="s">
        <v>1283</v>
      </c>
      <c r="BN357" s="57" t="s">
        <v>1283</v>
      </c>
      <c r="BO357" s="57" t="s">
        <v>1283</v>
      </c>
      <c r="BP357" s="57" t="s">
        <v>1283</v>
      </c>
      <c r="BQ357" s="57" t="s">
        <v>1283</v>
      </c>
      <c r="BR357" s="57" t="s">
        <v>1283</v>
      </c>
      <c r="BS357" s="57" t="s">
        <v>1283</v>
      </c>
      <c r="BT357" s="57" t="s">
        <v>1283</v>
      </c>
      <c r="BU357" s="57" t="s">
        <v>1283</v>
      </c>
      <c r="BV357" s="70">
        <f t="shared" ref="BV357" si="3190">E357</f>
        <v>46</v>
      </c>
      <c r="BW357" s="71">
        <f t="shared" ref="BW357" si="3191">I357</f>
        <v>75</v>
      </c>
      <c r="BX357" s="72">
        <f t="shared" ref="BX357" si="3192">M357</f>
        <v>79</v>
      </c>
      <c r="BY357" s="71">
        <f t="shared" ref="BY357" si="3193">Q357</f>
        <v>111</v>
      </c>
      <c r="BZ357" s="72">
        <f t="shared" ref="BZ357" si="3194">U357</f>
        <v>115</v>
      </c>
      <c r="CA357" s="71">
        <f t="shared" ref="CA357" si="3195">Y357</f>
        <v>151</v>
      </c>
      <c r="CB357" s="72">
        <f t="shared" ref="CB357" si="3196">AC357</f>
        <v>157</v>
      </c>
      <c r="CC357" s="71">
        <f t="shared" ref="CC357" si="3197">AG357</f>
        <v>202</v>
      </c>
      <c r="CD357" s="72">
        <f t="shared" ref="CD357" si="3198">AK357</f>
        <v>210</v>
      </c>
      <c r="CE357" s="71">
        <f t="shared" ref="CE357" si="3199">AO357</f>
        <v>286</v>
      </c>
      <c r="CF357" s="72">
        <f t="shared" ref="CF357" si="3200">AS357</f>
        <v>332</v>
      </c>
      <c r="CG357" s="71">
        <f t="shared" ref="CG357" si="3201">AW357</f>
        <v>362</v>
      </c>
      <c r="CH357" s="70">
        <f t="shared" ref="CH357" si="3202">G357</f>
        <v>74</v>
      </c>
      <c r="CI357" s="71">
        <f t="shared" ref="CI357" si="3203">K357</f>
        <v>78</v>
      </c>
      <c r="CJ357" s="72">
        <f t="shared" ref="CJ357" si="3204">O357</f>
        <v>110</v>
      </c>
      <c r="CK357" s="72">
        <f t="shared" ref="CK357" si="3205">S357</f>
        <v>114</v>
      </c>
      <c r="CL357" s="72">
        <f t="shared" ref="CL357" si="3206">W357</f>
        <v>150</v>
      </c>
      <c r="CM357" s="72">
        <f t="shared" ref="CM357" si="3207">AA357</f>
        <v>154</v>
      </c>
      <c r="CN357" s="72">
        <f t="shared" ref="CN357" si="3208">AE357</f>
        <v>183</v>
      </c>
      <c r="CO357" s="72">
        <f t="shared" ref="CO357" si="3209">AI357</f>
        <v>204</v>
      </c>
      <c r="CP357" s="72">
        <f t="shared" ref="CP357" si="3210">AM357</f>
        <v>243</v>
      </c>
      <c r="CQ357" s="72">
        <f t="shared" ref="CQ357" si="3211">AQ357</f>
        <v>324</v>
      </c>
      <c r="CR357" s="72">
        <f t="shared" ref="CR357" si="3212">AU357</f>
        <v>361</v>
      </c>
      <c r="CS357" s="72">
        <f t="shared" ref="CS357" si="3213">AY357</f>
        <v>377</v>
      </c>
      <c r="CT357" s="23">
        <f t="shared" ref="CT357" si="3214">M357-K357</f>
        <v>1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  <c r="AMP357" s="2"/>
    </row>
    <row r="358" spans="1:1030" x14ac:dyDescent="0.2">
      <c r="A358" s="3" t="str">
        <f t="shared" ref="A358" si="3215">CONCATENATE(B358,"_",C358)</f>
        <v>ox1r_human_6TP6</v>
      </c>
      <c r="B358" s="3" t="s">
        <v>1170</v>
      </c>
      <c r="C358" s="3" t="s">
        <v>1625</v>
      </c>
      <c r="D358" s="3" t="str">
        <f>IFERROR(MID(VLOOKUP($B358,Seqs!$A:$B,2,0),E358,1),"")</f>
        <v>Y</v>
      </c>
      <c r="E358" s="3">
        <v>45</v>
      </c>
      <c r="F358" s="3" t="str">
        <f>IFERROR(MID(VLOOKUP($B358,Seqs!$A:$B,2,0),G358,1),"")</f>
        <v>N</v>
      </c>
      <c r="G358" s="3">
        <v>74</v>
      </c>
      <c r="H358" s="3" t="str">
        <f>IFERROR(MID(VLOOKUP($B358,Seqs!$A:$B,2,0),I358,1),"")</f>
        <v>H</v>
      </c>
      <c r="I358" s="23">
        <v>75</v>
      </c>
      <c r="J358" s="3" t="str">
        <f>IFERROR(MID(VLOOKUP($B358,Seqs!$A:$B,2,0),K358,1),"")</f>
        <v>R</v>
      </c>
      <c r="K358" s="23">
        <v>78</v>
      </c>
      <c r="L358" s="3" t="str">
        <f>IFERROR(MID(VLOOKUP($B358,Seqs!$A:$B,2,0),M358,1),"")</f>
        <v>T</v>
      </c>
      <c r="M358" s="3">
        <v>79</v>
      </c>
      <c r="N358" s="3" t="str">
        <f>IFERROR(MID(VLOOKUP($B358,Seqs!$A:$B,2,0),O358,1),"")</f>
        <v>E</v>
      </c>
      <c r="O358" s="3">
        <v>110</v>
      </c>
      <c r="P358" s="3" t="str">
        <f>IFERROR(MID(VLOOKUP($B358,Seqs!$A:$B,2,0),Q358,1),"")</f>
        <v>S</v>
      </c>
      <c r="Q358" s="3">
        <v>111</v>
      </c>
      <c r="R358" s="3" t="str">
        <f>IFERROR(MID(VLOOKUP($B358,Seqs!$A:$B,2,0),S358,1),"")</f>
        <v>F</v>
      </c>
      <c r="S358" s="3">
        <v>114</v>
      </c>
      <c r="T358" s="3" t="str">
        <f>IFERROR(MID(VLOOKUP($B358,Seqs!$A:$B,2,0),U358,1),"")</f>
        <v>G</v>
      </c>
      <c r="U358" s="3">
        <v>115</v>
      </c>
      <c r="V358" s="3" t="str">
        <f>IFERROR(MID(VLOOKUP($B358,Seqs!$A:$B,2,0),W358,1),"")</f>
        <v>H</v>
      </c>
      <c r="W358" s="3">
        <v>150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T</v>
      </c>
      <c r="AC358" s="3">
        <v>157</v>
      </c>
      <c r="AD358" s="3" t="str">
        <f>IFERROR(MID(VLOOKUP($B358,Seqs!$A:$B,2,0),AE358,1),"")</f>
        <v>M</v>
      </c>
      <c r="AE358" s="3">
        <v>183</v>
      </c>
      <c r="AF358" s="3" t="str">
        <f>IFERROR(MID(VLOOKUP($B358,Seqs!$A:$B,2,0),AG358,1),"")</f>
        <v>C</v>
      </c>
      <c r="AG358" s="3">
        <v>202</v>
      </c>
      <c r="AH358" s="3" t="str">
        <f>IFERROR(MID(VLOOKUP($B358,Seqs!$A:$B,2,0),AI358,1),"")</f>
        <v>E</v>
      </c>
      <c r="AI358" s="3">
        <v>204</v>
      </c>
      <c r="AJ358" s="3" t="str">
        <f>IFERROR(MID(VLOOKUP($B358,Seqs!$A:$B,2,0),AK358,1),"")</f>
        <v>L</v>
      </c>
      <c r="AK358" s="3">
        <v>210</v>
      </c>
      <c r="AL358" s="3" t="str">
        <f>IFERROR(MID(VLOOKUP($B358,Seqs!$A:$B,2,0),AM358,1),"")</f>
        <v>W</v>
      </c>
      <c r="AM358" s="3">
        <v>243</v>
      </c>
      <c r="AN358" s="3" t="str">
        <f>IFERROR(MID(VLOOKUP($B358,Seqs!$A:$B,2,0),AO358,1),"")</f>
        <v>E</v>
      </c>
      <c r="AO358" s="3">
        <v>286</v>
      </c>
      <c r="AP358" s="3" t="str">
        <f>IFERROR(MID(VLOOKUP($B358,Seqs!$A:$B,2,0),AQ358,1),"")</f>
        <v>F</v>
      </c>
      <c r="AQ358" s="3">
        <v>324</v>
      </c>
      <c r="AR358" s="3" t="str">
        <f>IFERROR(MID(VLOOKUP($B358,Seqs!$A:$B,2,0),AS358,1),"")</f>
        <v>D</v>
      </c>
      <c r="AS358" s="3">
        <v>332</v>
      </c>
      <c r="AT358" s="3" t="str">
        <f>IFERROR(MID(VLOOKUP($B358,Seqs!$A:$B,2,0),AU358,1),"")</f>
        <v>L</v>
      </c>
      <c r="AU358" s="3">
        <v>361</v>
      </c>
      <c r="AV358" s="3" t="str">
        <f>IFERROR(MID(VLOOKUP($B358,Seqs!$A:$B,2,0),AW358,1),"")</f>
        <v>S</v>
      </c>
      <c r="AW358" s="3">
        <v>362</v>
      </c>
      <c r="AX358" s="3" t="str">
        <f>IFERROR(MID(VLOOKUP($B358,Seqs!$A:$B,2,0),AY358,1),"")</f>
        <v>L</v>
      </c>
      <c r="AY358" s="3">
        <v>377</v>
      </c>
      <c r="AZ358" s="77" t="str">
        <f>VLOOKUP(B358,Classification!A:D,2,0)</f>
        <v>A</v>
      </c>
      <c r="BA358" s="94" t="str">
        <f>VLOOKUP(B358,Classification!A:D,4,0)</f>
        <v>Orexin</v>
      </c>
      <c r="BB358" s="27" t="b">
        <f t="shared" ref="BB358" si="3216">AND(E358&lt;G358,OR(G358&lt;I358,I358="-"),OR(I358&lt;K358,I358="-"),OR(K358&lt;M358,K358="-"),M358&lt;O358,OR(O358&lt;Q358,Q358="-"),OR(Q358&lt;S358,Q358="-"),OR(S358&lt;U358,S358="-"),U358&lt;W358,OR(W358&lt;Y358,Y358="-"),OR(Y358&lt;AA358,Y358="-"),OR(AA358&lt;AC358,AA358="-"),AC358&lt;AE358,OR(AE358&lt;AG358,AG358="-"),OR(AG358&lt;AI358,AG358="-"),OR(AI358&lt;AK358,AI358="-"),AK358&lt;AM358,AM358&lt;AO358,AO358&lt;AQ358,AQ358&lt;AS358,AS358&lt;AU358,OR(AU358&lt;AW358,AW358="-"),OR(AW358&lt;AY358,AW358="-"))</f>
        <v>1</v>
      </c>
      <c r="BC358" s="23">
        <f t="shared" ref="BC358" si="3217">_xlfn.AGGREGATE(9,6,CH358:CS358)-_xlfn.AGGREGATE(9,6,BV358:CG358)+12</f>
        <v>256</v>
      </c>
      <c r="BD358" s="2" t="s">
        <v>23</v>
      </c>
      <c r="BE358" s="3" t="s">
        <v>1370</v>
      </c>
      <c r="BF358" s="118">
        <v>2.34</v>
      </c>
      <c r="BG358" s="49" t="s">
        <v>1277</v>
      </c>
      <c r="BH358" s="49" t="s">
        <v>1277</v>
      </c>
      <c r="BI358" s="1"/>
      <c r="BJ358" s="70" t="s">
        <v>1283</v>
      </c>
      <c r="BK358" s="57" t="s">
        <v>1283</v>
      </c>
      <c r="BL358" s="57" t="s">
        <v>1283</v>
      </c>
      <c r="BM358" s="57" t="s">
        <v>1283</v>
      </c>
      <c r="BN358" s="57" t="s">
        <v>1283</v>
      </c>
      <c r="BO358" s="57" t="s">
        <v>1283</v>
      </c>
      <c r="BP358" s="57" t="s">
        <v>1283</v>
      </c>
      <c r="BQ358" s="57" t="s">
        <v>1283</v>
      </c>
      <c r="BR358" s="57" t="s">
        <v>1283</v>
      </c>
      <c r="BS358" s="57" t="s">
        <v>1283</v>
      </c>
      <c r="BT358" s="57" t="s">
        <v>1283</v>
      </c>
      <c r="BU358" s="57" t="s">
        <v>1283</v>
      </c>
      <c r="BV358" s="70">
        <f t="shared" ref="BV358" si="3218">E358</f>
        <v>45</v>
      </c>
      <c r="BW358" s="71">
        <f t="shared" ref="BW358" si="3219">I358</f>
        <v>75</v>
      </c>
      <c r="BX358" s="72">
        <f t="shared" ref="BX358" si="3220">M358</f>
        <v>79</v>
      </c>
      <c r="BY358" s="71">
        <f t="shared" ref="BY358" si="3221">Q358</f>
        <v>111</v>
      </c>
      <c r="BZ358" s="72">
        <f t="shared" ref="BZ358" si="3222">U358</f>
        <v>115</v>
      </c>
      <c r="CA358" s="71" t="str">
        <f t="shared" ref="CA358" si="3223">Y358</f>
        <v>-</v>
      </c>
      <c r="CB358" s="72">
        <f t="shared" ref="CB358" si="3224">AC358</f>
        <v>157</v>
      </c>
      <c r="CC358" s="71">
        <f t="shared" ref="CC358" si="3225">AG358</f>
        <v>202</v>
      </c>
      <c r="CD358" s="72">
        <f t="shared" ref="CD358" si="3226">AK358</f>
        <v>210</v>
      </c>
      <c r="CE358" s="71">
        <f t="shared" ref="CE358" si="3227">AO358</f>
        <v>286</v>
      </c>
      <c r="CF358" s="72">
        <f t="shared" ref="CF358" si="3228">AS358</f>
        <v>332</v>
      </c>
      <c r="CG358" s="71">
        <f t="shared" ref="CG358" si="3229">AW358</f>
        <v>362</v>
      </c>
      <c r="CH358" s="70">
        <f t="shared" ref="CH358" si="3230">G358</f>
        <v>74</v>
      </c>
      <c r="CI358" s="71">
        <f t="shared" ref="CI358" si="3231">K358</f>
        <v>78</v>
      </c>
      <c r="CJ358" s="72">
        <f t="shared" ref="CJ358" si="3232">O358</f>
        <v>110</v>
      </c>
      <c r="CK358" s="72">
        <f t="shared" ref="CK358" si="3233">S358</f>
        <v>114</v>
      </c>
      <c r="CL358" s="72">
        <f t="shared" ref="CL358" si="3234">W358</f>
        <v>150</v>
      </c>
      <c r="CM358" s="72" t="str">
        <f t="shared" ref="CM358" si="3235">AA358</f>
        <v>-</v>
      </c>
      <c r="CN358" s="72">
        <f t="shared" ref="CN358" si="3236">AE358</f>
        <v>183</v>
      </c>
      <c r="CO358" s="72">
        <f t="shared" ref="CO358" si="3237">AI358</f>
        <v>204</v>
      </c>
      <c r="CP358" s="72">
        <f t="shared" ref="CP358" si="3238">AM358</f>
        <v>243</v>
      </c>
      <c r="CQ358" s="72">
        <f t="shared" ref="CQ358" si="3239">AQ358</f>
        <v>324</v>
      </c>
      <c r="CR358" s="72">
        <f t="shared" ref="CR358" si="3240">AU358</f>
        <v>361</v>
      </c>
      <c r="CS358" s="72">
        <f t="shared" ref="CS358" si="3241">AY358</f>
        <v>377</v>
      </c>
      <c r="CT358" s="23">
        <f t="shared" ref="CT358" si="3242">M358-K358</f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  <c r="AMP358" s="2"/>
    </row>
    <row r="359" spans="1:1030" x14ac:dyDescent="0.2">
      <c r="A359" s="3" t="str">
        <f t="shared" ref="A359" si="3243">CONCATENATE(B359,"_",C359)</f>
        <v>ox1r_human_6TQ4</v>
      </c>
      <c r="B359" s="3" t="s">
        <v>1170</v>
      </c>
      <c r="C359" s="3" t="s">
        <v>1626</v>
      </c>
      <c r="D359" s="3" t="str">
        <f>IFERROR(MID(VLOOKUP($B359,Seqs!$A:$B,2,0),E359,1),"")</f>
        <v>Y</v>
      </c>
      <c r="E359" s="3">
        <v>45</v>
      </c>
      <c r="F359" s="3" t="str">
        <f>IFERROR(MID(VLOOKUP($B359,Seqs!$A:$B,2,0),G359,1),"")</f>
        <v>N</v>
      </c>
      <c r="G359" s="3">
        <v>74</v>
      </c>
      <c r="H359" s="3" t="str">
        <f>IFERROR(MID(VLOOKUP($B359,Seqs!$A:$B,2,0),I359,1),"")</f>
        <v>H</v>
      </c>
      <c r="I359" s="23">
        <v>75</v>
      </c>
      <c r="J359" s="3" t="str">
        <f>IFERROR(MID(VLOOKUP($B359,Seqs!$A:$B,2,0),K359,1),"")</f>
        <v>R</v>
      </c>
      <c r="K359" s="23">
        <v>78</v>
      </c>
      <c r="L359" s="3" t="str">
        <f>IFERROR(MID(VLOOKUP($B359,Seqs!$A:$B,2,0),M359,1),"")</f>
        <v>T</v>
      </c>
      <c r="M359" s="3">
        <v>79</v>
      </c>
      <c r="N359" s="3" t="str">
        <f>IFERROR(MID(VLOOKUP($B359,Seqs!$A:$B,2,0),O359,1),"")</f>
        <v>E</v>
      </c>
      <c r="O359" s="3">
        <v>110</v>
      </c>
      <c r="P359" s="3" t="str">
        <f>IFERROR(MID(VLOOKUP($B359,Seqs!$A:$B,2,0),Q359,1),"")</f>
        <v>S</v>
      </c>
      <c r="Q359" s="3">
        <v>111</v>
      </c>
      <c r="R359" s="3" t="str">
        <f>IFERROR(MID(VLOOKUP($B359,Seqs!$A:$B,2,0),S359,1),"")</f>
        <v>F</v>
      </c>
      <c r="S359" s="3">
        <v>114</v>
      </c>
      <c r="T359" s="3" t="str">
        <f>IFERROR(MID(VLOOKUP($B359,Seqs!$A:$B,2,0),U359,1),"")</f>
        <v>G</v>
      </c>
      <c r="U359" s="3">
        <v>115</v>
      </c>
      <c r="V359" s="3" t="str">
        <f>IFERROR(MID(VLOOKUP($B359,Seqs!$A:$B,2,0),W359,1),"")</f>
        <v>H</v>
      </c>
      <c r="W359" s="3">
        <v>150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T</v>
      </c>
      <c r="AC359" s="3">
        <v>157</v>
      </c>
      <c r="AD359" s="3" t="str">
        <f>IFERROR(MID(VLOOKUP($B359,Seqs!$A:$B,2,0),AE359,1),"")</f>
        <v>M</v>
      </c>
      <c r="AE359" s="3">
        <v>183</v>
      </c>
      <c r="AF359" s="3" t="str">
        <f>IFERROR(MID(VLOOKUP($B359,Seqs!$A:$B,2,0),AG359,1),"")</f>
        <v>C</v>
      </c>
      <c r="AG359" s="3">
        <v>202</v>
      </c>
      <c r="AH359" s="3" t="str">
        <f>IFERROR(MID(VLOOKUP($B359,Seqs!$A:$B,2,0),AI359,1),"")</f>
        <v>E</v>
      </c>
      <c r="AI359" s="3">
        <v>204</v>
      </c>
      <c r="AJ359" s="3" t="str">
        <f>IFERROR(MID(VLOOKUP($B359,Seqs!$A:$B,2,0),AK359,1),"")</f>
        <v>L</v>
      </c>
      <c r="AK359" s="3">
        <v>210</v>
      </c>
      <c r="AL359" s="3" t="str">
        <f>IFERROR(MID(VLOOKUP($B359,Seqs!$A:$B,2,0),AM359,1),"")</f>
        <v>W</v>
      </c>
      <c r="AM359" s="3">
        <v>243</v>
      </c>
      <c r="AN359" s="3" t="str">
        <f>IFERROR(MID(VLOOKUP($B359,Seqs!$A:$B,2,0),AO359,1),"")</f>
        <v>E</v>
      </c>
      <c r="AO359" s="3">
        <v>286</v>
      </c>
      <c r="AP359" s="3" t="str">
        <f>IFERROR(MID(VLOOKUP($B359,Seqs!$A:$B,2,0),AQ359,1),"")</f>
        <v>F</v>
      </c>
      <c r="AQ359" s="3">
        <v>324</v>
      </c>
      <c r="AR359" s="3" t="str">
        <f>IFERROR(MID(VLOOKUP($B359,Seqs!$A:$B,2,0),AS359,1),"")</f>
        <v>D</v>
      </c>
      <c r="AS359" s="3">
        <v>332</v>
      </c>
      <c r="AT359" s="3" t="str">
        <f>IFERROR(MID(VLOOKUP($B359,Seqs!$A:$B,2,0),AU359,1),"")</f>
        <v>L</v>
      </c>
      <c r="AU359" s="3">
        <v>361</v>
      </c>
      <c r="AV359" s="3" t="str">
        <f>IFERROR(MID(VLOOKUP($B359,Seqs!$A:$B,2,0),AW359,1),"")</f>
        <v>S</v>
      </c>
      <c r="AW359" s="3">
        <v>362</v>
      </c>
      <c r="AX359" s="3" t="str">
        <f>IFERROR(MID(VLOOKUP($B359,Seqs!$A:$B,2,0),AY359,1),"")</f>
        <v>C</v>
      </c>
      <c r="AY359" s="3">
        <v>376</v>
      </c>
      <c r="AZ359" s="77" t="str">
        <f>VLOOKUP(B359,Classification!A:D,2,0)</f>
        <v>A</v>
      </c>
      <c r="BA359" s="94" t="str">
        <f>VLOOKUP(B359,Classification!A:D,4,0)</f>
        <v>Orexin</v>
      </c>
      <c r="BB359" s="27" t="b">
        <f t="shared" ref="BB359" si="3244">AND(E359&lt;G359,OR(G359&lt;I359,I359="-"),OR(I359&lt;K359,I359="-"),OR(K359&lt;M359,K359="-"),M359&lt;O359,OR(O359&lt;Q359,Q359="-"),OR(Q359&lt;S359,Q359="-"),OR(S359&lt;U359,S359="-"),U359&lt;W359,OR(W359&lt;Y359,Y359="-"),OR(Y359&lt;AA359,Y359="-"),OR(AA359&lt;AC359,AA359="-"),AC359&lt;AE359,OR(AE359&lt;AG359,AG359="-"),OR(AG359&lt;AI359,AG359="-"),OR(AI359&lt;AK359,AI359="-"),AK359&lt;AM359,AM359&lt;AO359,AO359&lt;AQ359,AQ359&lt;AS359,AS359&lt;AU359,OR(AU359&lt;AW359,AW359="-"),OR(AW359&lt;AY359,AW359="-"))</f>
        <v>1</v>
      </c>
      <c r="BC359" s="23">
        <f t="shared" ref="BC359" si="3245">_xlfn.AGGREGATE(9,6,CH359:CS359)-_xlfn.AGGREGATE(9,6,BV359:CG359)+12</f>
        <v>255</v>
      </c>
      <c r="BD359" s="2" t="s">
        <v>23</v>
      </c>
      <c r="BE359" s="3" t="s">
        <v>1370</v>
      </c>
      <c r="BF359" s="118">
        <v>2.2999999999999998</v>
      </c>
      <c r="BG359" s="49" t="s">
        <v>1277</v>
      </c>
      <c r="BH359" s="49" t="s">
        <v>1277</v>
      </c>
      <c r="BI359" s="1"/>
      <c r="BJ359" s="70" t="s">
        <v>1283</v>
      </c>
      <c r="BK359" s="57" t="s">
        <v>1283</v>
      </c>
      <c r="BL359" s="57" t="s">
        <v>1283</v>
      </c>
      <c r="BM359" s="57" t="s">
        <v>1283</v>
      </c>
      <c r="BN359" s="57" t="s">
        <v>1283</v>
      </c>
      <c r="BO359" s="57" t="s">
        <v>1283</v>
      </c>
      <c r="BP359" s="57" t="s">
        <v>1283</v>
      </c>
      <c r="BQ359" s="57" t="s">
        <v>1283</v>
      </c>
      <c r="BR359" s="57" t="s">
        <v>1283</v>
      </c>
      <c r="BS359" s="57" t="s">
        <v>1283</v>
      </c>
      <c r="BT359" s="57" t="s">
        <v>1283</v>
      </c>
      <c r="BU359" s="57" t="s">
        <v>1283</v>
      </c>
      <c r="BV359" s="70">
        <f t="shared" ref="BV359" si="3246">E359</f>
        <v>45</v>
      </c>
      <c r="BW359" s="71">
        <f t="shared" ref="BW359" si="3247">I359</f>
        <v>75</v>
      </c>
      <c r="BX359" s="72">
        <f t="shared" ref="BX359" si="3248">M359</f>
        <v>79</v>
      </c>
      <c r="BY359" s="71">
        <f t="shared" ref="BY359" si="3249">Q359</f>
        <v>111</v>
      </c>
      <c r="BZ359" s="72">
        <f t="shared" ref="BZ359" si="3250">U359</f>
        <v>115</v>
      </c>
      <c r="CA359" s="71" t="str">
        <f t="shared" ref="CA359" si="3251">Y359</f>
        <v>-</v>
      </c>
      <c r="CB359" s="72">
        <f t="shared" ref="CB359" si="3252">AC359</f>
        <v>157</v>
      </c>
      <c r="CC359" s="71">
        <f t="shared" ref="CC359" si="3253">AG359</f>
        <v>202</v>
      </c>
      <c r="CD359" s="72">
        <f t="shared" ref="CD359" si="3254">AK359</f>
        <v>210</v>
      </c>
      <c r="CE359" s="71">
        <f t="shared" ref="CE359" si="3255">AO359</f>
        <v>286</v>
      </c>
      <c r="CF359" s="72">
        <f t="shared" ref="CF359" si="3256">AS359</f>
        <v>332</v>
      </c>
      <c r="CG359" s="71">
        <f t="shared" ref="CG359" si="3257">AW359</f>
        <v>362</v>
      </c>
      <c r="CH359" s="70">
        <f t="shared" ref="CH359" si="3258">G359</f>
        <v>74</v>
      </c>
      <c r="CI359" s="71">
        <f t="shared" ref="CI359" si="3259">K359</f>
        <v>78</v>
      </c>
      <c r="CJ359" s="72">
        <f t="shared" ref="CJ359" si="3260">O359</f>
        <v>110</v>
      </c>
      <c r="CK359" s="72">
        <f t="shared" ref="CK359" si="3261">S359</f>
        <v>114</v>
      </c>
      <c r="CL359" s="72">
        <f t="shared" ref="CL359" si="3262">W359</f>
        <v>150</v>
      </c>
      <c r="CM359" s="72" t="str">
        <f t="shared" ref="CM359" si="3263">AA359</f>
        <v>-</v>
      </c>
      <c r="CN359" s="72">
        <f t="shared" ref="CN359" si="3264">AE359</f>
        <v>183</v>
      </c>
      <c r="CO359" s="72">
        <f t="shared" ref="CO359" si="3265">AI359</f>
        <v>204</v>
      </c>
      <c r="CP359" s="72">
        <f t="shared" ref="CP359" si="3266">AM359</f>
        <v>243</v>
      </c>
      <c r="CQ359" s="72">
        <f t="shared" ref="CQ359" si="3267">AQ359</f>
        <v>324</v>
      </c>
      <c r="CR359" s="72">
        <f t="shared" ref="CR359" si="3268">AU359</f>
        <v>361</v>
      </c>
      <c r="CS359" s="72">
        <f t="shared" ref="CS359" si="3269">AY359</f>
        <v>376</v>
      </c>
      <c r="CT359" s="23">
        <f t="shared" ref="CT359" si="3270">M359-K359</f>
        <v>1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2"/>
    </row>
    <row r="360" spans="1:1030" x14ac:dyDescent="0.2">
      <c r="A360" s="3" t="str">
        <f t="shared" ref="A360" si="3271">CONCATENATE(B360,"_",C360)</f>
        <v>ox1r_human_6TQ6</v>
      </c>
      <c r="B360" s="3" t="s">
        <v>1170</v>
      </c>
      <c r="C360" s="3" t="s">
        <v>1627</v>
      </c>
      <c r="D360" s="3" t="str">
        <f>IFERROR(MID(VLOOKUP($B360,Seqs!$A:$B,2,0),E360,1),"")</f>
        <v>Y</v>
      </c>
      <c r="E360" s="3">
        <v>45</v>
      </c>
      <c r="F360" s="3" t="str">
        <f>IFERROR(MID(VLOOKUP($B360,Seqs!$A:$B,2,0),G360,1),"")</f>
        <v>N</v>
      </c>
      <c r="G360" s="3">
        <v>74</v>
      </c>
      <c r="H360" s="3" t="str">
        <f>IFERROR(MID(VLOOKUP($B360,Seqs!$A:$B,2,0),I360,1),"")</f>
        <v>H</v>
      </c>
      <c r="I360" s="23">
        <v>75</v>
      </c>
      <c r="J360" s="3" t="str">
        <f>IFERROR(MID(VLOOKUP($B360,Seqs!$A:$B,2,0),K360,1),"")</f>
        <v>R</v>
      </c>
      <c r="K360" s="23">
        <v>78</v>
      </c>
      <c r="L360" s="3" t="str">
        <f>IFERROR(MID(VLOOKUP($B360,Seqs!$A:$B,2,0),M360,1),"")</f>
        <v>T</v>
      </c>
      <c r="M360" s="3">
        <v>79</v>
      </c>
      <c r="N360" s="3" t="str">
        <f>IFERROR(MID(VLOOKUP($B360,Seqs!$A:$B,2,0),O360,1),"")</f>
        <v>E</v>
      </c>
      <c r="O360" s="3">
        <v>110</v>
      </c>
      <c r="P360" s="3" t="str">
        <f>IFERROR(MID(VLOOKUP($B360,Seqs!$A:$B,2,0),Q360,1),"")</f>
        <v>S</v>
      </c>
      <c r="Q360" s="3">
        <v>111</v>
      </c>
      <c r="R360" s="3" t="str">
        <f>IFERROR(MID(VLOOKUP($B360,Seqs!$A:$B,2,0),S360,1),"")</f>
        <v>F</v>
      </c>
      <c r="S360" s="3">
        <v>114</v>
      </c>
      <c r="T360" s="3" t="str">
        <f>IFERROR(MID(VLOOKUP($B360,Seqs!$A:$B,2,0),U360,1),"")</f>
        <v>G</v>
      </c>
      <c r="U360" s="3">
        <v>115</v>
      </c>
      <c r="V360" s="3" t="str">
        <f>IFERROR(MID(VLOOKUP($B360,Seqs!$A:$B,2,0),W360,1),"")</f>
        <v>H</v>
      </c>
      <c r="W360" s="3">
        <v>150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T</v>
      </c>
      <c r="AC360" s="3">
        <v>157</v>
      </c>
      <c r="AD360" s="3" t="str">
        <f>IFERROR(MID(VLOOKUP($B360,Seqs!$A:$B,2,0),AE360,1),"")</f>
        <v>M</v>
      </c>
      <c r="AE360" s="3">
        <v>183</v>
      </c>
      <c r="AF360" s="3" t="str">
        <f>IFERROR(MID(VLOOKUP($B360,Seqs!$A:$B,2,0),AG360,1),"")</f>
        <v>C</v>
      </c>
      <c r="AG360" s="3">
        <v>202</v>
      </c>
      <c r="AH360" s="3" t="str">
        <f>IFERROR(MID(VLOOKUP($B360,Seqs!$A:$B,2,0),AI360,1),"")</f>
        <v>E</v>
      </c>
      <c r="AI360" s="3">
        <v>204</v>
      </c>
      <c r="AJ360" s="3" t="str">
        <f>IFERROR(MID(VLOOKUP($B360,Seqs!$A:$B,2,0),AK360,1),"")</f>
        <v>L</v>
      </c>
      <c r="AK360" s="3">
        <v>210</v>
      </c>
      <c r="AL360" s="3" t="str">
        <f>IFERROR(MID(VLOOKUP($B360,Seqs!$A:$B,2,0),AM360,1),"")</f>
        <v>W</v>
      </c>
      <c r="AM360" s="3">
        <v>243</v>
      </c>
      <c r="AN360" s="3" t="str">
        <f>IFERROR(MID(VLOOKUP($B360,Seqs!$A:$B,2,0),AO360,1),"")</f>
        <v>E</v>
      </c>
      <c r="AO360" s="3">
        <v>286</v>
      </c>
      <c r="AP360" s="3" t="str">
        <f>IFERROR(MID(VLOOKUP($B360,Seqs!$A:$B,2,0),AQ360,1),"")</f>
        <v>F</v>
      </c>
      <c r="AQ360" s="3">
        <v>324</v>
      </c>
      <c r="AR360" s="3" t="str">
        <f>IFERROR(MID(VLOOKUP($B360,Seqs!$A:$B,2,0),AS360,1),"")</f>
        <v>D</v>
      </c>
      <c r="AS360" s="3">
        <v>332</v>
      </c>
      <c r="AT360" s="3" t="str">
        <f>IFERROR(MID(VLOOKUP($B360,Seqs!$A:$B,2,0),AU360,1),"")</f>
        <v>L</v>
      </c>
      <c r="AU360" s="3">
        <v>361</v>
      </c>
      <c r="AV360" s="3" t="str">
        <f>IFERROR(MID(VLOOKUP($B360,Seqs!$A:$B,2,0),AW360,1),"")</f>
        <v>S</v>
      </c>
      <c r="AW360" s="3">
        <v>362</v>
      </c>
      <c r="AX360" s="3" t="str">
        <f>IFERROR(MID(VLOOKUP($B360,Seqs!$A:$B,2,0),AY360,1),"")</f>
        <v>L</v>
      </c>
      <c r="AY360" s="3">
        <v>377</v>
      </c>
      <c r="AZ360" s="77" t="str">
        <f>VLOOKUP(B360,Classification!A:D,2,0)</f>
        <v>A</v>
      </c>
      <c r="BA360" s="94" t="str">
        <f>VLOOKUP(B360,Classification!A:D,4,0)</f>
        <v>Orexin</v>
      </c>
      <c r="BB360" s="27" t="b">
        <f t="shared" ref="BB360" si="3272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" si="3273">_xlfn.AGGREGATE(9,6,CH360:CS360)-_xlfn.AGGREGATE(9,6,BV360:CG360)+12</f>
        <v>256</v>
      </c>
      <c r="BD360" s="2" t="s">
        <v>23</v>
      </c>
      <c r="BE360" s="3" t="s">
        <v>1370</v>
      </c>
      <c r="BF360" s="118">
        <v>2.5499999999999998</v>
      </c>
      <c r="BG360" s="49" t="s">
        <v>1277</v>
      </c>
      <c r="BH360" s="49" t="s">
        <v>1277</v>
      </c>
      <c r="BI360" s="1"/>
      <c r="BJ360" s="70" t="s">
        <v>1283</v>
      </c>
      <c r="BK360" s="57" t="s">
        <v>1283</v>
      </c>
      <c r="BL360" s="57" t="s">
        <v>1283</v>
      </c>
      <c r="BM360" s="57" t="s">
        <v>1283</v>
      </c>
      <c r="BN360" s="57" t="s">
        <v>1283</v>
      </c>
      <c r="BO360" s="57" t="s">
        <v>1283</v>
      </c>
      <c r="BP360" s="57" t="s">
        <v>1283</v>
      </c>
      <c r="BQ360" s="57" t="s">
        <v>1283</v>
      </c>
      <c r="BR360" s="57" t="s">
        <v>1283</v>
      </c>
      <c r="BS360" s="57" t="s">
        <v>1283</v>
      </c>
      <c r="BT360" s="57" t="s">
        <v>1283</v>
      </c>
      <c r="BU360" s="57" t="s">
        <v>1283</v>
      </c>
      <c r="BV360" s="70">
        <f t="shared" ref="BV360" si="3274">E360</f>
        <v>45</v>
      </c>
      <c r="BW360" s="71">
        <f t="shared" ref="BW360" si="3275">I360</f>
        <v>75</v>
      </c>
      <c r="BX360" s="72">
        <f t="shared" ref="BX360" si="3276">M360</f>
        <v>79</v>
      </c>
      <c r="BY360" s="71">
        <f t="shared" ref="BY360" si="3277">Q360</f>
        <v>111</v>
      </c>
      <c r="BZ360" s="72">
        <f t="shared" ref="BZ360" si="3278">U360</f>
        <v>115</v>
      </c>
      <c r="CA360" s="71" t="str">
        <f t="shared" ref="CA360" si="3279">Y360</f>
        <v>-</v>
      </c>
      <c r="CB360" s="72">
        <f t="shared" ref="CB360" si="3280">AC360</f>
        <v>157</v>
      </c>
      <c r="CC360" s="71">
        <f t="shared" ref="CC360" si="3281">AG360</f>
        <v>202</v>
      </c>
      <c r="CD360" s="72">
        <f t="shared" ref="CD360" si="3282">AK360</f>
        <v>210</v>
      </c>
      <c r="CE360" s="71">
        <f t="shared" ref="CE360" si="3283">AO360</f>
        <v>286</v>
      </c>
      <c r="CF360" s="72">
        <f t="shared" ref="CF360" si="3284">AS360</f>
        <v>332</v>
      </c>
      <c r="CG360" s="71">
        <f t="shared" ref="CG360" si="3285">AW360</f>
        <v>362</v>
      </c>
      <c r="CH360" s="70">
        <f t="shared" ref="CH360" si="3286">G360</f>
        <v>74</v>
      </c>
      <c r="CI360" s="71">
        <f t="shared" ref="CI360" si="3287">K360</f>
        <v>78</v>
      </c>
      <c r="CJ360" s="72">
        <f t="shared" ref="CJ360" si="3288">O360</f>
        <v>110</v>
      </c>
      <c r="CK360" s="72">
        <f t="shared" ref="CK360" si="3289">S360</f>
        <v>114</v>
      </c>
      <c r="CL360" s="72">
        <f t="shared" ref="CL360" si="3290">W360</f>
        <v>150</v>
      </c>
      <c r="CM360" s="72" t="str">
        <f t="shared" ref="CM360" si="3291">AA360</f>
        <v>-</v>
      </c>
      <c r="CN360" s="72">
        <f t="shared" ref="CN360" si="3292">AE360</f>
        <v>183</v>
      </c>
      <c r="CO360" s="72">
        <f t="shared" ref="CO360" si="3293">AI360</f>
        <v>204</v>
      </c>
      <c r="CP360" s="72">
        <f t="shared" ref="CP360" si="3294">AM360</f>
        <v>243</v>
      </c>
      <c r="CQ360" s="72">
        <f t="shared" ref="CQ360" si="3295">AQ360</f>
        <v>324</v>
      </c>
      <c r="CR360" s="72">
        <f t="shared" ref="CR360" si="3296">AU360</f>
        <v>361</v>
      </c>
      <c r="CS360" s="72">
        <f t="shared" ref="CS360" si="3297">AY360</f>
        <v>377</v>
      </c>
      <c r="CT360" s="23">
        <f t="shared" ref="CT360" si="3298">M360-K360</f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2"/>
    </row>
    <row r="361" spans="1:1030" x14ac:dyDescent="0.2">
      <c r="A361" s="3" t="str">
        <f t="shared" ref="A361" si="3299">CONCATENATE(B361,"_",C361)</f>
        <v>ox1r_human_6TQ7</v>
      </c>
      <c r="B361" s="3" t="s">
        <v>1170</v>
      </c>
      <c r="C361" s="3" t="s">
        <v>1628</v>
      </c>
      <c r="D361" s="3" t="str">
        <f>IFERROR(MID(VLOOKUP($B361,Seqs!$A:$B,2,0),E361,1),"")</f>
        <v>Y</v>
      </c>
      <c r="E361" s="3">
        <v>45</v>
      </c>
      <c r="F361" s="3" t="str">
        <f>IFERROR(MID(VLOOKUP($B361,Seqs!$A:$B,2,0),G361,1),"")</f>
        <v>N</v>
      </c>
      <c r="G361" s="3">
        <v>74</v>
      </c>
      <c r="H361" s="3" t="str">
        <f>IFERROR(MID(VLOOKUP($B361,Seqs!$A:$B,2,0),I361,1),"")</f>
        <v>H</v>
      </c>
      <c r="I361" s="23">
        <v>75</v>
      </c>
      <c r="J361" s="3" t="str">
        <f>IFERROR(MID(VLOOKUP($B361,Seqs!$A:$B,2,0),K361,1),"")</f>
        <v>R</v>
      </c>
      <c r="K361" s="23">
        <v>78</v>
      </c>
      <c r="L361" s="3" t="str">
        <f>IFERROR(MID(VLOOKUP($B361,Seqs!$A:$B,2,0),M361,1),"")</f>
        <v>T</v>
      </c>
      <c r="M361" s="3">
        <v>79</v>
      </c>
      <c r="N361" s="3" t="str">
        <f>IFERROR(MID(VLOOKUP($B361,Seqs!$A:$B,2,0),O361,1),"")</f>
        <v>E</v>
      </c>
      <c r="O361" s="3">
        <v>110</v>
      </c>
      <c r="P361" s="3" t="str">
        <f>IFERROR(MID(VLOOKUP($B361,Seqs!$A:$B,2,0),Q361,1),"")</f>
        <v>S</v>
      </c>
      <c r="Q361" s="3">
        <v>111</v>
      </c>
      <c r="R361" s="3" t="str">
        <f>IFERROR(MID(VLOOKUP($B361,Seqs!$A:$B,2,0),S361,1),"")</f>
        <v>F</v>
      </c>
      <c r="S361" s="3">
        <v>114</v>
      </c>
      <c r="T361" s="3" t="str">
        <f>IFERROR(MID(VLOOKUP($B361,Seqs!$A:$B,2,0),U361,1),"")</f>
        <v>G</v>
      </c>
      <c r="U361" s="3">
        <v>115</v>
      </c>
      <c r="V361" s="3" t="str">
        <f>IFERROR(MID(VLOOKUP($B361,Seqs!$A:$B,2,0),W361,1),"")</f>
        <v>H</v>
      </c>
      <c r="W361" s="3">
        <v>150</v>
      </c>
      <c r="X361" s="3" t="str">
        <f>IFERROR(MID(VLOOKUP($B361,Seqs!$A:$B,2,0),Y361,1),"")</f>
        <v>P</v>
      </c>
      <c r="Y361" s="3">
        <v>151</v>
      </c>
      <c r="Z361" s="3" t="str">
        <f>IFERROR(MID(VLOOKUP($B361,Seqs!$A:$B,2,0),AA361,1),"")</f>
        <v>F</v>
      </c>
      <c r="AA361" s="3">
        <v>154</v>
      </c>
      <c r="AB361" s="3" t="str">
        <f>IFERROR(MID(VLOOKUP($B361,Seqs!$A:$B,2,0),AC361,1),"")</f>
        <v>T</v>
      </c>
      <c r="AC361" s="3">
        <v>157</v>
      </c>
      <c r="AD361" s="3" t="str">
        <f>IFERROR(MID(VLOOKUP($B361,Seqs!$A:$B,2,0),AE361,1),"")</f>
        <v>M</v>
      </c>
      <c r="AE361" s="3">
        <v>183</v>
      </c>
      <c r="AF361" s="3" t="str">
        <f>IFERROR(MID(VLOOKUP($B361,Seqs!$A:$B,2,0),AG361,1),"")</f>
        <v>C</v>
      </c>
      <c r="AG361" s="3">
        <v>202</v>
      </c>
      <c r="AH361" s="3" t="str">
        <f>IFERROR(MID(VLOOKUP($B361,Seqs!$A:$B,2,0),AI361,1),"")</f>
        <v>E</v>
      </c>
      <c r="AI361" s="3">
        <v>204</v>
      </c>
      <c r="AJ361" s="3" t="str">
        <f>IFERROR(MID(VLOOKUP($B361,Seqs!$A:$B,2,0),AK361,1),"")</f>
        <v>L</v>
      </c>
      <c r="AK361" s="3">
        <v>210</v>
      </c>
      <c r="AL361" s="3" t="str">
        <f>IFERROR(MID(VLOOKUP($B361,Seqs!$A:$B,2,0),AM361,1),"")</f>
        <v>W</v>
      </c>
      <c r="AM361" s="3">
        <v>243</v>
      </c>
      <c r="AN361" s="3" t="str">
        <f>IFERROR(MID(VLOOKUP($B361,Seqs!$A:$B,2,0),AO361,1),"")</f>
        <v>E</v>
      </c>
      <c r="AO361" s="3">
        <v>286</v>
      </c>
      <c r="AP361" s="3" t="str">
        <f>IFERROR(MID(VLOOKUP($B361,Seqs!$A:$B,2,0),AQ361,1),"")</f>
        <v>F</v>
      </c>
      <c r="AQ361" s="3">
        <v>324</v>
      </c>
      <c r="AR361" s="3" t="str">
        <f>IFERROR(MID(VLOOKUP($B361,Seqs!$A:$B,2,0),AS361,1),"")</f>
        <v>D</v>
      </c>
      <c r="AS361" s="3">
        <v>332</v>
      </c>
      <c r="AT361" s="3" t="str">
        <f>IFERROR(MID(VLOOKUP($B361,Seqs!$A:$B,2,0),AU361,1),"")</f>
        <v>L</v>
      </c>
      <c r="AU361" s="3">
        <v>361</v>
      </c>
      <c r="AV361" s="3" t="str">
        <f>IFERROR(MID(VLOOKUP($B361,Seqs!$A:$B,2,0),AW361,1),"")</f>
        <v>S</v>
      </c>
      <c r="AW361" s="3">
        <v>362</v>
      </c>
      <c r="AX361" s="3" t="str">
        <f>IFERROR(MID(VLOOKUP($B361,Seqs!$A:$B,2,0),AY361,1),"")</f>
        <v>L</v>
      </c>
      <c r="AY361" s="3">
        <v>377</v>
      </c>
      <c r="AZ361" s="77" t="str">
        <f>VLOOKUP(B361,Classification!A:D,2,0)</f>
        <v>A</v>
      </c>
      <c r="BA361" s="94" t="str">
        <f>VLOOKUP(B361,Classification!A:D,4,0)</f>
        <v>Orexin</v>
      </c>
      <c r="BB361" s="27" t="b">
        <f t="shared" ref="BB361" si="3300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 t="shared" ref="BC361" si="3301">_xlfn.AGGREGATE(9,6,CH361:CS361)-_xlfn.AGGREGATE(9,6,BV361:CG361)+12</f>
        <v>259</v>
      </c>
      <c r="BD361" s="2" t="s">
        <v>23</v>
      </c>
      <c r="BE361" s="3" t="s">
        <v>1370</v>
      </c>
      <c r="BF361" s="118">
        <v>2.66</v>
      </c>
      <c r="BG361" s="49" t="s">
        <v>1</v>
      </c>
      <c r="BH361" s="49" t="s">
        <v>1</v>
      </c>
      <c r="BI361" s="1"/>
      <c r="BJ361" s="70" t="s">
        <v>1283</v>
      </c>
      <c r="BK361" s="57" t="s">
        <v>1283</v>
      </c>
      <c r="BL361" s="57" t="s">
        <v>1283</v>
      </c>
      <c r="BM361" s="57" t="s">
        <v>1283</v>
      </c>
      <c r="BN361" s="57" t="s">
        <v>1283</v>
      </c>
      <c r="BO361" s="57" t="s">
        <v>1283</v>
      </c>
      <c r="BP361" s="57" t="s">
        <v>1283</v>
      </c>
      <c r="BQ361" s="57" t="s">
        <v>1283</v>
      </c>
      <c r="BR361" s="57" t="s">
        <v>1283</v>
      </c>
      <c r="BS361" s="57" t="s">
        <v>1283</v>
      </c>
      <c r="BT361" s="57" t="s">
        <v>1283</v>
      </c>
      <c r="BU361" s="57" t="s">
        <v>1283</v>
      </c>
      <c r="BV361" s="70">
        <f t="shared" ref="BV361" si="3302">E361</f>
        <v>45</v>
      </c>
      <c r="BW361" s="71">
        <f t="shared" ref="BW361" si="3303">I361</f>
        <v>75</v>
      </c>
      <c r="BX361" s="72">
        <f t="shared" ref="BX361" si="3304">M361</f>
        <v>79</v>
      </c>
      <c r="BY361" s="71">
        <f t="shared" ref="BY361" si="3305">Q361</f>
        <v>111</v>
      </c>
      <c r="BZ361" s="72">
        <f t="shared" ref="BZ361" si="3306">U361</f>
        <v>115</v>
      </c>
      <c r="CA361" s="71">
        <f t="shared" ref="CA361" si="3307">Y361</f>
        <v>151</v>
      </c>
      <c r="CB361" s="72">
        <f t="shared" ref="CB361" si="3308">AC361</f>
        <v>157</v>
      </c>
      <c r="CC361" s="71">
        <f t="shared" ref="CC361" si="3309">AG361</f>
        <v>202</v>
      </c>
      <c r="CD361" s="72">
        <f t="shared" ref="CD361" si="3310">AK361</f>
        <v>210</v>
      </c>
      <c r="CE361" s="71">
        <f t="shared" ref="CE361" si="3311">AO361</f>
        <v>286</v>
      </c>
      <c r="CF361" s="72">
        <f t="shared" ref="CF361" si="3312">AS361</f>
        <v>332</v>
      </c>
      <c r="CG361" s="71">
        <f t="shared" ref="CG361" si="3313">AW361</f>
        <v>362</v>
      </c>
      <c r="CH361" s="70">
        <f t="shared" ref="CH361" si="3314">G361</f>
        <v>74</v>
      </c>
      <c r="CI361" s="71">
        <f t="shared" ref="CI361" si="3315">K361</f>
        <v>78</v>
      </c>
      <c r="CJ361" s="72">
        <f t="shared" ref="CJ361" si="3316">O361</f>
        <v>110</v>
      </c>
      <c r="CK361" s="72">
        <f t="shared" ref="CK361" si="3317">S361</f>
        <v>114</v>
      </c>
      <c r="CL361" s="72">
        <f t="shared" ref="CL361" si="3318">W361</f>
        <v>150</v>
      </c>
      <c r="CM361" s="72">
        <f t="shared" ref="CM361" si="3319">AA361</f>
        <v>154</v>
      </c>
      <c r="CN361" s="72">
        <f t="shared" ref="CN361" si="3320">AE361</f>
        <v>183</v>
      </c>
      <c r="CO361" s="72">
        <f t="shared" ref="CO361" si="3321">AI361</f>
        <v>204</v>
      </c>
      <c r="CP361" s="72">
        <f t="shared" ref="CP361" si="3322">AM361</f>
        <v>243</v>
      </c>
      <c r="CQ361" s="72">
        <f t="shared" ref="CQ361" si="3323">AQ361</f>
        <v>324</v>
      </c>
      <c r="CR361" s="72">
        <f t="shared" ref="CR361" si="3324">AU361</f>
        <v>361</v>
      </c>
      <c r="CS361" s="72">
        <f t="shared" ref="CS361" si="3325">AY361</f>
        <v>377</v>
      </c>
      <c r="CT361" s="23">
        <f t="shared" ref="CT361" si="3326">M361-K361</f>
        <v>1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2"/>
    </row>
    <row r="362" spans="1:1030" x14ac:dyDescent="0.2">
      <c r="A362" s="3" t="str">
        <f t="shared" ref="A362" si="3327">CONCATENATE(B362,"_",C362)</f>
        <v>ox1r_human_6TQ9</v>
      </c>
      <c r="B362" s="3" t="s">
        <v>1170</v>
      </c>
      <c r="C362" s="3" t="s">
        <v>1629</v>
      </c>
      <c r="D362" s="3" t="str">
        <f>IFERROR(MID(VLOOKUP($B362,Seqs!$A:$B,2,0),E362,1),"")</f>
        <v>Y</v>
      </c>
      <c r="E362" s="3">
        <v>45</v>
      </c>
      <c r="F362" s="3" t="str">
        <f>IFERROR(MID(VLOOKUP($B362,Seqs!$A:$B,2,0),G362,1),"")</f>
        <v>N</v>
      </c>
      <c r="G362" s="3">
        <v>74</v>
      </c>
      <c r="H362" s="3" t="str">
        <f>IFERROR(MID(VLOOKUP($B362,Seqs!$A:$B,2,0),I362,1),"")</f>
        <v>H</v>
      </c>
      <c r="I362" s="23">
        <v>75</v>
      </c>
      <c r="J362" s="3" t="str">
        <f>IFERROR(MID(VLOOKUP($B362,Seqs!$A:$B,2,0),K362,1),"")</f>
        <v>R</v>
      </c>
      <c r="K362" s="23">
        <v>78</v>
      </c>
      <c r="L362" s="3" t="str">
        <f>IFERROR(MID(VLOOKUP($B362,Seqs!$A:$B,2,0),M362,1),"")</f>
        <v>T</v>
      </c>
      <c r="M362" s="3">
        <v>79</v>
      </c>
      <c r="N362" s="3" t="str">
        <f>IFERROR(MID(VLOOKUP($B362,Seqs!$A:$B,2,0),O362,1),"")</f>
        <v>E</v>
      </c>
      <c r="O362" s="3">
        <v>110</v>
      </c>
      <c r="P362" s="3" t="str">
        <f>IFERROR(MID(VLOOKUP($B362,Seqs!$A:$B,2,0),Q362,1),"")</f>
        <v>S</v>
      </c>
      <c r="Q362" s="3">
        <v>111</v>
      </c>
      <c r="R362" s="3" t="str">
        <f>IFERROR(MID(VLOOKUP($B362,Seqs!$A:$B,2,0),S362,1),"")</f>
        <v>F</v>
      </c>
      <c r="S362" s="3">
        <v>114</v>
      </c>
      <c r="T362" s="3" t="str">
        <f>IFERROR(MID(VLOOKUP($B362,Seqs!$A:$B,2,0),U362,1),"")</f>
        <v>G</v>
      </c>
      <c r="U362" s="3">
        <v>115</v>
      </c>
      <c r="V362" s="3" t="str">
        <f>IFERROR(MID(VLOOKUP($B362,Seqs!$A:$B,2,0),W362,1),"")</f>
        <v>H</v>
      </c>
      <c r="W362" s="3">
        <v>150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T</v>
      </c>
      <c r="AC362" s="3">
        <v>157</v>
      </c>
      <c r="AD362" s="3" t="str">
        <f>IFERROR(MID(VLOOKUP($B362,Seqs!$A:$B,2,0),AE362,1),"")</f>
        <v>M</v>
      </c>
      <c r="AE362" s="3">
        <v>183</v>
      </c>
      <c r="AF362" s="3" t="str">
        <f>IFERROR(MID(VLOOKUP($B362,Seqs!$A:$B,2,0),AG362,1),"")</f>
        <v>C</v>
      </c>
      <c r="AG362" s="3">
        <v>202</v>
      </c>
      <c r="AH362" s="3" t="str">
        <f>IFERROR(MID(VLOOKUP($B362,Seqs!$A:$B,2,0),AI362,1),"")</f>
        <v>E</v>
      </c>
      <c r="AI362" s="3">
        <v>204</v>
      </c>
      <c r="AJ362" s="3" t="str">
        <f>IFERROR(MID(VLOOKUP($B362,Seqs!$A:$B,2,0),AK362,1),"")</f>
        <v>L</v>
      </c>
      <c r="AK362" s="3">
        <v>210</v>
      </c>
      <c r="AL362" s="3" t="str">
        <f>IFERROR(MID(VLOOKUP($B362,Seqs!$A:$B,2,0),AM362,1),"")</f>
        <v>W</v>
      </c>
      <c r="AM362" s="3">
        <v>243</v>
      </c>
      <c r="AN362" s="3" t="str">
        <f>IFERROR(MID(VLOOKUP($B362,Seqs!$A:$B,2,0),AO362,1),"")</f>
        <v>E</v>
      </c>
      <c r="AO362" s="3">
        <v>286</v>
      </c>
      <c r="AP362" s="3" t="str">
        <f>IFERROR(MID(VLOOKUP($B362,Seqs!$A:$B,2,0),AQ362,1),"")</f>
        <v>F</v>
      </c>
      <c r="AQ362" s="3">
        <v>324</v>
      </c>
      <c r="AR362" s="3" t="str">
        <f>IFERROR(MID(VLOOKUP($B362,Seqs!$A:$B,2,0),AS362,1),"")</f>
        <v>D</v>
      </c>
      <c r="AS362" s="3">
        <v>332</v>
      </c>
      <c r="AT362" s="3" t="str">
        <f>IFERROR(MID(VLOOKUP($B362,Seqs!$A:$B,2,0),AU362,1),"")</f>
        <v>L</v>
      </c>
      <c r="AU362" s="3">
        <v>361</v>
      </c>
      <c r="AV362" s="3" t="str">
        <f>IFERROR(MID(VLOOKUP($B362,Seqs!$A:$B,2,0),AW362,1),"")</f>
        <v>S</v>
      </c>
      <c r="AW362" s="3">
        <v>362</v>
      </c>
      <c r="AX362" s="3" t="str">
        <f>IFERROR(MID(VLOOKUP($B362,Seqs!$A:$B,2,0),AY362,1),"")</f>
        <v>L</v>
      </c>
      <c r="AY362" s="3">
        <v>377</v>
      </c>
      <c r="AZ362" s="77" t="str">
        <f>VLOOKUP(B362,Classification!A:D,2,0)</f>
        <v>A</v>
      </c>
      <c r="BA362" s="94" t="str">
        <f>VLOOKUP(B362,Classification!A:D,4,0)</f>
        <v>Orexin</v>
      </c>
      <c r="BB362" s="27" t="b">
        <f t="shared" ref="BB362" si="3328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23">
        <f t="shared" ref="BC362" si="3329">_xlfn.AGGREGATE(9,6,CH362:CS362)-_xlfn.AGGREGATE(9,6,BV362:CG362)+12</f>
        <v>256</v>
      </c>
      <c r="BD362" s="2" t="s">
        <v>23</v>
      </c>
      <c r="BE362" s="3" t="s">
        <v>1370</v>
      </c>
      <c r="BF362" s="118">
        <v>2.66</v>
      </c>
      <c r="BG362" s="49" t="s">
        <v>1277</v>
      </c>
      <c r="BH362" s="49" t="s">
        <v>1277</v>
      </c>
      <c r="BI362" s="1"/>
      <c r="BJ362" s="70" t="s">
        <v>1283</v>
      </c>
      <c r="BK362" s="57" t="s">
        <v>1283</v>
      </c>
      <c r="BL362" s="57" t="s">
        <v>1283</v>
      </c>
      <c r="BM362" s="57" t="s">
        <v>1283</v>
      </c>
      <c r="BN362" s="57" t="s">
        <v>1283</v>
      </c>
      <c r="BO362" s="57" t="s">
        <v>1283</v>
      </c>
      <c r="BP362" s="57" t="s">
        <v>1283</v>
      </c>
      <c r="BQ362" s="57" t="s">
        <v>1283</v>
      </c>
      <c r="BR362" s="57" t="s">
        <v>1283</v>
      </c>
      <c r="BS362" s="57" t="s">
        <v>1283</v>
      </c>
      <c r="BT362" s="57" t="s">
        <v>1283</v>
      </c>
      <c r="BU362" s="57" t="s">
        <v>1283</v>
      </c>
      <c r="BV362" s="70">
        <f t="shared" ref="BV362" si="3330">E362</f>
        <v>45</v>
      </c>
      <c r="BW362" s="71">
        <f t="shared" ref="BW362" si="3331">I362</f>
        <v>75</v>
      </c>
      <c r="BX362" s="72">
        <f t="shared" ref="BX362" si="3332">M362</f>
        <v>79</v>
      </c>
      <c r="BY362" s="71">
        <f t="shared" ref="BY362" si="3333">Q362</f>
        <v>111</v>
      </c>
      <c r="BZ362" s="72">
        <f t="shared" ref="BZ362" si="3334">U362</f>
        <v>115</v>
      </c>
      <c r="CA362" s="71" t="str">
        <f t="shared" ref="CA362" si="3335">Y362</f>
        <v>-</v>
      </c>
      <c r="CB362" s="72">
        <f t="shared" ref="CB362" si="3336">AC362</f>
        <v>157</v>
      </c>
      <c r="CC362" s="71">
        <f t="shared" ref="CC362" si="3337">AG362</f>
        <v>202</v>
      </c>
      <c r="CD362" s="72">
        <f t="shared" ref="CD362" si="3338">AK362</f>
        <v>210</v>
      </c>
      <c r="CE362" s="71">
        <f t="shared" ref="CE362" si="3339">AO362</f>
        <v>286</v>
      </c>
      <c r="CF362" s="72">
        <f t="shared" ref="CF362" si="3340">AS362</f>
        <v>332</v>
      </c>
      <c r="CG362" s="71">
        <f t="shared" ref="CG362" si="3341">AW362</f>
        <v>362</v>
      </c>
      <c r="CH362" s="70">
        <f t="shared" ref="CH362" si="3342">G362</f>
        <v>74</v>
      </c>
      <c r="CI362" s="71">
        <f t="shared" ref="CI362" si="3343">K362</f>
        <v>78</v>
      </c>
      <c r="CJ362" s="72">
        <f t="shared" ref="CJ362" si="3344">O362</f>
        <v>110</v>
      </c>
      <c r="CK362" s="72">
        <f t="shared" ref="CK362" si="3345">S362</f>
        <v>114</v>
      </c>
      <c r="CL362" s="72">
        <f t="shared" ref="CL362" si="3346">W362</f>
        <v>150</v>
      </c>
      <c r="CM362" s="72" t="str">
        <f t="shared" ref="CM362" si="3347">AA362</f>
        <v>-</v>
      </c>
      <c r="CN362" s="72">
        <f t="shared" ref="CN362" si="3348">AE362</f>
        <v>183</v>
      </c>
      <c r="CO362" s="72">
        <f t="shared" ref="CO362" si="3349">AI362</f>
        <v>204</v>
      </c>
      <c r="CP362" s="72">
        <f t="shared" ref="CP362" si="3350">AM362</f>
        <v>243</v>
      </c>
      <c r="CQ362" s="72">
        <f t="shared" ref="CQ362" si="3351">AQ362</f>
        <v>324</v>
      </c>
      <c r="CR362" s="72">
        <f t="shared" ref="CR362" si="3352">AU362</f>
        <v>361</v>
      </c>
      <c r="CS362" s="72">
        <f t="shared" ref="CS362" si="3353">AY362</f>
        <v>377</v>
      </c>
      <c r="CT362" s="23">
        <f t="shared" ref="CT362" si="3354">M362-K362</f>
        <v>1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2"/>
    </row>
    <row r="363" spans="1:1030" x14ac:dyDescent="0.2">
      <c r="A363" s="3" t="str">
        <f t="shared" ref="A363" si="3355">CONCATENATE(B363,"_",C363)</f>
        <v>ox1r_human_6TOS</v>
      </c>
      <c r="B363" s="3" t="s">
        <v>1170</v>
      </c>
      <c r="C363" s="3" t="s">
        <v>1631</v>
      </c>
      <c r="D363" s="3" t="str">
        <f>IFERROR(MID(VLOOKUP($B363,Seqs!$A:$B,2,0),E363,1),"")</f>
        <v>Y</v>
      </c>
      <c r="E363" s="3">
        <v>45</v>
      </c>
      <c r="F363" s="3" t="str">
        <f>IFERROR(MID(VLOOKUP($B363,Seqs!$A:$B,2,0),G363,1),"")</f>
        <v>N</v>
      </c>
      <c r="G363" s="3">
        <v>74</v>
      </c>
      <c r="H363" s="3" t="str">
        <f>IFERROR(MID(VLOOKUP($B363,Seqs!$A:$B,2,0),I363,1),"")</f>
        <v>H</v>
      </c>
      <c r="I363" s="23">
        <v>75</v>
      </c>
      <c r="J363" s="3" t="str">
        <f>IFERROR(MID(VLOOKUP($B363,Seqs!$A:$B,2,0),K363,1),"")</f>
        <v>R</v>
      </c>
      <c r="K363" s="23">
        <v>78</v>
      </c>
      <c r="L363" s="3" t="str">
        <f>IFERROR(MID(VLOOKUP($B363,Seqs!$A:$B,2,0),M363,1),"")</f>
        <v>T</v>
      </c>
      <c r="M363" s="3">
        <v>79</v>
      </c>
      <c r="N363" s="3" t="str">
        <f>IFERROR(MID(VLOOKUP($B363,Seqs!$A:$B,2,0),O363,1),"")</f>
        <v>E</v>
      </c>
      <c r="O363" s="3">
        <v>110</v>
      </c>
      <c r="P363" s="3" t="str">
        <f>IFERROR(MID(VLOOKUP($B363,Seqs!$A:$B,2,0),Q363,1),"")</f>
        <v>S</v>
      </c>
      <c r="Q363" s="3">
        <v>111</v>
      </c>
      <c r="R363" s="3" t="str">
        <f>IFERROR(MID(VLOOKUP($B363,Seqs!$A:$B,2,0),S363,1),"")</f>
        <v>F</v>
      </c>
      <c r="S363" s="3">
        <v>114</v>
      </c>
      <c r="T363" s="3" t="str">
        <f>IFERROR(MID(VLOOKUP($B363,Seqs!$A:$B,2,0),U363,1),"")</f>
        <v>G</v>
      </c>
      <c r="U363" s="3">
        <v>115</v>
      </c>
      <c r="V363" s="3" t="str">
        <f>IFERROR(MID(VLOOKUP($B363,Seqs!$A:$B,2,0),W363,1),"")</f>
        <v>H</v>
      </c>
      <c r="W363" s="3">
        <v>150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T</v>
      </c>
      <c r="AC363" s="3">
        <v>157</v>
      </c>
      <c r="AD363" s="3" t="str">
        <f>IFERROR(MID(VLOOKUP($B363,Seqs!$A:$B,2,0),AE363,1),"")</f>
        <v>M</v>
      </c>
      <c r="AE363" s="3">
        <v>183</v>
      </c>
      <c r="AF363" s="3" t="str">
        <f>IFERROR(MID(VLOOKUP($B363,Seqs!$A:$B,2,0),AG363,1),"")</f>
        <v>C</v>
      </c>
      <c r="AG363" s="3">
        <v>202</v>
      </c>
      <c r="AH363" s="3" t="str">
        <f>IFERROR(MID(VLOOKUP($B363,Seqs!$A:$B,2,0),AI363,1),"")</f>
        <v>E</v>
      </c>
      <c r="AI363" s="3">
        <v>204</v>
      </c>
      <c r="AJ363" s="3" t="str">
        <f>IFERROR(MID(VLOOKUP($B363,Seqs!$A:$B,2,0),AK363,1),"")</f>
        <v>L</v>
      </c>
      <c r="AK363" s="3">
        <v>210</v>
      </c>
      <c r="AL363" s="3" t="str">
        <f>IFERROR(MID(VLOOKUP($B363,Seqs!$A:$B,2,0),AM363,1),"")</f>
        <v>W</v>
      </c>
      <c r="AM363" s="3">
        <v>243</v>
      </c>
      <c r="AN363" s="3" t="str">
        <f>IFERROR(MID(VLOOKUP($B363,Seqs!$A:$B,2,0),AO363,1),"")</f>
        <v>E</v>
      </c>
      <c r="AO363" s="3">
        <v>286</v>
      </c>
      <c r="AP363" s="3" t="str">
        <f>IFERROR(MID(VLOOKUP($B363,Seqs!$A:$B,2,0),AQ363,1),"")</f>
        <v>G</v>
      </c>
      <c r="AQ363" s="3">
        <v>325</v>
      </c>
      <c r="AR363" s="3" t="str">
        <f>IFERROR(MID(VLOOKUP($B363,Seqs!$A:$B,2,0),AS363,1),"")</f>
        <v>D</v>
      </c>
      <c r="AS363" s="3">
        <v>332</v>
      </c>
      <c r="AT363" s="3" t="str">
        <f>IFERROR(MID(VLOOKUP($B363,Seqs!$A:$B,2,0),AU363,1),"")</f>
        <v>L</v>
      </c>
      <c r="AU363" s="3">
        <v>361</v>
      </c>
      <c r="AV363" s="3" t="str">
        <f>IFERROR(MID(VLOOKUP($B363,Seqs!$A:$B,2,0),AW363,1),"")</f>
        <v>S</v>
      </c>
      <c r="AW363" s="3">
        <v>362</v>
      </c>
      <c r="AX363" s="3" t="str">
        <f>IFERROR(MID(VLOOKUP($B363,Seqs!$A:$B,2,0),AY363,1),"")</f>
        <v>L</v>
      </c>
      <c r="AY363" s="3">
        <v>377</v>
      </c>
      <c r="AZ363" s="77" t="str">
        <f>VLOOKUP(B363,Classification!A:D,2,0)</f>
        <v>A</v>
      </c>
      <c r="BA363" s="94" t="str">
        <f>VLOOKUP(B363,Classification!A:D,4,0)</f>
        <v>Orexin</v>
      </c>
      <c r="BB363" s="27" t="b">
        <f t="shared" ref="BB363" si="3356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23">
        <f t="shared" ref="BC363" si="3357">_xlfn.AGGREGATE(9,6,CH363:CS363)-_xlfn.AGGREGATE(9,6,BV363:CG363)+12</f>
        <v>257</v>
      </c>
      <c r="BD363" s="2" t="s">
        <v>23</v>
      </c>
      <c r="BE363" s="3" t="s">
        <v>1370</v>
      </c>
      <c r="BF363" s="118">
        <v>2.13</v>
      </c>
      <c r="BG363" s="49" t="s">
        <v>1277</v>
      </c>
      <c r="BH363" s="49" t="s">
        <v>1277</v>
      </c>
      <c r="BI363" s="1"/>
      <c r="BJ363" s="70" t="s">
        <v>1283</v>
      </c>
      <c r="BK363" s="57" t="s">
        <v>1283</v>
      </c>
      <c r="BL363" s="57" t="s">
        <v>1283</v>
      </c>
      <c r="BM363" s="57" t="s">
        <v>1283</v>
      </c>
      <c r="BN363" s="57" t="s">
        <v>1283</v>
      </c>
      <c r="BO363" s="57" t="s">
        <v>1283</v>
      </c>
      <c r="BP363" s="57" t="s">
        <v>1283</v>
      </c>
      <c r="BQ363" s="57" t="s">
        <v>1283</v>
      </c>
      <c r="BR363" s="57" t="s">
        <v>1283</v>
      </c>
      <c r="BS363" s="57" t="s">
        <v>1283</v>
      </c>
      <c r="BT363" s="57" t="s">
        <v>1283</v>
      </c>
      <c r="BU363" s="57" t="s">
        <v>1283</v>
      </c>
      <c r="BV363" s="70">
        <f t="shared" ref="BV363" si="3358">E363</f>
        <v>45</v>
      </c>
      <c r="BW363" s="71">
        <f t="shared" ref="BW363" si="3359">I363</f>
        <v>75</v>
      </c>
      <c r="BX363" s="72">
        <f t="shared" ref="BX363" si="3360">M363</f>
        <v>79</v>
      </c>
      <c r="BY363" s="71">
        <f t="shared" ref="BY363" si="3361">Q363</f>
        <v>111</v>
      </c>
      <c r="BZ363" s="72">
        <f t="shared" ref="BZ363" si="3362">U363</f>
        <v>115</v>
      </c>
      <c r="CA363" s="71" t="str">
        <f t="shared" ref="CA363" si="3363">Y363</f>
        <v>-</v>
      </c>
      <c r="CB363" s="72">
        <f t="shared" ref="CB363" si="3364">AC363</f>
        <v>157</v>
      </c>
      <c r="CC363" s="71">
        <f t="shared" ref="CC363" si="3365">AG363</f>
        <v>202</v>
      </c>
      <c r="CD363" s="72">
        <f t="shared" ref="CD363" si="3366">AK363</f>
        <v>210</v>
      </c>
      <c r="CE363" s="71">
        <f t="shared" ref="CE363" si="3367">AO363</f>
        <v>286</v>
      </c>
      <c r="CF363" s="72">
        <f t="shared" ref="CF363" si="3368">AS363</f>
        <v>332</v>
      </c>
      <c r="CG363" s="71">
        <f t="shared" ref="CG363" si="3369">AW363</f>
        <v>362</v>
      </c>
      <c r="CH363" s="70">
        <f t="shared" ref="CH363" si="3370">G363</f>
        <v>74</v>
      </c>
      <c r="CI363" s="71">
        <f t="shared" ref="CI363" si="3371">K363</f>
        <v>78</v>
      </c>
      <c r="CJ363" s="72">
        <f t="shared" ref="CJ363" si="3372">O363</f>
        <v>110</v>
      </c>
      <c r="CK363" s="72">
        <f t="shared" ref="CK363" si="3373">S363</f>
        <v>114</v>
      </c>
      <c r="CL363" s="72">
        <f t="shared" ref="CL363" si="3374">W363</f>
        <v>150</v>
      </c>
      <c r="CM363" s="72" t="str">
        <f t="shared" ref="CM363" si="3375">AA363</f>
        <v>-</v>
      </c>
      <c r="CN363" s="72">
        <f t="shared" ref="CN363" si="3376">AE363</f>
        <v>183</v>
      </c>
      <c r="CO363" s="72">
        <f t="shared" ref="CO363" si="3377">AI363</f>
        <v>204</v>
      </c>
      <c r="CP363" s="72">
        <f t="shared" ref="CP363" si="3378">AM363</f>
        <v>243</v>
      </c>
      <c r="CQ363" s="72">
        <f t="shared" ref="CQ363" si="3379">AQ363</f>
        <v>325</v>
      </c>
      <c r="CR363" s="72">
        <f t="shared" ref="CR363" si="3380">AU363</f>
        <v>361</v>
      </c>
      <c r="CS363" s="72">
        <f t="shared" ref="CS363" si="3381">AY363</f>
        <v>377</v>
      </c>
      <c r="CT363" s="23">
        <f t="shared" ref="CT363" si="3382">M363-K363</f>
        <v>1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2"/>
    </row>
    <row r="364" spans="1:1030" x14ac:dyDescent="0.2">
      <c r="A364" s="3" t="str">
        <f t="shared" ref="A364" si="3383">CONCATENATE(B364,"_",C364)</f>
        <v>ox1r_human_6TOT</v>
      </c>
      <c r="B364" s="3" t="s">
        <v>1170</v>
      </c>
      <c r="C364" s="3" t="s">
        <v>1632</v>
      </c>
      <c r="D364" s="3" t="str">
        <f>IFERROR(MID(VLOOKUP($B364,Seqs!$A:$B,2,0),E364,1),"")</f>
        <v>Y</v>
      </c>
      <c r="E364" s="3">
        <v>45</v>
      </c>
      <c r="F364" s="3" t="str">
        <f>IFERROR(MID(VLOOKUP($B364,Seqs!$A:$B,2,0),G364,1),"")</f>
        <v>N</v>
      </c>
      <c r="G364" s="3">
        <v>74</v>
      </c>
      <c r="H364" s="3" t="str">
        <f>IFERROR(MID(VLOOKUP($B364,Seqs!$A:$B,2,0),I364,1),"")</f>
        <v>H</v>
      </c>
      <c r="I364" s="23">
        <v>75</v>
      </c>
      <c r="J364" s="3" t="str">
        <f>IFERROR(MID(VLOOKUP($B364,Seqs!$A:$B,2,0),K364,1),"")</f>
        <v>R</v>
      </c>
      <c r="K364" s="23">
        <v>78</v>
      </c>
      <c r="L364" s="3" t="str">
        <f>IFERROR(MID(VLOOKUP($B364,Seqs!$A:$B,2,0),M364,1),"")</f>
        <v>T</v>
      </c>
      <c r="M364" s="3">
        <v>79</v>
      </c>
      <c r="N364" s="3" t="str">
        <f>IFERROR(MID(VLOOKUP($B364,Seqs!$A:$B,2,0),O364,1),"")</f>
        <v>E</v>
      </c>
      <c r="O364" s="3">
        <v>110</v>
      </c>
      <c r="P364" s="3" t="str">
        <f>IFERROR(MID(VLOOKUP($B364,Seqs!$A:$B,2,0),Q364,1),"")</f>
        <v>S</v>
      </c>
      <c r="Q364" s="3">
        <v>111</v>
      </c>
      <c r="R364" s="3" t="str">
        <f>IFERROR(MID(VLOOKUP($B364,Seqs!$A:$B,2,0),S364,1),"")</f>
        <v>F</v>
      </c>
      <c r="S364" s="3">
        <v>114</v>
      </c>
      <c r="T364" s="3" t="str">
        <f>IFERROR(MID(VLOOKUP($B364,Seqs!$A:$B,2,0),U364,1),"")</f>
        <v>G</v>
      </c>
      <c r="U364" s="3">
        <v>115</v>
      </c>
      <c r="V364" s="3" t="str">
        <f>IFERROR(MID(VLOOKUP($B364,Seqs!$A:$B,2,0),W364,1),"")</f>
        <v>C</v>
      </c>
      <c r="W364" s="3">
        <v>149</v>
      </c>
      <c r="X364" s="3" t="str">
        <f>IFERROR(MID(VLOOKUP($B364,Seqs!$A:$B,2,0),Y364,1),"")</f>
        <v/>
      </c>
      <c r="Y364" s="3" t="s">
        <v>23</v>
      </c>
      <c r="Z364" s="3" t="str">
        <f>IFERROR(MID(VLOOKUP($B364,Seqs!$A:$B,2,0),AA364,1),"")</f>
        <v/>
      </c>
      <c r="AA364" s="3" t="s">
        <v>23</v>
      </c>
      <c r="AB364" s="3" t="str">
        <f>IFERROR(MID(VLOOKUP($B364,Seqs!$A:$B,2,0),AC364,1),"")</f>
        <v>T</v>
      </c>
      <c r="AC364" s="3">
        <v>157</v>
      </c>
      <c r="AD364" s="3" t="str">
        <f>IFERROR(MID(VLOOKUP($B364,Seqs!$A:$B,2,0),AE364,1),"")</f>
        <v>M</v>
      </c>
      <c r="AE364" s="3">
        <v>183</v>
      </c>
      <c r="AF364" s="3" t="str">
        <f>IFERROR(MID(VLOOKUP($B364,Seqs!$A:$B,2,0),AG364,1),"")</f>
        <v>C</v>
      </c>
      <c r="AG364" s="3">
        <v>202</v>
      </c>
      <c r="AH364" s="3" t="str">
        <f>IFERROR(MID(VLOOKUP($B364,Seqs!$A:$B,2,0),AI364,1),"")</f>
        <v>E</v>
      </c>
      <c r="AI364" s="3">
        <v>204</v>
      </c>
      <c r="AJ364" s="3" t="str">
        <f>IFERROR(MID(VLOOKUP($B364,Seqs!$A:$B,2,0),AK364,1),"")</f>
        <v>L</v>
      </c>
      <c r="AK364" s="3">
        <v>210</v>
      </c>
      <c r="AL364" s="3" t="str">
        <f>IFERROR(MID(VLOOKUP($B364,Seqs!$A:$B,2,0),AM364,1),"")</f>
        <v>W</v>
      </c>
      <c r="AM364" s="3">
        <v>243</v>
      </c>
      <c r="AN364" s="3" t="str">
        <f>IFERROR(MID(VLOOKUP($B364,Seqs!$A:$B,2,0),AO364,1),"")</f>
        <v>E</v>
      </c>
      <c r="AO364" s="3">
        <v>286</v>
      </c>
      <c r="AP364" s="3" t="str">
        <f>IFERROR(MID(VLOOKUP($B364,Seqs!$A:$B,2,0),AQ364,1),"")</f>
        <v>V</v>
      </c>
      <c r="AQ364" s="3">
        <v>323</v>
      </c>
      <c r="AR364" s="3" t="str">
        <f>IFERROR(MID(VLOOKUP($B364,Seqs!$A:$B,2,0),AS364,1),"")</f>
        <v>D</v>
      </c>
      <c r="AS364" s="3">
        <v>332</v>
      </c>
      <c r="AT364" s="3" t="str">
        <f>IFERROR(MID(VLOOKUP($B364,Seqs!$A:$B,2,0),AU364,1),"")</f>
        <v>L</v>
      </c>
      <c r="AU364" s="3">
        <v>361</v>
      </c>
      <c r="AV364" s="3" t="str">
        <f>IFERROR(MID(VLOOKUP($B364,Seqs!$A:$B,2,0),AW364,1),"")</f>
        <v>S</v>
      </c>
      <c r="AW364" s="3">
        <v>362</v>
      </c>
      <c r="AX364" s="3" t="str">
        <f>IFERROR(MID(VLOOKUP($B364,Seqs!$A:$B,2,0),AY364,1),"")</f>
        <v>L</v>
      </c>
      <c r="AY364" s="3">
        <v>377</v>
      </c>
      <c r="AZ364" s="77" t="str">
        <f>VLOOKUP(B364,Classification!A:D,2,0)</f>
        <v>A</v>
      </c>
      <c r="BA364" s="94" t="str">
        <f>VLOOKUP(B364,Classification!A:D,4,0)</f>
        <v>Orexin</v>
      </c>
      <c r="BB364" s="27" t="b">
        <f t="shared" ref="BB364" si="3384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3385">_xlfn.AGGREGATE(9,6,CH364:CS364)-_xlfn.AGGREGATE(9,6,BV364:CG364)+12</f>
        <v>254</v>
      </c>
      <c r="BD364" s="2" t="s">
        <v>23</v>
      </c>
      <c r="BE364" s="3" t="s">
        <v>1370</v>
      </c>
      <c r="BF364" s="118">
        <v>2.2200000000000002</v>
      </c>
      <c r="BG364" s="49" t="s">
        <v>1277</v>
      </c>
      <c r="BH364" s="49" t="s">
        <v>1277</v>
      </c>
      <c r="BI364" s="1"/>
      <c r="BJ364" s="70" t="s">
        <v>1283</v>
      </c>
      <c r="BK364" s="57" t="s">
        <v>1283</v>
      </c>
      <c r="BL364" s="57" t="s">
        <v>1283</v>
      </c>
      <c r="BM364" s="57" t="s">
        <v>1283</v>
      </c>
      <c r="BN364" s="57" t="s">
        <v>1283</v>
      </c>
      <c r="BO364" s="57" t="s">
        <v>1283</v>
      </c>
      <c r="BP364" s="57" t="s">
        <v>1283</v>
      </c>
      <c r="BQ364" s="57" t="s">
        <v>1283</v>
      </c>
      <c r="BR364" s="57" t="s">
        <v>1283</v>
      </c>
      <c r="BS364" s="57" t="s">
        <v>1283</v>
      </c>
      <c r="BT364" s="57" t="s">
        <v>1283</v>
      </c>
      <c r="BU364" s="57" t="s">
        <v>1283</v>
      </c>
      <c r="BV364" s="70">
        <f t="shared" ref="BV364" si="3386">E364</f>
        <v>45</v>
      </c>
      <c r="BW364" s="71">
        <f t="shared" ref="BW364" si="3387">I364</f>
        <v>75</v>
      </c>
      <c r="BX364" s="72">
        <f t="shared" ref="BX364" si="3388">M364</f>
        <v>79</v>
      </c>
      <c r="BY364" s="71">
        <f t="shared" ref="BY364" si="3389">Q364</f>
        <v>111</v>
      </c>
      <c r="BZ364" s="72">
        <f t="shared" ref="BZ364" si="3390">U364</f>
        <v>115</v>
      </c>
      <c r="CA364" s="71" t="str">
        <f t="shared" ref="CA364" si="3391">Y364</f>
        <v>-</v>
      </c>
      <c r="CB364" s="72">
        <f t="shared" ref="CB364" si="3392">AC364</f>
        <v>157</v>
      </c>
      <c r="CC364" s="71">
        <f t="shared" ref="CC364" si="3393">AG364</f>
        <v>202</v>
      </c>
      <c r="CD364" s="72">
        <f t="shared" ref="CD364" si="3394">AK364</f>
        <v>210</v>
      </c>
      <c r="CE364" s="71">
        <f t="shared" ref="CE364" si="3395">AO364</f>
        <v>286</v>
      </c>
      <c r="CF364" s="72">
        <f t="shared" ref="CF364" si="3396">AS364</f>
        <v>332</v>
      </c>
      <c r="CG364" s="71">
        <f t="shared" ref="CG364" si="3397">AW364</f>
        <v>362</v>
      </c>
      <c r="CH364" s="70">
        <f t="shared" ref="CH364" si="3398">G364</f>
        <v>74</v>
      </c>
      <c r="CI364" s="71">
        <f t="shared" ref="CI364" si="3399">K364</f>
        <v>78</v>
      </c>
      <c r="CJ364" s="72">
        <f t="shared" ref="CJ364" si="3400">O364</f>
        <v>110</v>
      </c>
      <c r="CK364" s="72">
        <f t="shared" ref="CK364" si="3401">S364</f>
        <v>114</v>
      </c>
      <c r="CL364" s="72">
        <f t="shared" ref="CL364" si="3402">W364</f>
        <v>149</v>
      </c>
      <c r="CM364" s="72" t="str">
        <f t="shared" ref="CM364" si="3403">AA364</f>
        <v>-</v>
      </c>
      <c r="CN364" s="72">
        <f t="shared" ref="CN364" si="3404">AE364</f>
        <v>183</v>
      </c>
      <c r="CO364" s="72">
        <f t="shared" ref="CO364" si="3405">AI364</f>
        <v>204</v>
      </c>
      <c r="CP364" s="72">
        <f t="shared" ref="CP364" si="3406">AM364</f>
        <v>243</v>
      </c>
      <c r="CQ364" s="72">
        <f t="shared" ref="CQ364" si="3407">AQ364</f>
        <v>323</v>
      </c>
      <c r="CR364" s="72">
        <f t="shared" ref="CR364" si="3408">AU364</f>
        <v>361</v>
      </c>
      <c r="CS364" s="72">
        <f t="shared" ref="CS364" si="3409">AY364</f>
        <v>377</v>
      </c>
      <c r="CT364" s="23">
        <f t="shared" ref="CT364" si="3410">M364-K364</f>
        <v>1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2"/>
    </row>
    <row r="365" spans="1:1030" s="12" customFormat="1" x14ac:dyDescent="0.2">
      <c r="A365" s="9" t="str">
        <f t="shared" ref="A365" si="3411">CONCATENATE(B365,"_",C365)</f>
        <v>ox1r_human_6V9S</v>
      </c>
      <c r="B365" s="9" t="s">
        <v>1170</v>
      </c>
      <c r="C365" s="9" t="s">
        <v>1684</v>
      </c>
      <c r="D365" s="9" t="str">
        <f>IFERROR(MID(VLOOKUP($B365,Seqs!$A:$B,2,0),E365,1),"")</f>
        <v>Y</v>
      </c>
      <c r="E365" s="9">
        <v>45</v>
      </c>
      <c r="F365" s="9" t="str">
        <f>IFERROR(MID(VLOOKUP($B365,Seqs!$A:$B,2,0),G365,1),"")</f>
        <v>N</v>
      </c>
      <c r="G365" s="9">
        <v>74</v>
      </c>
      <c r="H365" s="9" t="str">
        <f>IFERROR(MID(VLOOKUP($B365,Seqs!$A:$B,2,0),I365,1),"")</f>
        <v>H</v>
      </c>
      <c r="I365" s="109">
        <v>75</v>
      </c>
      <c r="J365" s="9" t="str">
        <f>IFERROR(MID(VLOOKUP($B365,Seqs!$A:$B,2,0),K365,1),"")</f>
        <v>R</v>
      </c>
      <c r="K365" s="109">
        <v>78</v>
      </c>
      <c r="L365" s="9" t="str">
        <f>IFERROR(MID(VLOOKUP($B365,Seqs!$A:$B,2,0),M365,1),"")</f>
        <v>T</v>
      </c>
      <c r="M365" s="9">
        <v>79</v>
      </c>
      <c r="N365" s="9" t="str">
        <f>IFERROR(MID(VLOOKUP($B365,Seqs!$A:$B,2,0),O365,1),"")</f>
        <v>E</v>
      </c>
      <c r="O365" s="9">
        <v>110</v>
      </c>
      <c r="P365" s="9" t="str">
        <f>IFERROR(MID(VLOOKUP($B365,Seqs!$A:$B,2,0),Q365,1),"")</f>
        <v>S</v>
      </c>
      <c r="Q365" s="9">
        <v>111</v>
      </c>
      <c r="R365" s="9" t="str">
        <f>IFERROR(MID(VLOOKUP($B365,Seqs!$A:$B,2,0),S365,1),"")</f>
        <v>F</v>
      </c>
      <c r="S365" s="9">
        <v>114</v>
      </c>
      <c r="T365" s="9" t="str">
        <f>IFERROR(MID(VLOOKUP($B365,Seqs!$A:$B,2,0),U365,1),"")</f>
        <v>G</v>
      </c>
      <c r="U365" s="9">
        <v>115</v>
      </c>
      <c r="V365" s="9" t="str">
        <f>IFERROR(MID(VLOOKUP($B365,Seqs!$A:$B,2,0),W365,1),"")</f>
        <v>H</v>
      </c>
      <c r="W365" s="9">
        <v>150</v>
      </c>
      <c r="X365" s="9" t="str">
        <f>IFERROR(MID(VLOOKUP($B365,Seqs!$A:$B,2,0),Y365,1),"")</f>
        <v/>
      </c>
      <c r="Y365" s="9" t="s">
        <v>23</v>
      </c>
      <c r="Z365" s="9" t="str">
        <f>IFERROR(MID(VLOOKUP($B365,Seqs!$A:$B,2,0),AA365,1),"")</f>
        <v/>
      </c>
      <c r="AA365" s="9" t="s">
        <v>23</v>
      </c>
      <c r="AB365" s="9" t="str">
        <f>IFERROR(MID(VLOOKUP($B365,Seqs!$A:$B,2,0),AC365,1),"")</f>
        <v>T</v>
      </c>
      <c r="AC365" s="9">
        <v>157</v>
      </c>
      <c r="AD365" s="9" t="str">
        <f>IFERROR(MID(VLOOKUP($B365,Seqs!$A:$B,2,0),AE365,1),"")</f>
        <v>M</v>
      </c>
      <c r="AE365" s="9">
        <v>183</v>
      </c>
      <c r="AF365" s="9" t="str">
        <f>IFERROR(MID(VLOOKUP($B365,Seqs!$A:$B,2,0),AG365,1),"")</f>
        <v>C</v>
      </c>
      <c r="AG365" s="9">
        <v>202</v>
      </c>
      <c r="AH365" s="9" t="str">
        <f>IFERROR(MID(VLOOKUP($B365,Seqs!$A:$B,2,0),AI365,1),"")</f>
        <v>E</v>
      </c>
      <c r="AI365" s="9">
        <v>204</v>
      </c>
      <c r="AJ365" s="9" t="str">
        <f>IFERROR(MID(VLOOKUP($B365,Seqs!$A:$B,2,0),AK365,1),"")</f>
        <v>L</v>
      </c>
      <c r="AK365" s="9">
        <v>210</v>
      </c>
      <c r="AL365" s="9" t="str">
        <f>IFERROR(MID(VLOOKUP($B365,Seqs!$A:$B,2,0),AM365,1),"")</f>
        <v>L</v>
      </c>
      <c r="AM365" s="9">
        <v>242</v>
      </c>
      <c r="AN365" s="9" t="str">
        <f>IFERROR(MID(VLOOKUP($B365,Seqs!$A:$B,2,0),AO365,1),"")</f>
        <v>K</v>
      </c>
      <c r="AO365" s="9">
        <v>288</v>
      </c>
      <c r="AP365" s="9" t="str">
        <f>IFERROR(MID(VLOOKUP($B365,Seqs!$A:$B,2,0),AQ365,1),"")</f>
        <v>V</v>
      </c>
      <c r="AQ365" s="9">
        <v>323</v>
      </c>
      <c r="AR365" s="9" t="str">
        <f>IFERROR(MID(VLOOKUP($B365,Seqs!$A:$B,2,0),AS365,1),"")</f>
        <v>R</v>
      </c>
      <c r="AS365" s="9">
        <v>333</v>
      </c>
      <c r="AT365" s="9" t="str">
        <f>IFERROR(MID(VLOOKUP($B365,Seqs!$A:$B,2,0),AU365,1),"")</f>
        <v>L</v>
      </c>
      <c r="AU365" s="9">
        <v>361</v>
      </c>
      <c r="AV365" s="9" t="str">
        <f>IFERROR(MID(VLOOKUP($B365,Seqs!$A:$B,2,0),AW365,1),"")</f>
        <v>S</v>
      </c>
      <c r="AW365" s="9">
        <v>362</v>
      </c>
      <c r="AX365" s="9" t="str">
        <f>IFERROR(MID(VLOOKUP($B365,Seqs!$A:$B,2,0),AY365,1),"")</f>
        <v>F</v>
      </c>
      <c r="AY365" s="9">
        <v>373</v>
      </c>
      <c r="AZ365" s="110" t="str">
        <f>VLOOKUP(B365,Classification!A:D,2,0)</f>
        <v>A</v>
      </c>
      <c r="BA365" s="98" t="str">
        <f>VLOOKUP(B365,Classification!A:D,4,0)</f>
        <v>Orexin</v>
      </c>
      <c r="BB365" s="36" t="b">
        <f t="shared" ref="BB365" si="3412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109">
        <f t="shared" ref="BC365" si="3413">_xlfn.AGGREGATE(9,6,CH365:CS365)-_xlfn.AGGREGATE(9,6,BV365:CG365)+12</f>
        <v>247</v>
      </c>
      <c r="BD365" s="40" t="s">
        <v>23</v>
      </c>
      <c r="BE365" s="9" t="s">
        <v>1370</v>
      </c>
      <c r="BF365" s="119">
        <v>3.5</v>
      </c>
      <c r="BG365" s="51" t="s">
        <v>1</v>
      </c>
      <c r="BH365" s="51" t="s">
        <v>1</v>
      </c>
      <c r="BJ365" s="111" t="s">
        <v>1283</v>
      </c>
      <c r="BK365" s="112" t="s">
        <v>1283</v>
      </c>
      <c r="BL365" s="112" t="s">
        <v>1283</v>
      </c>
      <c r="BM365" s="112" t="s">
        <v>1283</v>
      </c>
      <c r="BN365" s="112" t="s">
        <v>1283</v>
      </c>
      <c r="BO365" s="112" t="s">
        <v>1283</v>
      </c>
      <c r="BP365" s="112" t="s">
        <v>1283</v>
      </c>
      <c r="BQ365" s="112" t="s">
        <v>1283</v>
      </c>
      <c r="BR365" s="112" t="s">
        <v>1283</v>
      </c>
      <c r="BS365" s="112" t="s">
        <v>1283</v>
      </c>
      <c r="BT365" s="112" t="s">
        <v>1283</v>
      </c>
      <c r="BU365" s="112" t="s">
        <v>1283</v>
      </c>
      <c r="BV365" s="111">
        <f t="shared" ref="BV365" si="3414">E365</f>
        <v>45</v>
      </c>
      <c r="BW365" s="113">
        <f t="shared" ref="BW365" si="3415">I365</f>
        <v>75</v>
      </c>
      <c r="BX365" s="114">
        <f t="shared" ref="BX365" si="3416">M365</f>
        <v>79</v>
      </c>
      <c r="BY365" s="113">
        <f t="shared" ref="BY365" si="3417">Q365</f>
        <v>111</v>
      </c>
      <c r="BZ365" s="114">
        <f t="shared" ref="BZ365" si="3418">U365</f>
        <v>115</v>
      </c>
      <c r="CA365" s="113" t="str">
        <f t="shared" ref="CA365" si="3419">Y365</f>
        <v>-</v>
      </c>
      <c r="CB365" s="114">
        <f t="shared" ref="CB365" si="3420">AC365</f>
        <v>157</v>
      </c>
      <c r="CC365" s="113">
        <f t="shared" ref="CC365" si="3421">AG365</f>
        <v>202</v>
      </c>
      <c r="CD365" s="114">
        <f t="shared" ref="CD365" si="3422">AK365</f>
        <v>210</v>
      </c>
      <c r="CE365" s="113">
        <f t="shared" ref="CE365" si="3423">AO365</f>
        <v>288</v>
      </c>
      <c r="CF365" s="114">
        <f t="shared" ref="CF365" si="3424">AS365</f>
        <v>333</v>
      </c>
      <c r="CG365" s="113">
        <f t="shared" ref="CG365" si="3425">AW365</f>
        <v>362</v>
      </c>
      <c r="CH365" s="111">
        <f t="shared" ref="CH365" si="3426">G365</f>
        <v>74</v>
      </c>
      <c r="CI365" s="113">
        <f t="shared" ref="CI365" si="3427">K365</f>
        <v>78</v>
      </c>
      <c r="CJ365" s="114">
        <f t="shared" ref="CJ365" si="3428">O365</f>
        <v>110</v>
      </c>
      <c r="CK365" s="114">
        <f t="shared" ref="CK365" si="3429">S365</f>
        <v>114</v>
      </c>
      <c r="CL365" s="114">
        <f t="shared" ref="CL365" si="3430">W365</f>
        <v>150</v>
      </c>
      <c r="CM365" s="114" t="str">
        <f t="shared" ref="CM365" si="3431">AA365</f>
        <v>-</v>
      </c>
      <c r="CN365" s="114">
        <f t="shared" ref="CN365" si="3432">AE365</f>
        <v>183</v>
      </c>
      <c r="CO365" s="114">
        <f t="shared" ref="CO365" si="3433">AI365</f>
        <v>204</v>
      </c>
      <c r="CP365" s="114">
        <f t="shared" ref="CP365" si="3434">AM365</f>
        <v>242</v>
      </c>
      <c r="CQ365" s="114">
        <f t="shared" ref="CQ365" si="3435">AQ365</f>
        <v>323</v>
      </c>
      <c r="CR365" s="114">
        <f t="shared" ref="CR365" si="3436">AU365</f>
        <v>361</v>
      </c>
      <c r="CS365" s="114">
        <f t="shared" ref="CS365" si="3437">AY365</f>
        <v>373</v>
      </c>
      <c r="CT365" s="109">
        <f t="shared" ref="CT365" si="3438">M365-K365</f>
        <v>1</v>
      </c>
      <c r="AMP365" s="40"/>
    </row>
    <row r="366" spans="1:1030" x14ac:dyDescent="0.2">
      <c r="A366" s="3" t="str">
        <f t="shared" si="2821"/>
        <v>ox2r_human__wt</v>
      </c>
      <c r="B366" s="3" t="s">
        <v>1171</v>
      </c>
      <c r="C366" s="3" t="s">
        <v>100</v>
      </c>
      <c r="D366" s="3" t="str">
        <f>IFERROR(MID(VLOOKUP($B366,Seqs!$A:$B,2,0),E366,1),"")</f>
        <v>Y</v>
      </c>
      <c r="E366" s="3">
        <v>53</v>
      </c>
      <c r="F366" s="3" t="str">
        <f>IFERROR(MID(VLOOKUP($B366,Seqs!$A:$B,2,0),G366,1),"")</f>
        <v>N</v>
      </c>
      <c r="G366" s="3">
        <v>82</v>
      </c>
      <c r="H366" s="3" t="str">
        <f>IFERROR(MID(VLOOKUP($B366,Seqs!$A:$B,2,0),I366,1),"")</f>
        <v>H</v>
      </c>
      <c r="I366" s="23">
        <v>83</v>
      </c>
      <c r="J366" s="3" t="str">
        <f>IFERROR(MID(VLOOKUP($B366,Seqs!$A:$B,2,0),K366,1),"")</f>
        <v>R</v>
      </c>
      <c r="K366" s="23">
        <v>86</v>
      </c>
      <c r="L366" s="3" t="str">
        <f>IFERROR(MID(VLOOKUP($B366,Seqs!$A:$B,2,0),M366,1),"")</f>
        <v>T</v>
      </c>
      <c r="M366" s="3">
        <v>87</v>
      </c>
      <c r="N366" s="3" t="str">
        <f>IFERROR(MID(VLOOKUP($B366,Seqs!$A:$B,2,0),O366,1),"")</f>
        <v>E</v>
      </c>
      <c r="O366" s="105">
        <v>118</v>
      </c>
      <c r="P366" s="3" t="str">
        <f>IFERROR(MID(VLOOKUP($B366,Seqs!$A:$B,2,0),Q366,1),"")</f>
        <v>T</v>
      </c>
      <c r="Q366" s="3">
        <v>119</v>
      </c>
      <c r="R366" s="3" t="str">
        <f>IFERROR(MID(VLOOKUP($B366,Seqs!$A:$B,2,0),S366,1),"")</f>
        <v>F</v>
      </c>
      <c r="S366" s="3">
        <v>122</v>
      </c>
      <c r="T366" s="3" t="str">
        <f>IFERROR(MID(VLOOKUP($B366,Seqs!$A:$B,2,0),U366,1),"")</f>
        <v>G</v>
      </c>
      <c r="U366" s="3">
        <v>123</v>
      </c>
      <c r="V366" s="3" t="str">
        <f>IFERROR(MID(VLOOKUP($B366,Seqs!$A:$B,2,0),W366,1),"")</f>
        <v>H</v>
      </c>
      <c r="W366" s="3">
        <v>158</v>
      </c>
      <c r="X366" s="3" t="str">
        <f>IFERROR(MID(VLOOKUP($B366,Seqs!$A:$B,2,0),Y366,1),"")</f>
        <v>P</v>
      </c>
      <c r="Y366" s="3">
        <v>159</v>
      </c>
      <c r="Z366" s="3" t="str">
        <f>IFERROR(MID(VLOOKUP($B366,Seqs!$A:$B,2,0),AA366,1),"")</f>
        <v>F</v>
      </c>
      <c r="AA366" s="73">
        <v>162</v>
      </c>
      <c r="AB366" s="3" t="str">
        <f>IFERROR(MID(VLOOKUP($B366,Seqs!$A:$B,2,0),AC366,1),"")</f>
        <v>T</v>
      </c>
      <c r="AC366" s="9">
        <v>165</v>
      </c>
      <c r="AD366" s="3" t="str">
        <f>IFERROR(MID(VLOOKUP($B366,Seqs!$A:$B,2,0),AE366,1),"")</f>
        <v>M</v>
      </c>
      <c r="AE366" s="3">
        <v>191</v>
      </c>
      <c r="AF366" s="3" t="str">
        <f>IFERROR(MID(VLOOKUP($B366,Seqs!$A:$B,2,0),AG366,1),"")</f>
        <v>C</v>
      </c>
      <c r="AG366" s="3">
        <v>210</v>
      </c>
      <c r="AH366" s="3" t="str">
        <f>IFERROR(MID(VLOOKUP($B366,Seqs!$A:$B,2,0),AI366,1),"")</f>
        <v>E</v>
      </c>
      <c r="AI366" s="3">
        <v>212</v>
      </c>
      <c r="AJ366" s="3" t="str">
        <f>IFERROR(MID(VLOOKUP($B366,Seqs!$A:$B,2,0),AK366,1),"")</f>
        <v>I</v>
      </c>
      <c r="AK366" s="105">
        <v>218</v>
      </c>
      <c r="AL366" s="3" t="str">
        <f>IFERROR(MID(VLOOKUP($B366,Seqs!$A:$B,2,0),AM366,1),"")</f>
        <v>P</v>
      </c>
      <c r="AM366" s="3">
        <v>256</v>
      </c>
      <c r="AN366" s="3" t="str">
        <f>IFERROR(MID(VLOOKUP($B366,Seqs!$A:$B,2,0),AO366,1),"")</f>
        <v>V</v>
      </c>
      <c r="AO366" s="3">
        <v>289</v>
      </c>
      <c r="AP366" s="3" t="str">
        <f>IFERROR(MID(VLOOKUP($B366,Seqs!$A:$B,2,0),AQ366,1),"")</f>
        <v>F</v>
      </c>
      <c r="AQ366" s="3">
        <v>330</v>
      </c>
      <c r="AR366" s="3" t="str">
        <f>IFERROR(MID(VLOOKUP($B366,Seqs!$A:$B,2,0),AS366,1),"")</f>
        <v>D</v>
      </c>
      <c r="AS366" s="105">
        <v>338</v>
      </c>
      <c r="AT366" s="3" t="str">
        <f>IFERROR(MID(VLOOKUP($B366,Seqs!$A:$B,2,0),AU366,1),"")</f>
        <v>L</v>
      </c>
      <c r="AU366" s="3">
        <v>367</v>
      </c>
      <c r="AV366" s="3" t="str">
        <f>IFERROR(MID(VLOOKUP($B366,Seqs!$A:$B,2,0),AW366,1),"")</f>
        <v>S</v>
      </c>
      <c r="AW366" s="3">
        <v>368</v>
      </c>
      <c r="AX366" s="3" t="str">
        <f>IFERROR(MID(VLOOKUP($B366,Seqs!$A:$B,2,0),AY366,1),"")</f>
        <v>L</v>
      </c>
      <c r="AY366" s="105">
        <v>384</v>
      </c>
      <c r="AZ366" s="77" t="str">
        <f>VLOOKUP(B366,Classification!A:D,2,0)</f>
        <v>A</v>
      </c>
      <c r="BA366" s="94" t="str">
        <f>VLOOKUP(B366,Classification!A:D,4,0)</f>
        <v>Orexin</v>
      </c>
      <c r="BB366" s="27" t="b">
        <f t="shared" si="2822"/>
        <v>1</v>
      </c>
      <c r="BC366" s="23">
        <f t="shared" si="2795"/>
        <v>268</v>
      </c>
      <c r="BD366" s="56" t="s">
        <v>23</v>
      </c>
      <c r="BE366" s="3" t="s">
        <v>23</v>
      </c>
      <c r="BF366" s="118" t="s">
        <v>23</v>
      </c>
      <c r="BG366" s="49" t="s">
        <v>1368</v>
      </c>
      <c r="BH366" s="49" t="s">
        <v>1373</v>
      </c>
      <c r="BI366" s="1"/>
      <c r="BJ366" s="70" t="s">
        <v>1283</v>
      </c>
      <c r="BK366" s="57" t="s">
        <v>1283</v>
      </c>
      <c r="BL366" s="57" t="s">
        <v>1283</v>
      </c>
      <c r="BM366" s="57" t="s">
        <v>1283</v>
      </c>
      <c r="BN366" s="57" t="s">
        <v>1283</v>
      </c>
      <c r="BO366" s="57" t="s">
        <v>1283</v>
      </c>
      <c r="BP366" s="57" t="s">
        <v>1283</v>
      </c>
      <c r="BQ366" s="57" t="s">
        <v>1283</v>
      </c>
      <c r="BR366" s="57" t="s">
        <v>1283</v>
      </c>
      <c r="BS366" s="57" t="s">
        <v>1283</v>
      </c>
      <c r="BT366" s="57" t="s">
        <v>1283</v>
      </c>
      <c r="BU366" s="57" t="s">
        <v>1283</v>
      </c>
      <c r="BV366" s="70">
        <f t="shared" si="2796"/>
        <v>53</v>
      </c>
      <c r="BW366" s="71">
        <f t="shared" si="2797"/>
        <v>83</v>
      </c>
      <c r="BX366" s="72">
        <f t="shared" si="2798"/>
        <v>87</v>
      </c>
      <c r="BY366" s="71">
        <f t="shared" si="2799"/>
        <v>119</v>
      </c>
      <c r="BZ366" s="72">
        <f t="shared" si="2800"/>
        <v>123</v>
      </c>
      <c r="CA366" s="71">
        <f t="shared" si="2801"/>
        <v>159</v>
      </c>
      <c r="CB366" s="72">
        <f t="shared" si="2802"/>
        <v>165</v>
      </c>
      <c r="CC366" s="71">
        <f t="shared" si="2803"/>
        <v>210</v>
      </c>
      <c r="CD366" s="72">
        <f t="shared" si="2804"/>
        <v>218</v>
      </c>
      <c r="CE366" s="71">
        <f t="shared" si="2805"/>
        <v>289</v>
      </c>
      <c r="CF366" s="72">
        <f t="shared" si="2806"/>
        <v>338</v>
      </c>
      <c r="CG366" s="71">
        <f t="shared" si="2807"/>
        <v>368</v>
      </c>
      <c r="CH366" s="70">
        <f t="shared" si="2808"/>
        <v>82</v>
      </c>
      <c r="CI366" s="71">
        <f t="shared" si="2809"/>
        <v>86</v>
      </c>
      <c r="CJ366" s="72">
        <f t="shared" si="2810"/>
        <v>118</v>
      </c>
      <c r="CK366" s="72">
        <f t="shared" si="2811"/>
        <v>122</v>
      </c>
      <c r="CL366" s="72">
        <f t="shared" si="2812"/>
        <v>158</v>
      </c>
      <c r="CM366" s="72">
        <f t="shared" si="2813"/>
        <v>162</v>
      </c>
      <c r="CN366" s="72">
        <f t="shared" si="2814"/>
        <v>191</v>
      </c>
      <c r="CO366" s="72">
        <f t="shared" si="2815"/>
        <v>212</v>
      </c>
      <c r="CP366" s="72">
        <f t="shared" si="2816"/>
        <v>256</v>
      </c>
      <c r="CQ366" s="72">
        <f t="shared" si="2817"/>
        <v>330</v>
      </c>
      <c r="CR366" s="72">
        <f t="shared" si="2818"/>
        <v>367</v>
      </c>
      <c r="CS366" s="72">
        <f t="shared" si="2819"/>
        <v>384</v>
      </c>
      <c r="CT366" s="23">
        <f t="shared" si="2820"/>
        <v>1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</row>
    <row r="367" spans="1:1030" x14ac:dyDescent="0.2">
      <c r="A367" s="3" t="str">
        <f t="shared" si="2821"/>
        <v>ox2r_human_4S0V</v>
      </c>
      <c r="B367" s="3" t="s">
        <v>1171</v>
      </c>
      <c r="C367" s="3" t="s">
        <v>92</v>
      </c>
      <c r="D367" s="3" t="str">
        <f>IFERROR(MID(VLOOKUP($B367,Seqs!$A:$B,2,0),E367,1),"")</f>
        <v>Y</v>
      </c>
      <c r="E367" s="3">
        <v>53</v>
      </c>
      <c r="F367" s="3" t="str">
        <f>IFERROR(MID(VLOOKUP($B367,Seqs!$A:$B,2,0),G367,1),"")</f>
        <v>N</v>
      </c>
      <c r="G367" s="3">
        <v>82</v>
      </c>
      <c r="H367" s="3" t="str">
        <f>IFERROR(MID(VLOOKUP($B367,Seqs!$A:$B,2,0),I367,1),"")</f>
        <v>H</v>
      </c>
      <c r="I367" s="23">
        <v>83</v>
      </c>
      <c r="J367" s="3" t="str">
        <f>IFERROR(MID(VLOOKUP($B367,Seqs!$A:$B,2,0),K367,1),"")</f>
        <v>R</v>
      </c>
      <c r="K367" s="23">
        <v>86</v>
      </c>
      <c r="L367" s="3" t="str">
        <f>IFERROR(MID(VLOOKUP($B367,Seqs!$A:$B,2,0),M367,1),"")</f>
        <v>T</v>
      </c>
      <c r="M367" s="3">
        <v>87</v>
      </c>
      <c r="N367" s="3" t="str">
        <f>IFERROR(MID(VLOOKUP($B367,Seqs!$A:$B,2,0),O367,1),"")</f>
        <v>E</v>
      </c>
      <c r="O367" s="105">
        <v>118</v>
      </c>
      <c r="P367" s="3" t="str">
        <f>IFERROR(MID(VLOOKUP($B367,Seqs!$A:$B,2,0),Q367,1),"")</f>
        <v>T</v>
      </c>
      <c r="Q367" s="3">
        <v>119</v>
      </c>
      <c r="R367" s="3" t="str">
        <f>IFERROR(MID(VLOOKUP($B367,Seqs!$A:$B,2,0),S367,1),"")</f>
        <v>F</v>
      </c>
      <c r="S367" s="3">
        <v>122</v>
      </c>
      <c r="T367" s="3" t="str">
        <f>IFERROR(MID(VLOOKUP($B367,Seqs!$A:$B,2,0),U367,1),"")</f>
        <v>G</v>
      </c>
      <c r="U367" s="3">
        <v>123</v>
      </c>
      <c r="V367" s="3" t="str">
        <f>IFERROR(MID(VLOOKUP($B367,Seqs!$A:$B,2,0),W367,1),"")</f>
        <v>H</v>
      </c>
      <c r="W367" s="3">
        <v>158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T</v>
      </c>
      <c r="AC367" s="9">
        <v>165</v>
      </c>
      <c r="AD367" s="3" t="str">
        <f>IFERROR(MID(VLOOKUP($B367,Seqs!$A:$B,2,0),AE367,1),"")</f>
        <v>M</v>
      </c>
      <c r="AE367" s="3">
        <v>191</v>
      </c>
      <c r="AF367" s="3" t="str">
        <f>IFERROR(MID(VLOOKUP($B367,Seqs!$A:$B,2,0),AG367,1),"")</f>
        <v>C</v>
      </c>
      <c r="AG367" s="3">
        <v>210</v>
      </c>
      <c r="AH367" s="3" t="str">
        <f>IFERROR(MID(VLOOKUP($B367,Seqs!$A:$B,2,0),AI367,1),"")</f>
        <v>E</v>
      </c>
      <c r="AI367" s="3">
        <v>212</v>
      </c>
      <c r="AJ367" s="3" t="str">
        <f>IFERROR(MID(VLOOKUP($B367,Seqs!$A:$B,2,0),AK367,1),"")</f>
        <v>I</v>
      </c>
      <c r="AK367" s="105">
        <v>218</v>
      </c>
      <c r="AL367" s="3" t="str">
        <f>IFERROR(MID(VLOOKUP($B367,Seqs!$A:$B,2,0),AM367,1),"")</f>
        <v>C</v>
      </c>
      <c r="AM367" s="105">
        <v>252</v>
      </c>
      <c r="AN367" s="3" t="str">
        <f>IFERROR(MID(VLOOKUP($B367,Seqs!$A:$B,2,0),AO367,1),"")</f>
        <v>K</v>
      </c>
      <c r="AO367" s="3">
        <v>294</v>
      </c>
      <c r="AP367" s="3" t="str">
        <f>IFERROR(MID(VLOOKUP($B367,Seqs!$A:$B,2,0),AQ367,1),"")</f>
        <v>F</v>
      </c>
      <c r="AQ367" s="3">
        <v>330</v>
      </c>
      <c r="AR367" s="3" t="str">
        <f>IFERROR(MID(VLOOKUP($B367,Seqs!$A:$B,2,0),AS367,1),"")</f>
        <v>R</v>
      </c>
      <c r="AS367" s="3">
        <v>339</v>
      </c>
      <c r="AT367" s="3" t="str">
        <f>IFERROR(MID(VLOOKUP($B367,Seqs!$A:$B,2,0),AU367,1),"")</f>
        <v>L</v>
      </c>
      <c r="AU367" s="3">
        <v>367</v>
      </c>
      <c r="AV367" s="3" t="str">
        <f>IFERROR(MID(VLOOKUP($B367,Seqs!$A:$B,2,0),AW367,1),"")</f>
        <v>S</v>
      </c>
      <c r="AW367" s="3">
        <v>368</v>
      </c>
      <c r="AX367" s="3" t="str">
        <f>IFERROR(MID(VLOOKUP($B367,Seqs!$A:$B,2,0),AY367,1),"")</f>
        <v>F</v>
      </c>
      <c r="AY367" s="3">
        <v>379</v>
      </c>
      <c r="AZ367" s="77" t="str">
        <f>VLOOKUP(B367,Classification!A:D,2,0)</f>
        <v>A</v>
      </c>
      <c r="BA367" s="94" t="str">
        <f>VLOOKUP(B367,Classification!A:D,4,0)</f>
        <v>Orexin</v>
      </c>
      <c r="BB367" s="27" t="b">
        <f t="shared" si="2822"/>
        <v>1</v>
      </c>
      <c r="BC367" s="23">
        <f t="shared" si="2795"/>
        <v>250</v>
      </c>
      <c r="BD367" s="2" t="s">
        <v>23</v>
      </c>
      <c r="BE367" s="3" t="s">
        <v>1370</v>
      </c>
      <c r="BF367" s="118">
        <v>2.5</v>
      </c>
      <c r="BG367" s="49" t="s">
        <v>1373</v>
      </c>
      <c r="BH367" s="49" t="s">
        <v>1373</v>
      </c>
      <c r="BI367" s="1"/>
      <c r="BJ367" s="70" t="s">
        <v>1283</v>
      </c>
      <c r="BK367" s="57" t="s">
        <v>1283</v>
      </c>
      <c r="BL367" s="57" t="s">
        <v>1283</v>
      </c>
      <c r="BM367" s="57" t="s">
        <v>1283</v>
      </c>
      <c r="BN367" s="57" t="s">
        <v>1283</v>
      </c>
      <c r="BO367" s="57" t="s">
        <v>1283</v>
      </c>
      <c r="BP367" s="57" t="s">
        <v>1283</v>
      </c>
      <c r="BQ367" s="57" t="s">
        <v>1283</v>
      </c>
      <c r="BR367" s="57" t="s">
        <v>1283</v>
      </c>
      <c r="BS367" s="57" t="s">
        <v>1283</v>
      </c>
      <c r="BT367" s="57" t="s">
        <v>1283</v>
      </c>
      <c r="BU367" s="57" t="s">
        <v>1283</v>
      </c>
      <c r="BV367" s="70">
        <f t="shared" si="2796"/>
        <v>53</v>
      </c>
      <c r="BW367" s="71">
        <f t="shared" si="2797"/>
        <v>83</v>
      </c>
      <c r="BX367" s="72">
        <f t="shared" si="2798"/>
        <v>87</v>
      </c>
      <c r="BY367" s="71">
        <f t="shared" si="2799"/>
        <v>119</v>
      </c>
      <c r="BZ367" s="72">
        <f t="shared" si="2800"/>
        <v>123</v>
      </c>
      <c r="CA367" s="71" t="str">
        <f t="shared" si="2801"/>
        <v>-</v>
      </c>
      <c r="CB367" s="72">
        <f t="shared" si="2802"/>
        <v>165</v>
      </c>
      <c r="CC367" s="71">
        <f t="shared" si="2803"/>
        <v>210</v>
      </c>
      <c r="CD367" s="72">
        <f t="shared" si="2804"/>
        <v>218</v>
      </c>
      <c r="CE367" s="71">
        <f t="shared" si="2805"/>
        <v>294</v>
      </c>
      <c r="CF367" s="72">
        <f t="shared" si="2806"/>
        <v>339</v>
      </c>
      <c r="CG367" s="71">
        <f t="shared" si="2807"/>
        <v>368</v>
      </c>
      <c r="CH367" s="70">
        <f t="shared" si="2808"/>
        <v>82</v>
      </c>
      <c r="CI367" s="71">
        <f t="shared" si="2809"/>
        <v>86</v>
      </c>
      <c r="CJ367" s="72">
        <f t="shared" si="2810"/>
        <v>118</v>
      </c>
      <c r="CK367" s="72">
        <f t="shared" si="2811"/>
        <v>122</v>
      </c>
      <c r="CL367" s="72">
        <f t="shared" si="2812"/>
        <v>158</v>
      </c>
      <c r="CM367" s="72" t="str">
        <f t="shared" si="2813"/>
        <v>-</v>
      </c>
      <c r="CN367" s="72">
        <f t="shared" si="2814"/>
        <v>191</v>
      </c>
      <c r="CO367" s="72">
        <f t="shared" si="2815"/>
        <v>212</v>
      </c>
      <c r="CP367" s="72">
        <f t="shared" si="2816"/>
        <v>252</v>
      </c>
      <c r="CQ367" s="72">
        <f t="shared" si="2817"/>
        <v>330</v>
      </c>
      <c r="CR367" s="72">
        <f t="shared" si="2818"/>
        <v>367</v>
      </c>
      <c r="CS367" s="72">
        <f t="shared" si="2819"/>
        <v>379</v>
      </c>
      <c r="CT367" s="23">
        <f t="shared" si="2820"/>
        <v>1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</row>
    <row r="368" spans="1:1030" x14ac:dyDescent="0.2">
      <c r="A368" s="3" t="str">
        <f>CONCATENATE(B368,"_",C368)</f>
        <v>ox2r_human_5WQC</v>
      </c>
      <c r="B368" s="3" t="s">
        <v>1171</v>
      </c>
      <c r="C368" s="3" t="s">
        <v>1443</v>
      </c>
      <c r="D368" s="3" t="str">
        <f>IFERROR(MID(VLOOKUP($B368,Seqs!$A:$B,2,0),E368,1),"")</f>
        <v>Y</v>
      </c>
      <c r="E368" s="3">
        <v>53</v>
      </c>
      <c r="F368" s="3" t="str">
        <f>IFERROR(MID(VLOOKUP($B368,Seqs!$A:$B,2,0),G368,1),"")</f>
        <v>N</v>
      </c>
      <c r="G368" s="3">
        <v>82</v>
      </c>
      <c r="H368" s="3" t="str">
        <f>IFERROR(MID(VLOOKUP($B368,Seqs!$A:$B,2,0),I368,1),"")</f>
        <v>H</v>
      </c>
      <c r="I368" s="23">
        <v>83</v>
      </c>
      <c r="J368" s="3" t="str">
        <f>IFERROR(MID(VLOOKUP($B368,Seqs!$A:$B,2,0),K368,1),"")</f>
        <v>R</v>
      </c>
      <c r="K368" s="23">
        <v>86</v>
      </c>
      <c r="L368" s="3" t="str">
        <f>IFERROR(MID(VLOOKUP($B368,Seqs!$A:$B,2,0),M368,1),"")</f>
        <v>T</v>
      </c>
      <c r="M368" s="3">
        <v>87</v>
      </c>
      <c r="N368" s="3" t="str">
        <f>IFERROR(MID(VLOOKUP($B368,Seqs!$A:$B,2,0),O368,1),"")</f>
        <v>E</v>
      </c>
      <c r="O368" s="3">
        <v>118</v>
      </c>
      <c r="P368" s="3" t="str">
        <f>IFERROR(MID(VLOOKUP($B368,Seqs!$A:$B,2,0),Q368,1),"")</f>
        <v>T</v>
      </c>
      <c r="Q368" s="3">
        <v>119</v>
      </c>
      <c r="R368" s="3" t="str">
        <f>IFERROR(MID(VLOOKUP($B368,Seqs!$A:$B,2,0),S368,1),"")</f>
        <v>F</v>
      </c>
      <c r="S368" s="3">
        <v>122</v>
      </c>
      <c r="T368" s="3" t="str">
        <f>IFERROR(MID(VLOOKUP($B368,Seqs!$A:$B,2,0),U368,1),"")</f>
        <v>G</v>
      </c>
      <c r="U368" s="3">
        <v>123</v>
      </c>
      <c r="V368" s="3" t="str">
        <f>IFERROR(MID(VLOOKUP($B368,Seqs!$A:$B,2,0),W368,1),"")</f>
        <v>H</v>
      </c>
      <c r="W368" s="3">
        <v>158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T</v>
      </c>
      <c r="AC368" s="3">
        <v>165</v>
      </c>
      <c r="AD368" s="3" t="str">
        <f>IFERROR(MID(VLOOKUP($B368,Seqs!$A:$B,2,0),AE368,1),"")</f>
        <v>M</v>
      </c>
      <c r="AE368" s="3">
        <v>191</v>
      </c>
      <c r="AF368" s="3" t="str">
        <f>IFERROR(MID(VLOOKUP($B368,Seqs!$A:$B,2,0),AG368,1),"")</f>
        <v>C</v>
      </c>
      <c r="AG368" s="3">
        <v>210</v>
      </c>
      <c r="AH368" s="3" t="str">
        <f>IFERROR(MID(VLOOKUP($B368,Seqs!$A:$B,2,0),AI368,1),"")</f>
        <v>E</v>
      </c>
      <c r="AI368" s="3">
        <v>212</v>
      </c>
      <c r="AJ368" s="3" t="str">
        <f>IFERROR(MID(VLOOKUP($B368,Seqs!$A:$B,2,0),AK368,1),"")</f>
        <v>I</v>
      </c>
      <c r="AK368" s="3">
        <v>218</v>
      </c>
      <c r="AL368" s="3" t="str">
        <f>IFERROR(MID(VLOOKUP($B368,Seqs!$A:$B,2,0),AM368,1),"")</f>
        <v>C</v>
      </c>
      <c r="AM368" s="3">
        <v>252</v>
      </c>
      <c r="AN368" s="3" t="str">
        <f>IFERROR(MID(VLOOKUP($B368,Seqs!$A:$B,2,0),AO368,1),"")</f>
        <v>K</v>
      </c>
      <c r="AO368" s="3">
        <v>294</v>
      </c>
      <c r="AP368" s="3" t="str">
        <f>IFERROR(MID(VLOOKUP($B368,Seqs!$A:$B,2,0),AQ368,1),"")</f>
        <v>F</v>
      </c>
      <c r="AQ368" s="3">
        <v>330</v>
      </c>
      <c r="AR368" s="3" t="str">
        <f>IFERROR(MID(VLOOKUP($B368,Seqs!$A:$B,2,0),AS368,1),"")</f>
        <v>D</v>
      </c>
      <c r="AS368" s="3">
        <v>338</v>
      </c>
      <c r="AT368" s="3" t="str">
        <f>IFERROR(MID(VLOOKUP($B368,Seqs!$A:$B,2,0),AU368,1),"")</f>
        <v>L</v>
      </c>
      <c r="AU368" s="3">
        <v>367</v>
      </c>
      <c r="AV368" s="3" t="str">
        <f>IFERROR(MID(VLOOKUP($B368,Seqs!$A:$B,2,0),AW368,1),"")</f>
        <v>S</v>
      </c>
      <c r="AW368" s="3">
        <v>368</v>
      </c>
      <c r="AX368" s="3" t="str">
        <f>IFERROR(MID(VLOOKUP($B368,Seqs!$A:$B,2,0),AY368,1),"")</f>
        <v>C</v>
      </c>
      <c r="AY368" s="3">
        <v>383</v>
      </c>
      <c r="AZ368" s="77" t="str">
        <f>VLOOKUP(B368,Classification!A:D,2,0)</f>
        <v>A</v>
      </c>
      <c r="BA368" s="94" t="str">
        <f>VLOOKUP(B368,Classification!A:D,4,0)</f>
        <v>Orexin</v>
      </c>
      <c r="BB368" s="27" t="b">
        <f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>_xlfn.AGGREGATE(9,6,CH368:CS368)-_xlfn.AGGREGATE(9,6,BV368:CG368)+12</f>
        <v>255</v>
      </c>
      <c r="BD368" s="2" t="s">
        <v>23</v>
      </c>
      <c r="BE368" s="3" t="s">
        <v>1370</v>
      </c>
      <c r="BF368" s="118">
        <v>1.96</v>
      </c>
      <c r="BG368" s="49" t="s">
        <v>1</v>
      </c>
      <c r="BH368" s="49" t="s">
        <v>1</v>
      </c>
      <c r="BI368" s="1"/>
      <c r="BJ368" s="70" t="s">
        <v>1283</v>
      </c>
      <c r="BK368" s="57" t="s">
        <v>1283</v>
      </c>
      <c r="BL368" s="57" t="s">
        <v>1283</v>
      </c>
      <c r="BM368" s="57" t="s">
        <v>1283</v>
      </c>
      <c r="BN368" s="57" t="s">
        <v>1283</v>
      </c>
      <c r="BO368" s="57" t="s">
        <v>1283</v>
      </c>
      <c r="BP368" s="57" t="s">
        <v>1283</v>
      </c>
      <c r="BQ368" s="57" t="s">
        <v>1283</v>
      </c>
      <c r="BR368" s="57" t="s">
        <v>1283</v>
      </c>
      <c r="BS368" s="57" t="s">
        <v>1283</v>
      </c>
      <c r="BT368" s="57" t="s">
        <v>1283</v>
      </c>
      <c r="BU368" s="57" t="s">
        <v>1283</v>
      </c>
      <c r="BV368" s="70">
        <f>E368</f>
        <v>53</v>
      </c>
      <c r="BW368" s="71">
        <f>I368</f>
        <v>83</v>
      </c>
      <c r="BX368" s="72">
        <f>M368</f>
        <v>87</v>
      </c>
      <c r="BY368" s="71">
        <f>Q368</f>
        <v>119</v>
      </c>
      <c r="BZ368" s="72">
        <f>U368</f>
        <v>123</v>
      </c>
      <c r="CA368" s="71" t="str">
        <f>Y368</f>
        <v>-</v>
      </c>
      <c r="CB368" s="72">
        <f>AC368</f>
        <v>165</v>
      </c>
      <c r="CC368" s="71">
        <f>AG368</f>
        <v>210</v>
      </c>
      <c r="CD368" s="72">
        <f>AK368</f>
        <v>218</v>
      </c>
      <c r="CE368" s="71">
        <f>AO368</f>
        <v>294</v>
      </c>
      <c r="CF368" s="72">
        <f>AS368</f>
        <v>338</v>
      </c>
      <c r="CG368" s="71">
        <f>AW368</f>
        <v>368</v>
      </c>
      <c r="CH368" s="70">
        <f>G368</f>
        <v>82</v>
      </c>
      <c r="CI368" s="71">
        <f>K368</f>
        <v>86</v>
      </c>
      <c r="CJ368" s="72">
        <f>O368</f>
        <v>118</v>
      </c>
      <c r="CK368" s="72">
        <f>S368</f>
        <v>122</v>
      </c>
      <c r="CL368" s="72">
        <f>W368</f>
        <v>158</v>
      </c>
      <c r="CM368" s="72" t="str">
        <f>AA368</f>
        <v>-</v>
      </c>
      <c r="CN368" s="72">
        <f>AE368</f>
        <v>191</v>
      </c>
      <c r="CO368" s="72">
        <f>AI368</f>
        <v>212</v>
      </c>
      <c r="CP368" s="72">
        <f>AM368</f>
        <v>252</v>
      </c>
      <c r="CQ368" s="72">
        <f>AQ368</f>
        <v>330</v>
      </c>
      <c r="CR368" s="72">
        <f>AU368</f>
        <v>367</v>
      </c>
      <c r="CS368" s="72">
        <f>AY368</f>
        <v>383</v>
      </c>
      <c r="CT368" s="23">
        <f>M368-K368</f>
        <v>1</v>
      </c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</row>
    <row r="369" spans="1:1029" x14ac:dyDescent="0.2">
      <c r="A369" s="3" t="str">
        <f>CONCATENATE(B369,"_",C369)</f>
        <v>ox2r_human_5WS3</v>
      </c>
      <c r="B369" s="3" t="s">
        <v>1171</v>
      </c>
      <c r="C369" s="3" t="s">
        <v>1444</v>
      </c>
      <c r="D369" s="3" t="str">
        <f>IFERROR(MID(VLOOKUP($B369,Seqs!$A:$B,2,0),E369,1),"")</f>
        <v>Y</v>
      </c>
      <c r="E369" s="3">
        <v>53</v>
      </c>
      <c r="F369" s="3" t="str">
        <f>IFERROR(MID(VLOOKUP($B369,Seqs!$A:$B,2,0),G369,1),"")</f>
        <v>N</v>
      </c>
      <c r="G369" s="3">
        <v>82</v>
      </c>
      <c r="H369" s="3" t="str">
        <f>IFERROR(MID(VLOOKUP($B369,Seqs!$A:$B,2,0),I369,1),"")</f>
        <v>H</v>
      </c>
      <c r="I369" s="23">
        <v>83</v>
      </c>
      <c r="J369" s="3" t="str">
        <f>IFERROR(MID(VLOOKUP($B369,Seqs!$A:$B,2,0),K369,1),"")</f>
        <v>R</v>
      </c>
      <c r="K369" s="23">
        <v>86</v>
      </c>
      <c r="L369" s="3" t="str">
        <f>IFERROR(MID(VLOOKUP($B369,Seqs!$A:$B,2,0),M369,1),"")</f>
        <v>T</v>
      </c>
      <c r="M369" s="3">
        <v>87</v>
      </c>
      <c r="N369" s="3" t="str">
        <f>IFERROR(MID(VLOOKUP($B369,Seqs!$A:$B,2,0),O369,1),"")</f>
        <v>E</v>
      </c>
      <c r="O369" s="3">
        <v>118</v>
      </c>
      <c r="P369" s="3" t="str">
        <f>IFERROR(MID(VLOOKUP($B369,Seqs!$A:$B,2,0),Q369,1),"")</f>
        <v>T</v>
      </c>
      <c r="Q369" s="3">
        <v>119</v>
      </c>
      <c r="R369" s="3" t="str">
        <f>IFERROR(MID(VLOOKUP($B369,Seqs!$A:$B,2,0),S369,1),"")</f>
        <v>F</v>
      </c>
      <c r="S369" s="3">
        <v>122</v>
      </c>
      <c r="T369" s="3" t="str">
        <f>IFERROR(MID(VLOOKUP($B369,Seqs!$A:$B,2,0),U369,1),"")</f>
        <v>G</v>
      </c>
      <c r="U369" s="3">
        <v>123</v>
      </c>
      <c r="V369" s="3" t="str">
        <f>IFERROR(MID(VLOOKUP($B369,Seqs!$A:$B,2,0),W369,1),"")</f>
        <v>H</v>
      </c>
      <c r="W369" s="3">
        <v>158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T</v>
      </c>
      <c r="AC369" s="3">
        <v>165</v>
      </c>
      <c r="AD369" s="3" t="str">
        <f>IFERROR(MID(VLOOKUP($B369,Seqs!$A:$B,2,0),AE369,1),"")</f>
        <v>M</v>
      </c>
      <c r="AE369" s="3">
        <v>191</v>
      </c>
      <c r="AF369" s="3" t="str">
        <f>IFERROR(MID(VLOOKUP($B369,Seqs!$A:$B,2,0),AG369,1),"")</f>
        <v>C</v>
      </c>
      <c r="AG369" s="3">
        <v>210</v>
      </c>
      <c r="AH369" s="3" t="str">
        <f>IFERROR(MID(VLOOKUP($B369,Seqs!$A:$B,2,0),AI369,1),"")</f>
        <v>E</v>
      </c>
      <c r="AI369" s="3">
        <v>212</v>
      </c>
      <c r="AJ369" s="3" t="str">
        <f>IFERROR(MID(VLOOKUP($B369,Seqs!$A:$B,2,0),AK369,1),"")</f>
        <v>I</v>
      </c>
      <c r="AK369" s="3">
        <v>218</v>
      </c>
      <c r="AL369" s="3" t="str">
        <f>IFERROR(MID(VLOOKUP($B369,Seqs!$A:$B,2,0),AM369,1),"")</f>
        <v>C</v>
      </c>
      <c r="AM369" s="3">
        <v>252</v>
      </c>
      <c r="AN369" s="3" t="str">
        <f>IFERROR(MID(VLOOKUP($B369,Seqs!$A:$B,2,0),AO369,1),"")</f>
        <v>K</v>
      </c>
      <c r="AO369" s="3">
        <v>294</v>
      </c>
      <c r="AP369" s="3" t="str">
        <f>IFERROR(MID(VLOOKUP($B369,Seqs!$A:$B,2,0),AQ369,1),"")</f>
        <v>F</v>
      </c>
      <c r="AQ369" s="3">
        <v>330</v>
      </c>
      <c r="AR369" s="3" t="str">
        <f>IFERROR(MID(VLOOKUP($B369,Seqs!$A:$B,2,0),AS369,1),"")</f>
        <v>D</v>
      </c>
      <c r="AS369" s="3">
        <v>338</v>
      </c>
      <c r="AT369" s="3" t="str">
        <f>IFERROR(MID(VLOOKUP($B369,Seqs!$A:$B,2,0),AU369,1),"")</f>
        <v>L</v>
      </c>
      <c r="AU369" s="3">
        <v>367</v>
      </c>
      <c r="AV369" s="3" t="str">
        <f>IFERROR(MID(VLOOKUP($B369,Seqs!$A:$B,2,0),AW369,1),"")</f>
        <v>S</v>
      </c>
      <c r="AW369" s="3">
        <v>368</v>
      </c>
      <c r="AX369" s="3" t="str">
        <f>IFERROR(MID(VLOOKUP($B369,Seqs!$A:$B,2,0),AY369,1),"")</f>
        <v>C</v>
      </c>
      <c r="AY369" s="3">
        <v>383</v>
      </c>
      <c r="AZ369" s="77" t="str">
        <f>VLOOKUP(B369,Classification!A:D,2,0)</f>
        <v>A</v>
      </c>
      <c r="BA369" s="94" t="str">
        <f>VLOOKUP(B369,Classification!A:D,4,0)</f>
        <v>Orexin</v>
      </c>
      <c r="BB369" s="27" t="b">
        <f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>_xlfn.AGGREGATE(9,6,CH369:CS369)-_xlfn.AGGREGATE(9,6,BV369:CG369)+12</f>
        <v>255</v>
      </c>
      <c r="BD369" s="2" t="s">
        <v>1372</v>
      </c>
      <c r="BE369" s="3" t="s">
        <v>1370</v>
      </c>
      <c r="BF369" s="118">
        <v>2.2999999999999998</v>
      </c>
      <c r="BG369" s="49" t="s">
        <v>1</v>
      </c>
      <c r="BH369" s="49" t="s">
        <v>1</v>
      </c>
      <c r="BI369" s="1"/>
      <c r="BJ369" s="70" t="s">
        <v>1283</v>
      </c>
      <c r="BK369" s="57" t="s">
        <v>1283</v>
      </c>
      <c r="BL369" s="57" t="s">
        <v>1283</v>
      </c>
      <c r="BM369" s="57" t="s">
        <v>1283</v>
      </c>
      <c r="BN369" s="57" t="s">
        <v>1283</v>
      </c>
      <c r="BO369" s="57" t="s">
        <v>1283</v>
      </c>
      <c r="BP369" s="57" t="s">
        <v>1283</v>
      </c>
      <c r="BQ369" s="57" t="s">
        <v>1283</v>
      </c>
      <c r="BR369" s="57" t="s">
        <v>1283</v>
      </c>
      <c r="BS369" s="57" t="s">
        <v>1283</v>
      </c>
      <c r="BT369" s="57" t="s">
        <v>1283</v>
      </c>
      <c r="BU369" s="57" t="s">
        <v>1283</v>
      </c>
      <c r="BV369" s="70">
        <f>E369</f>
        <v>53</v>
      </c>
      <c r="BW369" s="71">
        <f>I369</f>
        <v>83</v>
      </c>
      <c r="BX369" s="72">
        <f>M369</f>
        <v>87</v>
      </c>
      <c r="BY369" s="71">
        <f>Q369</f>
        <v>119</v>
      </c>
      <c r="BZ369" s="72">
        <f>U369</f>
        <v>123</v>
      </c>
      <c r="CA369" s="71" t="str">
        <f>Y369</f>
        <v>-</v>
      </c>
      <c r="CB369" s="72">
        <f>AC369</f>
        <v>165</v>
      </c>
      <c r="CC369" s="71">
        <f>AG369</f>
        <v>210</v>
      </c>
      <c r="CD369" s="72">
        <f>AK369</f>
        <v>218</v>
      </c>
      <c r="CE369" s="71">
        <f>AO369</f>
        <v>294</v>
      </c>
      <c r="CF369" s="72">
        <f>AS369</f>
        <v>338</v>
      </c>
      <c r="CG369" s="71">
        <f>AW369</f>
        <v>368</v>
      </c>
      <c r="CH369" s="70">
        <f>G369</f>
        <v>82</v>
      </c>
      <c r="CI369" s="71">
        <f>K369</f>
        <v>86</v>
      </c>
      <c r="CJ369" s="72">
        <f>O369</f>
        <v>118</v>
      </c>
      <c r="CK369" s="72">
        <f>S369</f>
        <v>122</v>
      </c>
      <c r="CL369" s="72">
        <f>W369</f>
        <v>158</v>
      </c>
      <c r="CM369" s="72" t="str">
        <f>AA369</f>
        <v>-</v>
      </c>
      <c r="CN369" s="72">
        <f>AE369</f>
        <v>191</v>
      </c>
      <c r="CO369" s="72">
        <f>AI369</f>
        <v>212</v>
      </c>
      <c r="CP369" s="72">
        <f>AM369</f>
        <v>252</v>
      </c>
      <c r="CQ369" s="72">
        <f>AQ369</f>
        <v>330</v>
      </c>
      <c r="CR369" s="72">
        <f>AU369</f>
        <v>367</v>
      </c>
      <c r="CS369" s="72">
        <f>AY369</f>
        <v>383</v>
      </c>
      <c r="CT369" s="23">
        <f>M369-K369</f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</row>
    <row r="370" spans="1:1029" x14ac:dyDescent="0.2">
      <c r="A370" s="3" t="str">
        <f>CONCATENATE(B370,"_",C370)</f>
        <v>ox2r_human_6TPG</v>
      </c>
      <c r="B370" s="3" t="s">
        <v>1171</v>
      </c>
      <c r="C370" s="3" t="s">
        <v>1642</v>
      </c>
      <c r="D370" s="3" t="str">
        <f>IFERROR(MID(VLOOKUP($B370,Seqs!$A:$B,2,0),E370,1),"")</f>
        <v>Y</v>
      </c>
      <c r="E370" s="3">
        <v>53</v>
      </c>
      <c r="F370" s="3" t="str">
        <f>IFERROR(MID(VLOOKUP($B370,Seqs!$A:$B,2,0),G370,1),"")</f>
        <v>N</v>
      </c>
      <c r="G370" s="3">
        <v>82</v>
      </c>
      <c r="H370" s="3" t="str">
        <f>IFERROR(MID(VLOOKUP($B370,Seqs!$A:$B,2,0),I370,1),"")</f>
        <v>H</v>
      </c>
      <c r="I370" s="23">
        <v>83</v>
      </c>
      <c r="J370" s="3" t="str">
        <f>IFERROR(MID(VLOOKUP($B370,Seqs!$A:$B,2,0),K370,1),"")</f>
        <v>R</v>
      </c>
      <c r="K370" s="23">
        <v>86</v>
      </c>
      <c r="L370" s="3" t="str">
        <f>IFERROR(MID(VLOOKUP($B370,Seqs!$A:$B,2,0),M370,1),"")</f>
        <v>T</v>
      </c>
      <c r="M370" s="3">
        <v>87</v>
      </c>
      <c r="N370" s="3" t="str">
        <f>IFERROR(MID(VLOOKUP($B370,Seqs!$A:$B,2,0),O370,1),"")</f>
        <v>E</v>
      </c>
      <c r="O370" s="3">
        <v>118</v>
      </c>
      <c r="P370" s="3" t="str">
        <f>IFERROR(MID(VLOOKUP($B370,Seqs!$A:$B,2,0),Q370,1),"")</f>
        <v>T</v>
      </c>
      <c r="Q370" s="3">
        <v>119</v>
      </c>
      <c r="R370" s="3" t="str">
        <f>IFERROR(MID(VLOOKUP($B370,Seqs!$A:$B,2,0),S370,1),"")</f>
        <v>F</v>
      </c>
      <c r="S370" s="3">
        <v>122</v>
      </c>
      <c r="T370" s="3" t="str">
        <f>IFERROR(MID(VLOOKUP($B370,Seqs!$A:$B,2,0),U370,1),"")</f>
        <v>G</v>
      </c>
      <c r="U370" s="3">
        <v>123</v>
      </c>
      <c r="V370" s="3" t="str">
        <f>IFERROR(MID(VLOOKUP($B370,Seqs!$A:$B,2,0),W370,1),"")</f>
        <v>C</v>
      </c>
      <c r="W370" s="3">
        <v>157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T</v>
      </c>
      <c r="AC370" s="3">
        <v>165</v>
      </c>
      <c r="AD370" s="3" t="str">
        <f>IFERROR(MID(VLOOKUP($B370,Seqs!$A:$B,2,0),AE370,1),"")</f>
        <v>M</v>
      </c>
      <c r="AE370" s="3">
        <v>191</v>
      </c>
      <c r="AF370" s="3" t="str">
        <f>IFERROR(MID(VLOOKUP($B370,Seqs!$A:$B,2,0),AG370,1),"")</f>
        <v>C</v>
      </c>
      <c r="AG370" s="3">
        <v>210</v>
      </c>
      <c r="AH370" s="3" t="str">
        <f>IFERROR(MID(VLOOKUP($B370,Seqs!$A:$B,2,0),AI370,1),"")</f>
        <v>E</v>
      </c>
      <c r="AI370" s="3">
        <v>212</v>
      </c>
      <c r="AJ370" s="3" t="str">
        <f>IFERROR(MID(VLOOKUP($B370,Seqs!$A:$B,2,0),AK370,1),"")</f>
        <v>I</v>
      </c>
      <c r="AK370" s="3">
        <v>218</v>
      </c>
      <c r="AL370" s="3" t="str">
        <f>IFERROR(MID(VLOOKUP($B370,Seqs!$A:$B,2,0),AM370,1),"")</f>
        <v>C</v>
      </c>
      <c r="AM370" s="3">
        <v>252</v>
      </c>
      <c r="AN370" s="3" t="str">
        <f>IFERROR(MID(VLOOKUP($B370,Seqs!$A:$B,2,0),AO370,1),"")</f>
        <v>K</v>
      </c>
      <c r="AO370" s="3">
        <v>294</v>
      </c>
      <c r="AP370" s="3" t="str">
        <f>IFERROR(MID(VLOOKUP($B370,Seqs!$A:$B,2,0),AQ370,1),"")</f>
        <v>F</v>
      </c>
      <c r="AQ370" s="3">
        <v>330</v>
      </c>
      <c r="AR370" s="3" t="str">
        <f>IFERROR(MID(VLOOKUP($B370,Seqs!$A:$B,2,0),AS370,1),"")</f>
        <v>R</v>
      </c>
      <c r="AS370" s="3">
        <v>339</v>
      </c>
      <c r="AT370" s="3" t="str">
        <f>IFERROR(MID(VLOOKUP($B370,Seqs!$A:$B,2,0),AU370,1),"")</f>
        <v>L</v>
      </c>
      <c r="AU370" s="3">
        <v>367</v>
      </c>
      <c r="AV370" s="3" t="str">
        <f>IFERROR(MID(VLOOKUP($B370,Seqs!$A:$B,2,0),AW370,1),"")</f>
        <v>S</v>
      </c>
      <c r="AW370" s="3">
        <v>368</v>
      </c>
      <c r="AX370" s="3" t="str">
        <f>IFERROR(MID(VLOOKUP($B370,Seqs!$A:$B,2,0),AY370,1),"")</f>
        <v>L</v>
      </c>
      <c r="AY370" s="3">
        <v>384</v>
      </c>
      <c r="AZ370" s="77" t="str">
        <f>VLOOKUP(B370,Classification!A:D,2,0)</f>
        <v>A</v>
      </c>
      <c r="BA370" s="94" t="str">
        <f>VLOOKUP(B370,Classification!A:D,4,0)</f>
        <v>Orexin</v>
      </c>
      <c r="BB370" s="27" t="b">
        <f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23">
        <f>_xlfn.AGGREGATE(9,6,CH370:CS370)-_xlfn.AGGREGATE(9,6,BV370:CG370)+12</f>
        <v>254</v>
      </c>
      <c r="BD370" s="2" t="s">
        <v>23</v>
      </c>
      <c r="BE370" s="3" t="s">
        <v>1370</v>
      </c>
      <c r="BF370" s="118">
        <v>2.74</v>
      </c>
      <c r="BG370" s="49" t="s">
        <v>1</v>
      </c>
      <c r="BH370" s="49" t="s">
        <v>1</v>
      </c>
      <c r="BI370" s="1"/>
      <c r="BJ370" s="70" t="s">
        <v>1283</v>
      </c>
      <c r="BK370" s="57" t="s">
        <v>1283</v>
      </c>
      <c r="BL370" s="57" t="s">
        <v>1283</v>
      </c>
      <c r="BM370" s="57" t="s">
        <v>1283</v>
      </c>
      <c r="BN370" s="57" t="s">
        <v>1283</v>
      </c>
      <c r="BO370" s="57" t="s">
        <v>1283</v>
      </c>
      <c r="BP370" s="57" t="s">
        <v>1283</v>
      </c>
      <c r="BQ370" s="57" t="s">
        <v>1283</v>
      </c>
      <c r="BR370" s="57" t="s">
        <v>1283</v>
      </c>
      <c r="BS370" s="57" t="s">
        <v>1283</v>
      </c>
      <c r="BT370" s="57" t="s">
        <v>1283</v>
      </c>
      <c r="BU370" s="57" t="s">
        <v>1283</v>
      </c>
      <c r="BV370" s="70">
        <f>E370</f>
        <v>53</v>
      </c>
      <c r="BW370" s="71">
        <f>I370</f>
        <v>83</v>
      </c>
      <c r="BX370" s="72">
        <f>M370</f>
        <v>87</v>
      </c>
      <c r="BY370" s="71">
        <f>Q370</f>
        <v>119</v>
      </c>
      <c r="BZ370" s="72">
        <f>U370</f>
        <v>123</v>
      </c>
      <c r="CA370" s="71" t="str">
        <f>Y370</f>
        <v>-</v>
      </c>
      <c r="CB370" s="72">
        <f>AC370</f>
        <v>165</v>
      </c>
      <c r="CC370" s="71">
        <f>AG370</f>
        <v>210</v>
      </c>
      <c r="CD370" s="72">
        <f>AK370</f>
        <v>218</v>
      </c>
      <c r="CE370" s="71">
        <f>AO370</f>
        <v>294</v>
      </c>
      <c r="CF370" s="72">
        <f>AS370</f>
        <v>339</v>
      </c>
      <c r="CG370" s="71">
        <f>AW370</f>
        <v>368</v>
      </c>
      <c r="CH370" s="70">
        <f>G370</f>
        <v>82</v>
      </c>
      <c r="CI370" s="71">
        <f>K370</f>
        <v>86</v>
      </c>
      <c r="CJ370" s="72">
        <f>O370</f>
        <v>118</v>
      </c>
      <c r="CK370" s="72">
        <f>S370</f>
        <v>122</v>
      </c>
      <c r="CL370" s="72">
        <f>W370</f>
        <v>157</v>
      </c>
      <c r="CM370" s="72" t="str">
        <f>AA370</f>
        <v>-</v>
      </c>
      <c r="CN370" s="72">
        <f>AE370</f>
        <v>191</v>
      </c>
      <c r="CO370" s="72">
        <f>AI370</f>
        <v>212</v>
      </c>
      <c r="CP370" s="72">
        <f>AM370</f>
        <v>252</v>
      </c>
      <c r="CQ370" s="72">
        <f>AQ370</f>
        <v>330</v>
      </c>
      <c r="CR370" s="72">
        <f>AU370</f>
        <v>367</v>
      </c>
      <c r="CS370" s="72">
        <f>AY370</f>
        <v>384</v>
      </c>
      <c r="CT370" s="23">
        <f>M370-K370</f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</row>
    <row r="371" spans="1:1029" x14ac:dyDescent="0.2">
      <c r="A371" s="3" t="str">
        <f>CONCATENATE(B371,"_",C371)</f>
        <v>ox2r_human_6TPJ</v>
      </c>
      <c r="B371" s="3" t="s">
        <v>1171</v>
      </c>
      <c r="C371" s="3" t="s">
        <v>1643</v>
      </c>
      <c r="D371" s="3" t="str">
        <f>IFERROR(MID(VLOOKUP($B371,Seqs!$A:$B,2,0),E371,1),"")</f>
        <v>Y</v>
      </c>
      <c r="E371" s="3">
        <v>53</v>
      </c>
      <c r="F371" s="3" t="str">
        <f>IFERROR(MID(VLOOKUP($B371,Seqs!$A:$B,2,0),G371,1),"")</f>
        <v>N</v>
      </c>
      <c r="G371" s="3">
        <v>82</v>
      </c>
      <c r="H371" s="3" t="str">
        <f>IFERROR(MID(VLOOKUP($B371,Seqs!$A:$B,2,0),I371,1),"")</f>
        <v>H</v>
      </c>
      <c r="I371" s="23">
        <v>83</v>
      </c>
      <c r="J371" s="3" t="str">
        <f>IFERROR(MID(VLOOKUP($B371,Seqs!$A:$B,2,0),K371,1),"")</f>
        <v>R</v>
      </c>
      <c r="K371" s="23">
        <v>86</v>
      </c>
      <c r="L371" s="3" t="str">
        <f>IFERROR(MID(VLOOKUP($B371,Seqs!$A:$B,2,0),M371,1),"")</f>
        <v>T</v>
      </c>
      <c r="M371" s="3">
        <v>87</v>
      </c>
      <c r="N371" s="3" t="str">
        <f>IFERROR(MID(VLOOKUP($B371,Seqs!$A:$B,2,0),O371,1),"")</f>
        <v>E</v>
      </c>
      <c r="O371" s="3">
        <v>118</v>
      </c>
      <c r="P371" s="3" t="str">
        <f>IFERROR(MID(VLOOKUP($B371,Seqs!$A:$B,2,0),Q371,1),"")</f>
        <v>T</v>
      </c>
      <c r="Q371" s="3">
        <v>119</v>
      </c>
      <c r="R371" s="3" t="str">
        <f>IFERROR(MID(VLOOKUP($B371,Seqs!$A:$B,2,0),S371,1),"")</f>
        <v>F</v>
      </c>
      <c r="S371" s="3">
        <v>122</v>
      </c>
      <c r="T371" s="3" t="str">
        <f>IFERROR(MID(VLOOKUP($B371,Seqs!$A:$B,2,0),U371,1),"")</f>
        <v>G</v>
      </c>
      <c r="U371" s="3">
        <v>123</v>
      </c>
      <c r="V371" s="3" t="str">
        <f>IFERROR(MID(VLOOKUP($B371,Seqs!$A:$B,2,0),W371,1),"")</f>
        <v>C</v>
      </c>
      <c r="W371" s="3">
        <v>157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T</v>
      </c>
      <c r="AC371" s="3">
        <v>165</v>
      </c>
      <c r="AD371" s="3" t="str">
        <f>IFERROR(MID(VLOOKUP($B371,Seqs!$A:$B,2,0),AE371,1),"")</f>
        <v>M</v>
      </c>
      <c r="AE371" s="3">
        <v>191</v>
      </c>
      <c r="AF371" s="3" t="str">
        <f>IFERROR(MID(VLOOKUP($B371,Seqs!$A:$B,2,0),AG371,1),"")</f>
        <v>C</v>
      </c>
      <c r="AG371" s="3">
        <v>210</v>
      </c>
      <c r="AH371" s="3" t="str">
        <f>IFERROR(MID(VLOOKUP($B371,Seqs!$A:$B,2,0),AI371,1),"")</f>
        <v>E</v>
      </c>
      <c r="AI371" s="3">
        <v>212</v>
      </c>
      <c r="AJ371" s="3" t="str">
        <f>IFERROR(MID(VLOOKUP($B371,Seqs!$A:$B,2,0),AK371,1),"")</f>
        <v>I</v>
      </c>
      <c r="AK371" s="3">
        <v>218</v>
      </c>
      <c r="AL371" s="3" t="str">
        <f>IFERROR(MID(VLOOKUP($B371,Seqs!$A:$B,2,0),AM371,1),"")</f>
        <v>C</v>
      </c>
      <c r="AM371" s="3">
        <v>252</v>
      </c>
      <c r="AN371" s="3" t="str">
        <f>IFERROR(MID(VLOOKUP($B371,Seqs!$A:$B,2,0),AO371,1),"")</f>
        <v>K</v>
      </c>
      <c r="AO371" s="3">
        <v>294</v>
      </c>
      <c r="AP371" s="3" t="str">
        <f>IFERROR(MID(VLOOKUP($B371,Seqs!$A:$B,2,0),AQ371,1),"")</f>
        <v>F</v>
      </c>
      <c r="AQ371" s="3">
        <v>330</v>
      </c>
      <c r="AR371" s="3" t="str">
        <f>IFERROR(MID(VLOOKUP($B371,Seqs!$A:$B,2,0),AS371,1),"")</f>
        <v>R</v>
      </c>
      <c r="AS371" s="3">
        <v>339</v>
      </c>
      <c r="AT371" s="3" t="str">
        <f>IFERROR(MID(VLOOKUP($B371,Seqs!$A:$B,2,0),AU371,1),"")</f>
        <v>L</v>
      </c>
      <c r="AU371" s="3">
        <v>367</v>
      </c>
      <c r="AV371" s="3" t="str">
        <f>IFERROR(MID(VLOOKUP($B371,Seqs!$A:$B,2,0),AW371,1),"")</f>
        <v>S</v>
      </c>
      <c r="AW371" s="3">
        <v>368</v>
      </c>
      <c r="AX371" s="3" t="str">
        <f>IFERROR(MID(VLOOKUP($B371,Seqs!$A:$B,2,0),AY371,1),"")</f>
        <v>L</v>
      </c>
      <c r="AY371" s="3">
        <v>384</v>
      </c>
      <c r="AZ371" s="77" t="str">
        <f>VLOOKUP(B371,Classification!A:D,2,0)</f>
        <v>A</v>
      </c>
      <c r="BA371" s="94" t="str">
        <f>VLOOKUP(B371,Classification!A:D,4,0)</f>
        <v>Orexin</v>
      </c>
      <c r="BB371" s="27" t="b">
        <f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23">
        <f>_xlfn.AGGREGATE(9,6,CH371:CS371)-_xlfn.AGGREGATE(9,6,BV371:CG371)+12</f>
        <v>254</v>
      </c>
      <c r="BD371" s="2" t="s">
        <v>23</v>
      </c>
      <c r="BE371" s="3" t="s">
        <v>1370</v>
      </c>
      <c r="BF371" s="118">
        <v>2.74</v>
      </c>
      <c r="BG371" s="49" t="s">
        <v>1</v>
      </c>
      <c r="BH371" s="49" t="s">
        <v>1</v>
      </c>
      <c r="BI371" s="1"/>
      <c r="BJ371" s="70" t="s">
        <v>1283</v>
      </c>
      <c r="BK371" s="57" t="s">
        <v>1283</v>
      </c>
      <c r="BL371" s="57" t="s">
        <v>1283</v>
      </c>
      <c r="BM371" s="57" t="s">
        <v>1283</v>
      </c>
      <c r="BN371" s="57" t="s">
        <v>1283</v>
      </c>
      <c r="BO371" s="57" t="s">
        <v>1283</v>
      </c>
      <c r="BP371" s="57" t="s">
        <v>1283</v>
      </c>
      <c r="BQ371" s="57" t="s">
        <v>1283</v>
      </c>
      <c r="BR371" s="57" t="s">
        <v>1283</v>
      </c>
      <c r="BS371" s="57" t="s">
        <v>1283</v>
      </c>
      <c r="BT371" s="57" t="s">
        <v>1283</v>
      </c>
      <c r="BU371" s="57" t="s">
        <v>1283</v>
      </c>
      <c r="BV371" s="70">
        <f>E371</f>
        <v>53</v>
      </c>
      <c r="BW371" s="71">
        <f>I371</f>
        <v>83</v>
      </c>
      <c r="BX371" s="72">
        <f>M371</f>
        <v>87</v>
      </c>
      <c r="BY371" s="71">
        <f>Q371</f>
        <v>119</v>
      </c>
      <c r="BZ371" s="72">
        <f>U371</f>
        <v>123</v>
      </c>
      <c r="CA371" s="71" t="str">
        <f>Y371</f>
        <v>-</v>
      </c>
      <c r="CB371" s="72">
        <f>AC371</f>
        <v>165</v>
      </c>
      <c r="CC371" s="71">
        <f>AG371</f>
        <v>210</v>
      </c>
      <c r="CD371" s="72">
        <f>AK371</f>
        <v>218</v>
      </c>
      <c r="CE371" s="71">
        <f>AO371</f>
        <v>294</v>
      </c>
      <c r="CF371" s="72">
        <f>AS371</f>
        <v>339</v>
      </c>
      <c r="CG371" s="71">
        <f>AW371</f>
        <v>368</v>
      </c>
      <c r="CH371" s="70">
        <f>G371</f>
        <v>82</v>
      </c>
      <c r="CI371" s="71">
        <f>K371</f>
        <v>86</v>
      </c>
      <c r="CJ371" s="72">
        <f>O371</f>
        <v>118</v>
      </c>
      <c r="CK371" s="72">
        <f>S371</f>
        <v>122</v>
      </c>
      <c r="CL371" s="72">
        <f>W371</f>
        <v>157</v>
      </c>
      <c r="CM371" s="72" t="str">
        <f>AA371</f>
        <v>-</v>
      </c>
      <c r="CN371" s="72">
        <f>AE371</f>
        <v>191</v>
      </c>
      <c r="CO371" s="72">
        <f>AI371</f>
        <v>212</v>
      </c>
      <c r="CP371" s="72">
        <f>AM371</f>
        <v>252</v>
      </c>
      <c r="CQ371" s="72">
        <f>AQ371</f>
        <v>330</v>
      </c>
      <c r="CR371" s="72">
        <f>AU371</f>
        <v>367</v>
      </c>
      <c r="CS371" s="72">
        <f>AY371</f>
        <v>384</v>
      </c>
      <c r="CT371" s="23">
        <f>M371-K371</f>
        <v>1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</row>
    <row r="372" spans="1:1029" x14ac:dyDescent="0.2">
      <c r="A372" s="3" t="str">
        <f>CONCATENATE(B372,"_",C372)</f>
        <v>ox2r_human_6TPN</v>
      </c>
      <c r="B372" s="3" t="s">
        <v>1171</v>
      </c>
      <c r="C372" s="3" t="s">
        <v>1620</v>
      </c>
      <c r="D372" s="3" t="str">
        <f>IFERROR(MID(VLOOKUP($B372,Seqs!$A:$B,2,0),E372,1),"")</f>
        <v>Y</v>
      </c>
      <c r="E372" s="3">
        <v>53</v>
      </c>
      <c r="F372" s="3" t="str">
        <f>IFERROR(MID(VLOOKUP($B372,Seqs!$A:$B,2,0),G372,1),"")</f>
        <v>N</v>
      </c>
      <c r="G372" s="3">
        <v>82</v>
      </c>
      <c r="H372" s="3" t="str">
        <f>IFERROR(MID(VLOOKUP($B372,Seqs!$A:$B,2,0),I372,1),"")</f>
        <v>H</v>
      </c>
      <c r="I372" s="23">
        <v>83</v>
      </c>
      <c r="J372" s="3" t="str">
        <f>IFERROR(MID(VLOOKUP($B372,Seqs!$A:$B,2,0),K372,1),"")</f>
        <v>R</v>
      </c>
      <c r="K372" s="23">
        <v>86</v>
      </c>
      <c r="L372" s="3" t="str">
        <f>IFERROR(MID(VLOOKUP($B372,Seqs!$A:$B,2,0),M372,1),"")</f>
        <v>T</v>
      </c>
      <c r="M372" s="3">
        <v>87</v>
      </c>
      <c r="N372" s="3" t="str">
        <f>IFERROR(MID(VLOOKUP($B372,Seqs!$A:$B,2,0),O372,1),"")</f>
        <v>E</v>
      </c>
      <c r="O372" s="3">
        <v>118</v>
      </c>
      <c r="P372" s="3" t="str">
        <f>IFERROR(MID(VLOOKUP($B372,Seqs!$A:$B,2,0),Q372,1),"")</f>
        <v>T</v>
      </c>
      <c r="Q372" s="3">
        <v>119</v>
      </c>
      <c r="R372" s="3" t="str">
        <f>IFERROR(MID(VLOOKUP($B372,Seqs!$A:$B,2,0),S372,1),"")</f>
        <v>F</v>
      </c>
      <c r="S372" s="3">
        <v>122</v>
      </c>
      <c r="T372" s="3" t="str">
        <f>IFERROR(MID(VLOOKUP($B372,Seqs!$A:$B,2,0),U372,1),"")</f>
        <v>G</v>
      </c>
      <c r="U372" s="3">
        <v>123</v>
      </c>
      <c r="V372" s="3" t="str">
        <f>IFERROR(MID(VLOOKUP($B372,Seqs!$A:$B,2,0),W372,1),"")</f>
        <v>C</v>
      </c>
      <c r="W372" s="3">
        <v>157</v>
      </c>
      <c r="X372" s="3" t="str">
        <f>IFERROR(MID(VLOOKUP($B372,Seqs!$A:$B,2,0),Y372,1),"")</f>
        <v/>
      </c>
      <c r="Y372" s="3" t="s">
        <v>23</v>
      </c>
      <c r="Z372" s="3" t="str">
        <f>IFERROR(MID(VLOOKUP($B372,Seqs!$A:$B,2,0),AA372,1),"")</f>
        <v/>
      </c>
      <c r="AA372" s="3" t="s">
        <v>23</v>
      </c>
      <c r="AB372" s="3" t="str">
        <f>IFERROR(MID(VLOOKUP($B372,Seqs!$A:$B,2,0),AC372,1),"")</f>
        <v>T</v>
      </c>
      <c r="AC372" s="3">
        <v>165</v>
      </c>
      <c r="AD372" s="3" t="str">
        <f>IFERROR(MID(VLOOKUP($B372,Seqs!$A:$B,2,0),AE372,1),"")</f>
        <v>M</v>
      </c>
      <c r="AE372" s="3">
        <v>191</v>
      </c>
      <c r="AF372" s="3" t="str">
        <f>IFERROR(MID(VLOOKUP($B372,Seqs!$A:$B,2,0),AG372,1),"")</f>
        <v>C</v>
      </c>
      <c r="AG372" s="3">
        <v>210</v>
      </c>
      <c r="AH372" s="3" t="str">
        <f>IFERROR(MID(VLOOKUP($B372,Seqs!$A:$B,2,0),AI372,1),"")</f>
        <v>E</v>
      </c>
      <c r="AI372" s="3">
        <v>212</v>
      </c>
      <c r="AJ372" s="3" t="str">
        <f>IFERROR(MID(VLOOKUP($B372,Seqs!$A:$B,2,0),AK372,1),"")</f>
        <v>I</v>
      </c>
      <c r="AK372" s="3">
        <v>218</v>
      </c>
      <c r="AL372" s="3" t="str">
        <f>IFERROR(MID(VLOOKUP($B372,Seqs!$A:$B,2,0),AM372,1),"")</f>
        <v>C</v>
      </c>
      <c r="AM372" s="3">
        <v>252</v>
      </c>
      <c r="AN372" s="3" t="str">
        <f>IFERROR(MID(VLOOKUP($B372,Seqs!$A:$B,2,0),AO372,1),"")</f>
        <v>K</v>
      </c>
      <c r="AO372" s="3">
        <v>294</v>
      </c>
      <c r="AP372" s="3" t="str">
        <f>IFERROR(MID(VLOOKUP($B372,Seqs!$A:$B,2,0),AQ372,1),"")</f>
        <v>F</v>
      </c>
      <c r="AQ372" s="3">
        <v>330</v>
      </c>
      <c r="AR372" s="3" t="str">
        <f>IFERROR(MID(VLOOKUP($B372,Seqs!$A:$B,2,0),AS372,1),"")</f>
        <v>R</v>
      </c>
      <c r="AS372" s="3">
        <v>339</v>
      </c>
      <c r="AT372" s="3" t="str">
        <f>IFERROR(MID(VLOOKUP($B372,Seqs!$A:$B,2,0),AU372,1),"")</f>
        <v>L</v>
      </c>
      <c r="AU372" s="3">
        <v>367</v>
      </c>
      <c r="AV372" s="3" t="str">
        <f>IFERROR(MID(VLOOKUP($B372,Seqs!$A:$B,2,0),AW372,1),"")</f>
        <v>S</v>
      </c>
      <c r="AW372" s="3">
        <v>368</v>
      </c>
      <c r="AX372" s="3" t="str">
        <f>IFERROR(MID(VLOOKUP($B372,Seqs!$A:$B,2,0),AY372,1),"")</f>
        <v>L</v>
      </c>
      <c r="AY372" s="3">
        <v>384</v>
      </c>
      <c r="AZ372" s="77" t="str">
        <f>VLOOKUP(B372,Classification!A:D,2,0)</f>
        <v>A</v>
      </c>
      <c r="BA372" s="94" t="str">
        <f>VLOOKUP(B372,Classification!A:D,4,0)</f>
        <v>Orexin</v>
      </c>
      <c r="BB372" s="27" t="b">
        <f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23">
        <f>_xlfn.AGGREGATE(9,6,CH372:CS372)-_xlfn.AGGREGATE(9,6,BV372:CG372)+12</f>
        <v>254</v>
      </c>
      <c r="BD372" s="2" t="s">
        <v>23</v>
      </c>
      <c r="BE372" s="3" t="s">
        <v>1370</v>
      </c>
      <c r="BF372" s="118">
        <v>2.61</v>
      </c>
      <c r="BG372" s="49" t="s">
        <v>1</v>
      </c>
      <c r="BH372" s="49" t="s">
        <v>1</v>
      </c>
      <c r="BI372" s="1"/>
      <c r="BJ372" s="70" t="s">
        <v>1283</v>
      </c>
      <c r="BK372" s="57" t="s">
        <v>1283</v>
      </c>
      <c r="BL372" s="57" t="s">
        <v>1283</v>
      </c>
      <c r="BM372" s="57" t="s">
        <v>1283</v>
      </c>
      <c r="BN372" s="57" t="s">
        <v>1283</v>
      </c>
      <c r="BO372" s="57" t="s">
        <v>1283</v>
      </c>
      <c r="BP372" s="57" t="s">
        <v>1283</v>
      </c>
      <c r="BQ372" s="57" t="s">
        <v>1283</v>
      </c>
      <c r="BR372" s="57" t="s">
        <v>1283</v>
      </c>
      <c r="BS372" s="57" t="s">
        <v>1283</v>
      </c>
      <c r="BT372" s="57" t="s">
        <v>1283</v>
      </c>
      <c r="BU372" s="57" t="s">
        <v>1283</v>
      </c>
      <c r="BV372" s="70">
        <f>E372</f>
        <v>53</v>
      </c>
      <c r="BW372" s="71">
        <f>I372</f>
        <v>83</v>
      </c>
      <c r="BX372" s="72">
        <f>M372</f>
        <v>87</v>
      </c>
      <c r="BY372" s="71">
        <f>Q372</f>
        <v>119</v>
      </c>
      <c r="BZ372" s="72">
        <f>U372</f>
        <v>123</v>
      </c>
      <c r="CA372" s="71" t="str">
        <f>Y372</f>
        <v>-</v>
      </c>
      <c r="CB372" s="72">
        <f>AC372</f>
        <v>165</v>
      </c>
      <c r="CC372" s="71">
        <f>AG372</f>
        <v>210</v>
      </c>
      <c r="CD372" s="72">
        <f>AK372</f>
        <v>218</v>
      </c>
      <c r="CE372" s="71">
        <f>AO372</f>
        <v>294</v>
      </c>
      <c r="CF372" s="72">
        <f>AS372</f>
        <v>339</v>
      </c>
      <c r="CG372" s="71">
        <f>AW372</f>
        <v>368</v>
      </c>
      <c r="CH372" s="70">
        <f>G372</f>
        <v>82</v>
      </c>
      <c r="CI372" s="71">
        <f>K372</f>
        <v>86</v>
      </c>
      <c r="CJ372" s="72">
        <f>O372</f>
        <v>118</v>
      </c>
      <c r="CK372" s="72">
        <f>S372</f>
        <v>122</v>
      </c>
      <c r="CL372" s="72">
        <f>W372</f>
        <v>157</v>
      </c>
      <c r="CM372" s="72" t="str">
        <f>AA372</f>
        <v>-</v>
      </c>
      <c r="CN372" s="72">
        <f>AE372</f>
        <v>191</v>
      </c>
      <c r="CO372" s="72">
        <f>AI372</f>
        <v>212</v>
      </c>
      <c r="CP372" s="72">
        <f>AM372</f>
        <v>252</v>
      </c>
      <c r="CQ372" s="72">
        <f>AQ372</f>
        <v>330</v>
      </c>
      <c r="CR372" s="72">
        <f>AU372</f>
        <v>367</v>
      </c>
      <c r="CS372" s="72">
        <f>AY372</f>
        <v>384</v>
      </c>
      <c r="CT372" s="23">
        <f>M372-K372</f>
        <v>1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</row>
    <row r="373" spans="1:1029" x14ac:dyDescent="0.2">
      <c r="A373" s="3" t="str">
        <f t="shared" si="2821"/>
        <v>p2ry1_human__wt</v>
      </c>
      <c r="B373" s="3" t="s">
        <v>344</v>
      </c>
      <c r="C373" s="3" t="s">
        <v>100</v>
      </c>
      <c r="D373" s="3" t="str">
        <f>IFERROR(MID(VLOOKUP($B373,Seqs!$A:$B,2,0),E373,1),"")</f>
        <v>F</v>
      </c>
      <c r="E373" s="3">
        <v>49</v>
      </c>
      <c r="F373" s="3" t="str">
        <f>IFERROR(MID(VLOOKUP($B373,Seqs!$A:$B,2,0),G373,1),"")</f>
        <v>H</v>
      </c>
      <c r="G373" s="3">
        <v>79</v>
      </c>
      <c r="H373" s="3" t="str">
        <f>IFERROR(MID(VLOOKUP($B373,Seqs!$A:$B,2,0),I373,1),"")</f>
        <v/>
      </c>
      <c r="I373" s="23" t="s">
        <v>23</v>
      </c>
      <c r="J373" s="3" t="str">
        <f>IFERROR(MID(VLOOKUP($B373,Seqs!$A:$B,2,0),K373,1),"")</f>
        <v/>
      </c>
      <c r="K373" s="23" t="s">
        <v>23</v>
      </c>
      <c r="L373" s="3" t="str">
        <f>IFERROR(MID(VLOOKUP($B373,Seqs!$A:$B,2,0),M373,1),"")</f>
        <v>S</v>
      </c>
      <c r="M373" s="3">
        <v>84</v>
      </c>
      <c r="N373" s="3" t="str">
        <f>IFERROR(MID(VLOOKUP($B373,Seqs!$A:$B,2,0),O373,1),"")</f>
        <v>N</v>
      </c>
      <c r="O373" s="3">
        <v>113</v>
      </c>
      <c r="P373" s="3" t="str">
        <f>IFERROR(MID(VLOOKUP($B373,Seqs!$A:$B,2,0),Q373,1),"")</f>
        <v>D</v>
      </c>
      <c r="Q373" s="3">
        <v>116</v>
      </c>
      <c r="R373" s="3" t="str">
        <f>IFERROR(MID(VLOOKUP($B373,Seqs!$A:$B,2,0),S373,1),"")</f>
        <v>F</v>
      </c>
      <c r="S373" s="3">
        <v>119</v>
      </c>
      <c r="T373" s="3" t="str">
        <f>IFERROR(MID(VLOOKUP($B373,Seqs!$A:$B,2,0),U373,1),"")</f>
        <v>G</v>
      </c>
      <c r="U373" s="3">
        <v>120</v>
      </c>
      <c r="V373" s="3" t="str">
        <f>IFERROR(MID(VLOOKUP($B373,Seqs!$A:$B,2,0),W373,1),"")</f>
        <v>Y</v>
      </c>
      <c r="W373" s="3">
        <v>155</v>
      </c>
      <c r="X373" s="3" t="str">
        <f>IFERROR(MID(VLOOKUP($B373,Seqs!$A:$B,2,0),Y373,1),"")</f>
        <v>P</v>
      </c>
      <c r="Y373" s="3">
        <v>156</v>
      </c>
      <c r="Z373" s="3" t="str">
        <f>IFERROR(MID(VLOOKUP($B373,Seqs!$A:$B,2,0),AA373,1),"")</f>
        <v>L</v>
      </c>
      <c r="AA373" s="3">
        <v>163</v>
      </c>
      <c r="AB373" s="3" t="str">
        <f>IFERROR(MID(VLOOKUP($B373,Seqs!$A:$B,2,0),AC373,1),"")</f>
        <v>K</v>
      </c>
      <c r="AC373" s="3">
        <v>164</v>
      </c>
      <c r="AD373" s="3" t="str">
        <f>IFERROR(MID(VLOOKUP($B373,Seqs!$A:$B,2,0),AE373,1),"")</f>
        <v>S</v>
      </c>
      <c r="AE373" s="3">
        <v>190</v>
      </c>
      <c r="AF373" s="3" t="str">
        <f>IFERROR(MID(VLOOKUP($B373,Seqs!$A:$B,2,0),AG373,1),"")</f>
        <v>C</v>
      </c>
      <c r="AG373" s="3">
        <v>202</v>
      </c>
      <c r="AH373" s="3" t="str">
        <f>IFERROR(MID(VLOOKUP($B373,Seqs!$A:$B,2,0),AI373,1),"")</f>
        <v>D</v>
      </c>
      <c r="AI373" s="3">
        <v>204</v>
      </c>
      <c r="AJ373" s="3" t="str">
        <f>IFERROR(MID(VLOOKUP($B373,Seqs!$A:$B,2,0),AK373,1),"")</f>
        <v>L</v>
      </c>
      <c r="AK373" s="3">
        <v>211</v>
      </c>
      <c r="AL373" s="3" t="str">
        <f>IFERROR(MID(VLOOKUP($B373,Seqs!$A:$B,2,0),AM373,1),"")</f>
        <v>K</v>
      </c>
      <c r="AM373" s="3">
        <v>247</v>
      </c>
      <c r="AN373" s="3" t="str">
        <f>IFERROR(MID(VLOOKUP($B373,Seqs!$A:$B,2,0),AO373,1),"")</f>
        <v>P</v>
      </c>
      <c r="AO373" s="3">
        <v>253</v>
      </c>
      <c r="AP373" s="3" t="str">
        <f>IFERROR(MID(VLOOKUP($B373,Seqs!$A:$B,2,0),AQ373,1),"")</f>
        <v>D</v>
      </c>
      <c r="AQ373" s="3">
        <v>289</v>
      </c>
      <c r="AR373" s="3" t="str">
        <f>IFERROR(MID(VLOOKUP($B373,Seqs!$A:$B,2,0),AS373,1),"")</f>
        <v>M</v>
      </c>
      <c r="AS373" s="3">
        <v>295</v>
      </c>
      <c r="AT373" s="3" t="str">
        <f>IFERROR(MID(VLOOKUP($B373,Seqs!$A:$B,2,0),AU373,1),"")</f>
        <v>A</v>
      </c>
      <c r="AU373" s="3">
        <v>327</v>
      </c>
      <c r="AV373" s="3" t="str">
        <f>IFERROR(MID(VLOOKUP($B373,Seqs!$A:$B,2,0),AW373,1),"")</f>
        <v>G</v>
      </c>
      <c r="AW373" s="3">
        <v>328</v>
      </c>
      <c r="AX373" s="3" t="str">
        <f>IFERROR(MID(VLOOKUP($B373,Seqs!$A:$B,2,0),AY373,1),"")</f>
        <v>R</v>
      </c>
      <c r="AY373" s="3">
        <v>340</v>
      </c>
      <c r="AZ373" s="77" t="str">
        <f>VLOOKUP(B373,Classification!A:D,2,0)</f>
        <v>A</v>
      </c>
      <c r="BA373" s="94" t="str">
        <f>VLOOKUP(B373,Classification!A:D,4,0)</f>
        <v>P2Y</v>
      </c>
      <c r="BB373" s="27" t="b">
        <f t="shared" si="2822"/>
        <v>1</v>
      </c>
      <c r="BC373" s="23">
        <f t="shared" si="2795"/>
        <v>260</v>
      </c>
      <c r="BD373" s="56" t="s">
        <v>23</v>
      </c>
      <c r="BE373" s="3" t="s">
        <v>23</v>
      </c>
      <c r="BF373" s="118" t="s">
        <v>23</v>
      </c>
      <c r="BG373" s="49" t="s">
        <v>1368</v>
      </c>
      <c r="BH373" s="49" t="s">
        <v>1373</v>
      </c>
      <c r="BI373" s="1"/>
      <c r="BJ373" s="70" t="s">
        <v>1283</v>
      </c>
      <c r="BK373" s="57" t="s">
        <v>1283</v>
      </c>
      <c r="BL373" s="57" t="s">
        <v>1283</v>
      </c>
      <c r="BM373" s="57" t="s">
        <v>1283</v>
      </c>
      <c r="BN373" s="57" t="s">
        <v>1283</v>
      </c>
      <c r="BO373" s="57" t="s">
        <v>1283</v>
      </c>
      <c r="BP373" s="57" t="s">
        <v>1283</v>
      </c>
      <c r="BQ373" s="57" t="s">
        <v>1283</v>
      </c>
      <c r="BR373" s="57" t="s">
        <v>1283</v>
      </c>
      <c r="BS373" s="57" t="s">
        <v>1283</v>
      </c>
      <c r="BT373" s="57" t="s">
        <v>1283</v>
      </c>
      <c r="BU373" s="57" t="s">
        <v>1283</v>
      </c>
      <c r="BV373" s="70">
        <f t="shared" si="2796"/>
        <v>49</v>
      </c>
      <c r="BW373" s="71" t="str">
        <f t="shared" si="2797"/>
        <v>-</v>
      </c>
      <c r="BX373" s="72">
        <f t="shared" si="2798"/>
        <v>84</v>
      </c>
      <c r="BY373" s="71">
        <f t="shared" si="2799"/>
        <v>116</v>
      </c>
      <c r="BZ373" s="72">
        <f t="shared" si="2800"/>
        <v>120</v>
      </c>
      <c r="CA373" s="71">
        <f t="shared" si="2801"/>
        <v>156</v>
      </c>
      <c r="CB373" s="72">
        <f t="shared" si="2802"/>
        <v>164</v>
      </c>
      <c r="CC373" s="71">
        <f t="shared" si="2803"/>
        <v>202</v>
      </c>
      <c r="CD373" s="72">
        <f t="shared" si="2804"/>
        <v>211</v>
      </c>
      <c r="CE373" s="71">
        <f t="shared" si="2805"/>
        <v>253</v>
      </c>
      <c r="CF373" s="72">
        <f t="shared" si="2806"/>
        <v>295</v>
      </c>
      <c r="CG373" s="71">
        <f t="shared" si="2807"/>
        <v>328</v>
      </c>
      <c r="CH373" s="70">
        <f t="shared" si="2808"/>
        <v>79</v>
      </c>
      <c r="CI373" s="71" t="str">
        <f t="shared" si="2809"/>
        <v>-</v>
      </c>
      <c r="CJ373" s="72">
        <f t="shared" si="2810"/>
        <v>113</v>
      </c>
      <c r="CK373" s="72">
        <f t="shared" si="2811"/>
        <v>119</v>
      </c>
      <c r="CL373" s="72">
        <f t="shared" si="2812"/>
        <v>155</v>
      </c>
      <c r="CM373" s="72">
        <f t="shared" si="2813"/>
        <v>163</v>
      </c>
      <c r="CN373" s="72">
        <f t="shared" si="2814"/>
        <v>190</v>
      </c>
      <c r="CO373" s="72">
        <f t="shared" si="2815"/>
        <v>204</v>
      </c>
      <c r="CP373" s="72">
        <f t="shared" si="2816"/>
        <v>247</v>
      </c>
      <c r="CQ373" s="72">
        <f t="shared" si="2817"/>
        <v>289</v>
      </c>
      <c r="CR373" s="72">
        <f t="shared" si="2818"/>
        <v>327</v>
      </c>
      <c r="CS373" s="72">
        <f t="shared" si="2819"/>
        <v>340</v>
      </c>
      <c r="CT373" s="23" t="e">
        <f t="shared" si="2820"/>
        <v>#VALUE!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29" x14ac:dyDescent="0.2">
      <c r="A374" s="3" t="str">
        <f t="shared" si="2821"/>
        <v>p2ry1_human_4XNV</v>
      </c>
      <c r="B374" s="3" t="s">
        <v>344</v>
      </c>
      <c r="C374" s="3" t="s">
        <v>1147</v>
      </c>
      <c r="D374" s="3" t="str">
        <f>IFERROR(MID(VLOOKUP($B374,Seqs!$A:$B,2,0),E374,1),"")</f>
        <v>F</v>
      </c>
      <c r="E374" s="3">
        <v>49</v>
      </c>
      <c r="F374" s="3" t="str">
        <f>IFERROR(MID(VLOOKUP($B374,Seqs!$A:$B,2,0),G374,1),"")</f>
        <v>H</v>
      </c>
      <c r="G374" s="3">
        <v>79</v>
      </c>
      <c r="H374" s="3" t="str">
        <f>IFERROR(MID(VLOOKUP($B374,Seqs!$A:$B,2,0),I374,1),"")</f>
        <v/>
      </c>
      <c r="I374" s="23" t="s">
        <v>23</v>
      </c>
      <c r="J374" s="3" t="str">
        <f>IFERROR(MID(VLOOKUP($B374,Seqs!$A:$B,2,0),K374,1),"")</f>
        <v/>
      </c>
      <c r="K374" s="23" t="s">
        <v>23</v>
      </c>
      <c r="L374" s="3" t="str">
        <f>IFERROR(MID(VLOOKUP($B374,Seqs!$A:$B,2,0),M374,1),"")</f>
        <v>S</v>
      </c>
      <c r="M374" s="3">
        <v>84</v>
      </c>
      <c r="N374" s="3" t="str">
        <f>IFERROR(MID(VLOOKUP($B374,Seqs!$A:$B,2,0),O374,1),"")</f>
        <v>N</v>
      </c>
      <c r="O374" s="3">
        <v>113</v>
      </c>
      <c r="P374" s="3" t="str">
        <f>IFERROR(MID(VLOOKUP($B374,Seqs!$A:$B,2,0),Q374,1),"")</f>
        <v>D</v>
      </c>
      <c r="Q374" s="3">
        <v>116</v>
      </c>
      <c r="R374" s="3" t="str">
        <f>IFERROR(MID(VLOOKUP($B374,Seqs!$A:$B,2,0),S374,1),"")</f>
        <v>F</v>
      </c>
      <c r="S374" s="3">
        <v>119</v>
      </c>
      <c r="T374" s="3" t="str">
        <f>IFERROR(MID(VLOOKUP($B374,Seqs!$A:$B,2,0),U374,1),"")</f>
        <v>G</v>
      </c>
      <c r="U374" s="3">
        <v>120</v>
      </c>
      <c r="V374" s="3" t="str">
        <f>IFERROR(MID(VLOOKUP($B374,Seqs!$A:$B,2,0),W374,1),"")</f>
        <v>Y</v>
      </c>
      <c r="W374" s="3">
        <v>155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G</v>
      </c>
      <c r="AC374" s="9">
        <v>161</v>
      </c>
      <c r="AD374" s="3" t="str">
        <f>IFERROR(MID(VLOOKUP($B374,Seqs!$A:$B,2,0),AE374,1),"")</f>
        <v>S</v>
      </c>
      <c r="AE374" s="3">
        <v>190</v>
      </c>
      <c r="AF374" s="3" t="str">
        <f>IFERROR(MID(VLOOKUP($B374,Seqs!$A:$B,2,0),AG374,1),"")</f>
        <v>C</v>
      </c>
      <c r="AG374" s="3">
        <v>202</v>
      </c>
      <c r="AH374" s="3" t="str">
        <f>IFERROR(MID(VLOOKUP($B374,Seqs!$A:$B,2,0),AI374,1),"")</f>
        <v>D</v>
      </c>
      <c r="AI374" s="3">
        <v>204</v>
      </c>
      <c r="AJ374" s="3" t="str">
        <f>IFERROR(MID(VLOOKUP($B374,Seqs!$A:$B,2,0),AK374,1),"")</f>
        <v>L</v>
      </c>
      <c r="AK374" s="3">
        <v>211</v>
      </c>
      <c r="AL374" s="3" t="str">
        <f>IFERROR(MID(VLOOKUP($B374,Seqs!$A:$B,2,0),AM374,1),"")</f>
        <v>K</v>
      </c>
      <c r="AM374" s="3">
        <v>247</v>
      </c>
      <c r="AN374" s="3" t="str">
        <f>IFERROR(MID(VLOOKUP($B374,Seqs!$A:$B,2,0),AO374,1),"")</f>
        <v>P</v>
      </c>
      <c r="AO374" s="3">
        <v>253</v>
      </c>
      <c r="AP374" s="3" t="str">
        <f>IFERROR(MID(VLOOKUP($B374,Seqs!$A:$B,2,0),AQ374,1),"")</f>
        <v>D</v>
      </c>
      <c r="AQ374" s="3">
        <v>289</v>
      </c>
      <c r="AR374" s="3" t="str">
        <f>IFERROR(MID(VLOOKUP($B374,Seqs!$A:$B,2,0),AS374,1),"")</f>
        <v>M</v>
      </c>
      <c r="AS374" s="3">
        <v>295</v>
      </c>
      <c r="AT374" s="3" t="str">
        <f>IFERROR(MID(VLOOKUP($B374,Seqs!$A:$B,2,0),AU374,1),"")</f>
        <v>L</v>
      </c>
      <c r="AU374" s="3">
        <v>326</v>
      </c>
      <c r="AV374" s="3" t="str">
        <f>IFERROR(MID(VLOOKUP($B374,Seqs!$A:$B,2,0),AW374,1),"")</f>
        <v/>
      </c>
      <c r="AW374" s="3" t="s">
        <v>23</v>
      </c>
      <c r="AX374" s="3" t="str">
        <f>IFERROR(MID(VLOOKUP($B374,Seqs!$A:$B,2,0),AY374,1),"")</f>
        <v/>
      </c>
      <c r="AY374" s="3" t="s">
        <v>23</v>
      </c>
      <c r="AZ374" s="77" t="str">
        <f>VLOOKUP(B374,Classification!A:D,2,0)</f>
        <v>A</v>
      </c>
      <c r="BA374" s="94" t="str">
        <f>VLOOKUP(B374,Classification!A:D,4,0)</f>
        <v>P2Y</v>
      </c>
      <c r="BB374" s="27" t="b">
        <f t="shared" si="2822"/>
        <v>1</v>
      </c>
      <c r="BC374" s="23">
        <f t="shared" si="2795"/>
        <v>243</v>
      </c>
      <c r="BD374" s="4" t="s">
        <v>23</v>
      </c>
      <c r="BE374" s="3" t="s">
        <v>1424</v>
      </c>
      <c r="BF374" s="118">
        <v>2.2000000000000002</v>
      </c>
      <c r="BG374" s="49" t="s">
        <v>1373</v>
      </c>
      <c r="BH374" s="49" t="s">
        <v>1373</v>
      </c>
      <c r="BI374" s="3" t="s">
        <v>1164</v>
      </c>
      <c r="BJ374" s="70" t="s">
        <v>1283</v>
      </c>
      <c r="BK374" s="57" t="s">
        <v>1283</v>
      </c>
      <c r="BL374" s="57" t="s">
        <v>1283</v>
      </c>
      <c r="BM374" s="57" t="s">
        <v>1283</v>
      </c>
      <c r="BN374" s="57" t="s">
        <v>1283</v>
      </c>
      <c r="BO374" s="57" t="s">
        <v>1283</v>
      </c>
      <c r="BP374" s="57" t="s">
        <v>1283</v>
      </c>
      <c r="BQ374" s="57" t="s">
        <v>1283</v>
      </c>
      <c r="BR374" s="57" t="s">
        <v>1283</v>
      </c>
      <c r="BS374" s="57" t="s">
        <v>1283</v>
      </c>
      <c r="BT374" s="57" t="s">
        <v>1283</v>
      </c>
      <c r="BU374" s="57" t="s">
        <v>1283</v>
      </c>
      <c r="BV374" s="70">
        <f t="shared" si="2796"/>
        <v>49</v>
      </c>
      <c r="BW374" s="71" t="str">
        <f t="shared" si="2797"/>
        <v>-</v>
      </c>
      <c r="BX374" s="72">
        <f t="shared" si="2798"/>
        <v>84</v>
      </c>
      <c r="BY374" s="71">
        <f t="shared" si="2799"/>
        <v>116</v>
      </c>
      <c r="BZ374" s="72">
        <f t="shared" si="2800"/>
        <v>120</v>
      </c>
      <c r="CA374" s="71" t="str">
        <f t="shared" si="2801"/>
        <v>-</v>
      </c>
      <c r="CB374" s="72">
        <f t="shared" si="2802"/>
        <v>161</v>
      </c>
      <c r="CC374" s="71">
        <f t="shared" si="2803"/>
        <v>202</v>
      </c>
      <c r="CD374" s="72">
        <f t="shared" si="2804"/>
        <v>211</v>
      </c>
      <c r="CE374" s="71">
        <f t="shared" si="2805"/>
        <v>253</v>
      </c>
      <c r="CF374" s="72">
        <f t="shared" si="2806"/>
        <v>295</v>
      </c>
      <c r="CG374" s="71" t="str">
        <f t="shared" si="2807"/>
        <v>-</v>
      </c>
      <c r="CH374" s="70">
        <f t="shared" si="2808"/>
        <v>79</v>
      </c>
      <c r="CI374" s="71" t="str">
        <f t="shared" si="2809"/>
        <v>-</v>
      </c>
      <c r="CJ374" s="72">
        <f t="shared" si="2810"/>
        <v>113</v>
      </c>
      <c r="CK374" s="72">
        <f t="shared" si="2811"/>
        <v>119</v>
      </c>
      <c r="CL374" s="72">
        <f t="shared" si="2812"/>
        <v>155</v>
      </c>
      <c r="CM374" s="72" t="str">
        <f t="shared" si="2813"/>
        <v>-</v>
      </c>
      <c r="CN374" s="72">
        <f t="shared" si="2814"/>
        <v>190</v>
      </c>
      <c r="CO374" s="72">
        <f t="shared" si="2815"/>
        <v>204</v>
      </c>
      <c r="CP374" s="72">
        <f t="shared" si="2816"/>
        <v>247</v>
      </c>
      <c r="CQ374" s="72">
        <f t="shared" si="2817"/>
        <v>289</v>
      </c>
      <c r="CR374" s="72">
        <f t="shared" si="2818"/>
        <v>326</v>
      </c>
      <c r="CS374" s="72" t="str">
        <f t="shared" si="2819"/>
        <v>-</v>
      </c>
      <c r="CT374" s="23" t="e">
        <f t="shared" si="2820"/>
        <v>#VALUE!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29" x14ac:dyDescent="0.2">
      <c r="A375" s="3" t="str">
        <f t="shared" si="2821"/>
        <v>p2ry1_human_4XNW</v>
      </c>
      <c r="B375" s="3" t="s">
        <v>344</v>
      </c>
      <c r="C375" s="3" t="s">
        <v>1051</v>
      </c>
      <c r="D375" s="3" t="str">
        <f>IFERROR(MID(VLOOKUP($B375,Seqs!$A:$B,2,0),E375,1),"")</f>
        <v>F</v>
      </c>
      <c r="E375" s="3">
        <v>49</v>
      </c>
      <c r="F375" s="3" t="str">
        <f>IFERROR(MID(VLOOKUP($B375,Seqs!$A:$B,2,0),G375,1),"")</f>
        <v>H</v>
      </c>
      <c r="G375" s="3">
        <v>79</v>
      </c>
      <c r="H375" s="3" t="str">
        <f>IFERROR(MID(VLOOKUP($B375,Seqs!$A:$B,2,0),I375,1),"")</f>
        <v/>
      </c>
      <c r="I375" s="23" t="s">
        <v>23</v>
      </c>
      <c r="J375" s="3" t="str">
        <f>IFERROR(MID(VLOOKUP($B375,Seqs!$A:$B,2,0),K375,1),"")</f>
        <v/>
      </c>
      <c r="K375" s="23" t="s">
        <v>23</v>
      </c>
      <c r="L375" s="3" t="str">
        <f>IFERROR(MID(VLOOKUP($B375,Seqs!$A:$B,2,0),M375,1),"")</f>
        <v>S</v>
      </c>
      <c r="M375" s="3">
        <v>84</v>
      </c>
      <c r="N375" s="3" t="str">
        <f>IFERROR(MID(VLOOKUP($B375,Seqs!$A:$B,2,0),O375,1),"")</f>
        <v>N</v>
      </c>
      <c r="O375" s="3">
        <v>113</v>
      </c>
      <c r="P375" s="3" t="str">
        <f>IFERROR(MID(VLOOKUP($B375,Seqs!$A:$B,2,0),Q375,1),"")</f>
        <v>D</v>
      </c>
      <c r="Q375" s="3">
        <v>116</v>
      </c>
      <c r="R375" s="3" t="str">
        <f>IFERROR(MID(VLOOKUP($B375,Seqs!$A:$B,2,0),S375,1),"")</f>
        <v>F</v>
      </c>
      <c r="S375" s="3">
        <v>119</v>
      </c>
      <c r="T375" s="3" t="str">
        <f>IFERROR(MID(VLOOKUP($B375,Seqs!$A:$B,2,0),U375,1),"")</f>
        <v>G</v>
      </c>
      <c r="U375" s="3">
        <v>120</v>
      </c>
      <c r="V375" s="3" t="str">
        <f>IFERROR(MID(VLOOKUP($B375,Seqs!$A:$B,2,0),W375,1),"")</f>
        <v>Y</v>
      </c>
      <c r="W375" s="3">
        <v>155</v>
      </c>
      <c r="X375" s="3" t="str">
        <f>IFERROR(MID(VLOOKUP($B375,Seqs!$A:$B,2,0),Y375,1),"")</f>
        <v>P</v>
      </c>
      <c r="Y375" s="3">
        <v>156</v>
      </c>
      <c r="Z375" s="3" t="str">
        <f>IFERROR(MID(VLOOKUP($B375,Seqs!$A:$B,2,0),AA375,1),"")</f>
        <v>L</v>
      </c>
      <c r="AA375" s="3">
        <v>163</v>
      </c>
      <c r="AB375" s="3" t="str">
        <f>IFERROR(MID(VLOOKUP($B375,Seqs!$A:$B,2,0),AC375,1),"")</f>
        <v>K</v>
      </c>
      <c r="AC375" s="9">
        <v>164</v>
      </c>
      <c r="AD375" s="3" t="str">
        <f>IFERROR(MID(VLOOKUP($B375,Seqs!$A:$B,2,0),AE375,1),"")</f>
        <v>S</v>
      </c>
      <c r="AE375" s="3">
        <v>190</v>
      </c>
      <c r="AF375" s="3" t="str">
        <f>IFERROR(MID(VLOOKUP($B375,Seqs!$A:$B,2,0),AG375,1),"")</f>
        <v>C</v>
      </c>
      <c r="AG375" s="3">
        <v>202</v>
      </c>
      <c r="AH375" s="3" t="str">
        <f>IFERROR(MID(VLOOKUP($B375,Seqs!$A:$B,2,0),AI375,1),"")</f>
        <v>D</v>
      </c>
      <c r="AI375" s="3">
        <v>204</v>
      </c>
      <c r="AJ375" s="3" t="str">
        <f>IFERROR(MID(VLOOKUP($B375,Seqs!$A:$B,2,0),AK375,1),"")</f>
        <v>L</v>
      </c>
      <c r="AK375" s="3">
        <v>211</v>
      </c>
      <c r="AL375" s="3" t="str">
        <f>IFERROR(MID(VLOOKUP($B375,Seqs!$A:$B,2,0),AM375,1),"")</f>
        <v>K</v>
      </c>
      <c r="AM375" s="3">
        <v>247</v>
      </c>
      <c r="AN375" s="3" t="str">
        <f>IFERROR(MID(VLOOKUP($B375,Seqs!$A:$B,2,0),AO375,1),"")</f>
        <v>P</v>
      </c>
      <c r="AO375" s="3">
        <v>253</v>
      </c>
      <c r="AP375" s="3" t="str">
        <f>IFERROR(MID(VLOOKUP($B375,Seqs!$A:$B,2,0),AQ375,1),"")</f>
        <v>D</v>
      </c>
      <c r="AQ375" s="3">
        <v>289</v>
      </c>
      <c r="AR375" s="3" t="str">
        <f>IFERROR(MID(VLOOKUP($B375,Seqs!$A:$B,2,0),AS375,1),"")</f>
        <v>M</v>
      </c>
      <c r="AS375" s="3">
        <v>295</v>
      </c>
      <c r="AT375" s="3" t="str">
        <f>IFERROR(MID(VLOOKUP($B375,Seqs!$A:$B,2,0),AU375,1),"")</f>
        <v>L</v>
      </c>
      <c r="AU375" s="3">
        <v>326</v>
      </c>
      <c r="AV375" s="3" t="str">
        <f>IFERROR(MID(VLOOKUP($B375,Seqs!$A:$B,2,0),AW375,1),"")</f>
        <v/>
      </c>
      <c r="AW375" s="3" t="s">
        <v>23</v>
      </c>
      <c r="AX375" s="3" t="str">
        <f>IFERROR(MID(VLOOKUP($B375,Seqs!$A:$B,2,0),AY375,1),"")</f>
        <v/>
      </c>
      <c r="AY375" s="3" t="s">
        <v>23</v>
      </c>
      <c r="AZ375" s="77" t="str">
        <f>VLOOKUP(B375,Classification!A:D,2,0)</f>
        <v>A</v>
      </c>
      <c r="BA375" s="94" t="str">
        <f>VLOOKUP(B375,Classification!A:D,4,0)</f>
        <v>P2Y</v>
      </c>
      <c r="BB375" s="27" t="b">
        <f t="shared" si="2822"/>
        <v>1</v>
      </c>
      <c r="BC375" s="23">
        <f t="shared" si="2795"/>
        <v>247</v>
      </c>
      <c r="BD375" s="2" t="s">
        <v>1425</v>
      </c>
      <c r="BE375" s="3" t="s">
        <v>1424</v>
      </c>
      <c r="BF375" s="118">
        <v>2.7</v>
      </c>
      <c r="BG375" s="49" t="s">
        <v>1373</v>
      </c>
      <c r="BH375" s="49" t="s">
        <v>1373</v>
      </c>
      <c r="BI375" s="1"/>
      <c r="BJ375" s="70" t="s">
        <v>1283</v>
      </c>
      <c r="BK375" s="57" t="s">
        <v>1283</v>
      </c>
      <c r="BL375" s="57" t="s">
        <v>1283</v>
      </c>
      <c r="BM375" s="57" t="s">
        <v>1283</v>
      </c>
      <c r="BN375" s="57" t="s">
        <v>1283</v>
      </c>
      <c r="BO375" s="57" t="s">
        <v>1283</v>
      </c>
      <c r="BP375" s="57" t="s">
        <v>1283</v>
      </c>
      <c r="BQ375" s="57" t="s">
        <v>1283</v>
      </c>
      <c r="BR375" s="57" t="s">
        <v>1283</v>
      </c>
      <c r="BS375" s="57" t="s">
        <v>1283</v>
      </c>
      <c r="BT375" s="57" t="s">
        <v>1283</v>
      </c>
      <c r="BU375" s="57" t="s">
        <v>1283</v>
      </c>
      <c r="BV375" s="70">
        <f t="shared" si="2796"/>
        <v>49</v>
      </c>
      <c r="BW375" s="71" t="str">
        <f t="shared" si="2797"/>
        <v>-</v>
      </c>
      <c r="BX375" s="72">
        <f t="shared" si="2798"/>
        <v>84</v>
      </c>
      <c r="BY375" s="71">
        <f t="shared" si="2799"/>
        <v>116</v>
      </c>
      <c r="BZ375" s="72">
        <f t="shared" si="2800"/>
        <v>120</v>
      </c>
      <c r="CA375" s="71">
        <f t="shared" si="2801"/>
        <v>156</v>
      </c>
      <c r="CB375" s="72">
        <f t="shared" si="2802"/>
        <v>164</v>
      </c>
      <c r="CC375" s="71">
        <f t="shared" si="2803"/>
        <v>202</v>
      </c>
      <c r="CD375" s="72">
        <f t="shared" si="2804"/>
        <v>211</v>
      </c>
      <c r="CE375" s="71">
        <f t="shared" si="2805"/>
        <v>253</v>
      </c>
      <c r="CF375" s="72">
        <f t="shared" si="2806"/>
        <v>295</v>
      </c>
      <c r="CG375" s="71" t="str">
        <f t="shared" si="2807"/>
        <v>-</v>
      </c>
      <c r="CH375" s="70">
        <f t="shared" si="2808"/>
        <v>79</v>
      </c>
      <c r="CI375" s="71" t="str">
        <f t="shared" si="2809"/>
        <v>-</v>
      </c>
      <c r="CJ375" s="72">
        <f t="shared" si="2810"/>
        <v>113</v>
      </c>
      <c r="CK375" s="72">
        <f t="shared" si="2811"/>
        <v>119</v>
      </c>
      <c r="CL375" s="72">
        <f t="shared" si="2812"/>
        <v>155</v>
      </c>
      <c r="CM375" s="72">
        <f t="shared" si="2813"/>
        <v>163</v>
      </c>
      <c r="CN375" s="72">
        <f t="shared" si="2814"/>
        <v>190</v>
      </c>
      <c r="CO375" s="72">
        <f t="shared" si="2815"/>
        <v>204</v>
      </c>
      <c r="CP375" s="72">
        <f t="shared" si="2816"/>
        <v>247</v>
      </c>
      <c r="CQ375" s="72">
        <f t="shared" si="2817"/>
        <v>289</v>
      </c>
      <c r="CR375" s="72">
        <f t="shared" si="2818"/>
        <v>326</v>
      </c>
      <c r="CS375" s="72" t="str">
        <f t="shared" si="2819"/>
        <v>-</v>
      </c>
      <c r="CT375" s="23" t="e">
        <f t="shared" si="2820"/>
        <v>#VALUE!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29" x14ac:dyDescent="0.2">
      <c r="A376" s="3" t="str">
        <f t="shared" si="2821"/>
        <v>p2y12_human__wt</v>
      </c>
      <c r="B376" s="3" t="s">
        <v>351</v>
      </c>
      <c r="C376" s="3" t="s">
        <v>100</v>
      </c>
      <c r="D376" s="3" t="str">
        <f>IFERROR(MID(VLOOKUP($B376,Seqs!$A:$B,2,0),E376,1),"")</f>
        <v>Y</v>
      </c>
      <c r="E376" s="3">
        <v>21</v>
      </c>
      <c r="F376" s="3" t="str">
        <f>IFERROR(MID(VLOOKUP($B376,Seqs!$A:$B,2,0),G376,1),"")</f>
        <v>I</v>
      </c>
      <c r="G376" s="3">
        <v>53</v>
      </c>
      <c r="H376" s="3" t="str">
        <f>IFERROR(MID(VLOOKUP($B376,Seqs!$A:$B,2,0),I376,1),"")</f>
        <v/>
      </c>
      <c r="I376" s="23" t="s">
        <v>23</v>
      </c>
      <c r="J376" s="3" t="str">
        <f>IFERROR(MID(VLOOKUP($B376,Seqs!$A:$B,2,0),K376,1),"")</f>
        <v/>
      </c>
      <c r="K376" s="23" t="s">
        <v>23</v>
      </c>
      <c r="L376" s="3" t="str">
        <f>IFERROR(MID(VLOOKUP($B376,Seqs!$A:$B,2,0),M376,1),"")</f>
        <v>S</v>
      </c>
      <c r="M376" s="3">
        <v>57</v>
      </c>
      <c r="N376" s="3" t="str">
        <f>IFERROR(MID(VLOOKUP($B376,Seqs!$A:$B,2,0),O376,1),"")</f>
        <v>K</v>
      </c>
      <c r="O376" s="3">
        <v>86</v>
      </c>
      <c r="P376" s="3" t="str">
        <f>IFERROR(MID(VLOOKUP($B376,Seqs!$A:$B,2,0),Q376,1),"")</f>
        <v/>
      </c>
      <c r="Q376" s="3" t="s">
        <v>23</v>
      </c>
      <c r="R376" s="3" t="str">
        <f>IFERROR(MID(VLOOKUP($B376,Seqs!$A:$B,2,0),S376,1),"")</f>
        <v/>
      </c>
      <c r="S376" s="3" t="s">
        <v>23</v>
      </c>
      <c r="T376" s="3" t="str">
        <f>IFERROR(MID(VLOOKUP($B376,Seqs!$A:$B,2,0),U376,1),"")</f>
        <v>G</v>
      </c>
      <c r="U376" s="3">
        <v>90</v>
      </c>
      <c r="V376" s="3" t="str">
        <f>IFERROR(MID(VLOOKUP($B376,Seqs!$A:$B,2,0),W376,1),"")</f>
        <v>R</v>
      </c>
      <c r="W376" s="3">
        <v>128</v>
      </c>
      <c r="X376" s="3" t="str">
        <f>IFERROR(MID(VLOOKUP($B376,Seqs!$A:$B,2,0),Y376,1),"")</f>
        <v>P</v>
      </c>
      <c r="Y376" s="3">
        <v>129</v>
      </c>
      <c r="Z376" s="3" t="str">
        <f>IFERROR(MID(VLOOKUP($B376,Seqs!$A:$B,2,0),AA376,1),"")</f>
        <v>K</v>
      </c>
      <c r="AA376" s="73">
        <v>136</v>
      </c>
      <c r="AB376" s="3" t="str">
        <f>IFERROR(MID(VLOOKUP($B376,Seqs!$A:$B,2,0),AC376,1),"")</f>
        <v>N</v>
      </c>
      <c r="AC376" s="9">
        <v>137</v>
      </c>
      <c r="AD376" s="3" t="str">
        <f>IFERROR(MID(VLOOKUP($B376,Seqs!$A:$B,2,0),AE376,1),"")</f>
        <v>T</v>
      </c>
      <c r="AE376" s="3">
        <v>163</v>
      </c>
      <c r="AF376" s="3" t="str">
        <f>IFERROR(MID(VLOOKUP($B376,Seqs!$A:$B,2,0),AG376,1),"")</f>
        <v>C</v>
      </c>
      <c r="AG376" s="3">
        <v>175</v>
      </c>
      <c r="AH376" s="3" t="str">
        <f>IFERROR(MID(VLOOKUP($B376,Seqs!$A:$B,2,0),AI376,1),"")</f>
        <v>F</v>
      </c>
      <c r="AI376" s="3">
        <v>177</v>
      </c>
      <c r="AJ376" s="3" t="str">
        <f>IFERROR(MID(VLOOKUP($B376,Seqs!$A:$B,2,0),AK376,1),"")</f>
        <v>E</v>
      </c>
      <c r="AK376" s="3">
        <v>181</v>
      </c>
      <c r="AL376" s="3" t="str">
        <f>IFERROR(MID(VLOOKUP($B376,Seqs!$A:$B,2,0),AM376,1),"")</f>
        <v>T</v>
      </c>
      <c r="AM376" s="3">
        <v>223</v>
      </c>
      <c r="AN376" s="3" t="str">
        <f>IFERROR(MID(VLOOKUP($B376,Seqs!$A:$B,2,0),AO376,1),"")</f>
        <v>P</v>
      </c>
      <c r="AO376" s="3">
        <v>230</v>
      </c>
      <c r="AP376" s="3" t="str">
        <f>IFERROR(MID(VLOOKUP($B376,Seqs!$A:$B,2,0),AQ376,1),"")</f>
        <v>R</v>
      </c>
      <c r="AQ376" s="3">
        <v>265</v>
      </c>
      <c r="AR376" s="3" t="str">
        <f>IFERROR(MID(VLOOKUP($B376,Seqs!$A:$B,2,0),AS376,1),"")</f>
        <v>D</v>
      </c>
      <c r="AS376" s="3">
        <v>269</v>
      </c>
      <c r="AT376" s="3" t="str">
        <f>IFERROR(MID(VLOOKUP($B376,Seqs!$A:$B,2,0),AU376,1),"")</f>
        <v>L</v>
      </c>
      <c r="AU376" s="3">
        <v>301</v>
      </c>
      <c r="AV376" s="3" t="str">
        <f>IFERROR(MID(VLOOKUP($B376,Seqs!$A:$B,2,0),AW376,1),"")</f>
        <v>C</v>
      </c>
      <c r="AW376" s="3">
        <v>302</v>
      </c>
      <c r="AX376" s="3" t="str">
        <f>IFERROR(MID(VLOOKUP($B376,Seqs!$A:$B,2,0),AY376,1),"")</f>
        <v>M</v>
      </c>
      <c r="AY376" s="3">
        <v>312</v>
      </c>
      <c r="AZ376" s="77" t="str">
        <f>VLOOKUP(B376,Classification!A:D,2,0)</f>
        <v>A</v>
      </c>
      <c r="BA376" s="94" t="str">
        <f>VLOOKUP(B376,Classification!A:D,4,0)</f>
        <v>P2Y</v>
      </c>
      <c r="BB376" s="27" t="b">
        <f t="shared" si="2822"/>
        <v>1</v>
      </c>
      <c r="BC376" s="23">
        <f t="shared" si="2795"/>
        <v>265</v>
      </c>
      <c r="BD376" s="56" t="s">
        <v>23</v>
      </c>
      <c r="BE376" s="3" t="s">
        <v>23</v>
      </c>
      <c r="BF376" s="118" t="s">
        <v>23</v>
      </c>
      <c r="BG376" s="49" t="s">
        <v>1368</v>
      </c>
      <c r="BH376" s="49" t="s">
        <v>1373</v>
      </c>
      <c r="BI376" s="1"/>
      <c r="BJ376" s="70" t="s">
        <v>1283</v>
      </c>
      <c r="BK376" s="57" t="s">
        <v>1283</v>
      </c>
      <c r="BL376" s="57" t="s">
        <v>1283</v>
      </c>
      <c r="BM376" s="57" t="s">
        <v>1283</v>
      </c>
      <c r="BN376" s="57" t="s">
        <v>1283</v>
      </c>
      <c r="BO376" s="57" t="s">
        <v>1283</v>
      </c>
      <c r="BP376" s="57" t="s">
        <v>1283</v>
      </c>
      <c r="BQ376" s="57" t="s">
        <v>1283</v>
      </c>
      <c r="BR376" s="57" t="s">
        <v>1283</v>
      </c>
      <c r="BS376" s="57" t="s">
        <v>1283</v>
      </c>
      <c r="BT376" s="57" t="s">
        <v>1283</v>
      </c>
      <c r="BU376" s="57" t="s">
        <v>1283</v>
      </c>
      <c r="BV376" s="70">
        <f t="shared" si="2796"/>
        <v>21</v>
      </c>
      <c r="BW376" s="71" t="str">
        <f t="shared" si="2797"/>
        <v>-</v>
      </c>
      <c r="BX376" s="72">
        <f t="shared" si="2798"/>
        <v>57</v>
      </c>
      <c r="BY376" s="71" t="str">
        <f t="shared" si="2799"/>
        <v>-</v>
      </c>
      <c r="BZ376" s="72">
        <f t="shared" si="2800"/>
        <v>90</v>
      </c>
      <c r="CA376" s="71">
        <f t="shared" si="2801"/>
        <v>129</v>
      </c>
      <c r="CB376" s="72">
        <f t="shared" si="2802"/>
        <v>137</v>
      </c>
      <c r="CC376" s="71">
        <f t="shared" si="2803"/>
        <v>175</v>
      </c>
      <c r="CD376" s="72">
        <f t="shared" si="2804"/>
        <v>181</v>
      </c>
      <c r="CE376" s="71">
        <f t="shared" si="2805"/>
        <v>230</v>
      </c>
      <c r="CF376" s="72">
        <f t="shared" si="2806"/>
        <v>269</v>
      </c>
      <c r="CG376" s="71">
        <f t="shared" si="2807"/>
        <v>302</v>
      </c>
      <c r="CH376" s="70">
        <f t="shared" si="2808"/>
        <v>53</v>
      </c>
      <c r="CI376" s="71" t="str">
        <f t="shared" si="2809"/>
        <v>-</v>
      </c>
      <c r="CJ376" s="72">
        <f t="shared" si="2810"/>
        <v>86</v>
      </c>
      <c r="CK376" s="72" t="str">
        <f t="shared" si="2811"/>
        <v>-</v>
      </c>
      <c r="CL376" s="72">
        <f t="shared" si="2812"/>
        <v>128</v>
      </c>
      <c r="CM376" s="72">
        <f t="shared" si="2813"/>
        <v>136</v>
      </c>
      <c r="CN376" s="72">
        <f t="shared" si="2814"/>
        <v>163</v>
      </c>
      <c r="CO376" s="72">
        <f t="shared" si="2815"/>
        <v>177</v>
      </c>
      <c r="CP376" s="72">
        <f t="shared" si="2816"/>
        <v>223</v>
      </c>
      <c r="CQ376" s="72">
        <f t="shared" si="2817"/>
        <v>265</v>
      </c>
      <c r="CR376" s="72">
        <f t="shared" si="2818"/>
        <v>301</v>
      </c>
      <c r="CS376" s="72">
        <f t="shared" si="2819"/>
        <v>312</v>
      </c>
      <c r="CT376" s="23" t="e">
        <f t="shared" si="2820"/>
        <v>#VALUE!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29" x14ac:dyDescent="0.2">
      <c r="A377" s="3" t="str">
        <f t="shared" si="2821"/>
        <v>p2y12_human_4NTJ</v>
      </c>
      <c r="B377" s="3" t="s">
        <v>351</v>
      </c>
      <c r="C377" s="3" t="s">
        <v>1044</v>
      </c>
      <c r="D377" s="3" t="str">
        <f>IFERROR(MID(VLOOKUP($B377,Seqs!$A:$B,2,0),E377,1),"")</f>
        <v>Y</v>
      </c>
      <c r="E377" s="3">
        <v>21</v>
      </c>
      <c r="F377" s="3" t="str">
        <f>IFERROR(MID(VLOOKUP($B377,Seqs!$A:$B,2,0),G377,1),"")</f>
        <v>I</v>
      </c>
      <c r="G377" s="3">
        <v>53</v>
      </c>
      <c r="H377" s="3" t="str">
        <f>IFERROR(MID(VLOOKUP($B377,Seqs!$A:$B,2,0),I377,1),"")</f>
        <v/>
      </c>
      <c r="I377" s="23" t="s">
        <v>23</v>
      </c>
      <c r="J377" s="3" t="str">
        <f>IFERROR(MID(VLOOKUP($B377,Seqs!$A:$B,2,0),K377,1),"")</f>
        <v/>
      </c>
      <c r="K377" s="23" t="s">
        <v>23</v>
      </c>
      <c r="L377" s="3" t="str">
        <f>IFERROR(MID(VLOOKUP($B377,Seqs!$A:$B,2,0),M377,1),"")</f>
        <v>S</v>
      </c>
      <c r="M377" s="3">
        <v>57</v>
      </c>
      <c r="N377" s="3" t="str">
        <f>IFERROR(MID(VLOOKUP($B377,Seqs!$A:$B,2,0),O377,1),"")</f>
        <v>K</v>
      </c>
      <c r="O377" s="3">
        <v>86</v>
      </c>
      <c r="P377" s="3" t="str">
        <f>IFERROR(MID(VLOOKUP($B377,Seqs!$A:$B,2,0),Q377,1),"")</f>
        <v/>
      </c>
      <c r="Q377" s="3" t="s">
        <v>23</v>
      </c>
      <c r="R377" s="3" t="str">
        <f>IFERROR(MID(VLOOKUP($B377,Seqs!$A:$B,2,0),S377,1),"")</f>
        <v/>
      </c>
      <c r="S377" s="3" t="s">
        <v>23</v>
      </c>
      <c r="T377" s="3" t="str">
        <f>IFERROR(MID(VLOOKUP($B377,Seqs!$A:$B,2,0),U377,1),"")</f>
        <v>L</v>
      </c>
      <c r="U377" s="3">
        <v>92</v>
      </c>
      <c r="V377" s="3" t="str">
        <f>IFERROR(MID(VLOOKUP($B377,Seqs!$A:$B,2,0),W377,1),"")</f>
        <v>R</v>
      </c>
      <c r="W377" s="3">
        <v>128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N</v>
      </c>
      <c r="AC377" s="9">
        <v>137</v>
      </c>
      <c r="AD377" s="3" t="str">
        <f>IFERROR(MID(VLOOKUP($B377,Seqs!$A:$B,2,0),AE377,1),"")</f>
        <v>L</v>
      </c>
      <c r="AE377" s="3">
        <v>162</v>
      </c>
      <c r="AF377" s="3" t="str">
        <f>IFERROR(MID(VLOOKUP($B377,Seqs!$A:$B,2,0),AG377,1),"")</f>
        <v>C</v>
      </c>
      <c r="AG377" s="3">
        <v>175</v>
      </c>
      <c r="AH377" s="3" t="str">
        <f>IFERROR(MID(VLOOKUP($B377,Seqs!$A:$B,2,0),AI377,1),"")</f>
        <v>F</v>
      </c>
      <c r="AI377" s="3">
        <v>177</v>
      </c>
      <c r="AJ377" s="3" t="str">
        <f>IFERROR(MID(VLOOKUP($B377,Seqs!$A:$B,2,0),AK377,1),"")</f>
        <v>E</v>
      </c>
      <c r="AK377" s="3">
        <v>181</v>
      </c>
      <c r="AL377" s="3" t="str">
        <f>IFERROR(MID(VLOOKUP($B377,Seqs!$A:$B,2,0),AM377,1),"")</f>
        <v>T</v>
      </c>
      <c r="AM377" s="3">
        <v>223</v>
      </c>
      <c r="AN377" s="3" t="str">
        <f>IFERROR(MID(VLOOKUP($B377,Seqs!$A:$B,2,0),AO377,1),"")</f>
        <v>I</v>
      </c>
      <c r="AO377" s="3">
        <v>240</v>
      </c>
      <c r="AP377" s="3" t="str">
        <f>IFERROR(MID(VLOOKUP($B377,Seqs!$A:$B,2,0),AQ377,1),"")</f>
        <v>L</v>
      </c>
      <c r="AQ377" s="3">
        <v>261</v>
      </c>
      <c r="AR377" s="3" t="str">
        <f>IFERROR(MID(VLOOKUP($B377,Seqs!$A:$B,2,0),AS377,1),"")</f>
        <v>D</v>
      </c>
      <c r="AS377" s="3">
        <v>269</v>
      </c>
      <c r="AT377" s="3" t="str">
        <f>IFERROR(MID(VLOOKUP($B377,Seqs!$A:$B,2,0),AU377,1),"")</f>
        <v>L</v>
      </c>
      <c r="AU377" s="3">
        <v>301</v>
      </c>
      <c r="AV377" s="3" t="str">
        <f>IFERROR(MID(VLOOKUP($B377,Seqs!$A:$B,2,0),AW377,1),"")</f>
        <v>C</v>
      </c>
      <c r="AW377" s="3">
        <v>302</v>
      </c>
      <c r="AX377" s="3" t="str">
        <f>IFERROR(MID(VLOOKUP($B377,Seqs!$A:$B,2,0),AY377,1),"")</f>
        <v>M</v>
      </c>
      <c r="AY377" s="3">
        <v>312</v>
      </c>
      <c r="AZ377" s="77" t="str">
        <f>VLOOKUP(B377,Classification!A:D,2,0)</f>
        <v>A</v>
      </c>
      <c r="BA377" s="94" t="str">
        <f>VLOOKUP(B377,Classification!A:D,4,0)</f>
        <v>P2Y</v>
      </c>
      <c r="BB377" s="27" t="b">
        <f t="shared" si="2822"/>
        <v>1</v>
      </c>
      <c r="BC377" s="23">
        <f t="shared" si="2795"/>
        <v>241</v>
      </c>
      <c r="BD377" s="2" t="s">
        <v>1425</v>
      </c>
      <c r="BE377" s="3" t="s">
        <v>1424</v>
      </c>
      <c r="BF377" s="118">
        <v>2.62</v>
      </c>
      <c r="BG377" s="49" t="s">
        <v>1373</v>
      </c>
      <c r="BH377" s="49" t="s">
        <v>1373</v>
      </c>
      <c r="BI377" s="3" t="s">
        <v>1166</v>
      </c>
      <c r="BJ377" s="70" t="s">
        <v>1283</v>
      </c>
      <c r="BK377" s="57" t="s">
        <v>1283</v>
      </c>
      <c r="BL377" s="57" t="s">
        <v>1283</v>
      </c>
      <c r="BM377" s="57" t="s">
        <v>1283</v>
      </c>
      <c r="BN377" s="57" t="s">
        <v>1283</v>
      </c>
      <c r="BO377" s="57" t="s">
        <v>1283</v>
      </c>
      <c r="BP377" s="57" t="s">
        <v>1283</v>
      </c>
      <c r="BQ377" s="57" t="s">
        <v>1283</v>
      </c>
      <c r="BR377" s="57" t="s">
        <v>1283</v>
      </c>
      <c r="BS377" s="57" t="s">
        <v>1283</v>
      </c>
      <c r="BT377" s="57" t="s">
        <v>1283</v>
      </c>
      <c r="BU377" s="57" t="s">
        <v>1283</v>
      </c>
      <c r="BV377" s="70">
        <f t="shared" si="2796"/>
        <v>21</v>
      </c>
      <c r="BW377" s="71" t="str">
        <f t="shared" si="2797"/>
        <v>-</v>
      </c>
      <c r="BX377" s="72">
        <f t="shared" si="2798"/>
        <v>57</v>
      </c>
      <c r="BY377" s="71" t="str">
        <f t="shared" si="2799"/>
        <v>-</v>
      </c>
      <c r="BZ377" s="72">
        <f t="shared" si="2800"/>
        <v>92</v>
      </c>
      <c r="CA377" s="71" t="str">
        <f t="shared" si="2801"/>
        <v>-</v>
      </c>
      <c r="CB377" s="72">
        <f t="shared" si="2802"/>
        <v>137</v>
      </c>
      <c r="CC377" s="71">
        <f t="shared" si="2803"/>
        <v>175</v>
      </c>
      <c r="CD377" s="72">
        <f t="shared" si="2804"/>
        <v>181</v>
      </c>
      <c r="CE377" s="71">
        <f t="shared" si="2805"/>
        <v>240</v>
      </c>
      <c r="CF377" s="72">
        <f t="shared" si="2806"/>
        <v>269</v>
      </c>
      <c r="CG377" s="71">
        <f t="shared" si="2807"/>
        <v>302</v>
      </c>
      <c r="CH377" s="70">
        <f t="shared" si="2808"/>
        <v>53</v>
      </c>
      <c r="CI377" s="71" t="str">
        <f t="shared" si="2809"/>
        <v>-</v>
      </c>
      <c r="CJ377" s="72">
        <f t="shared" si="2810"/>
        <v>86</v>
      </c>
      <c r="CK377" s="72" t="str">
        <f t="shared" si="2811"/>
        <v>-</v>
      </c>
      <c r="CL377" s="72">
        <f t="shared" si="2812"/>
        <v>128</v>
      </c>
      <c r="CM377" s="72" t="str">
        <f t="shared" si="2813"/>
        <v>-</v>
      </c>
      <c r="CN377" s="72">
        <f t="shared" si="2814"/>
        <v>162</v>
      </c>
      <c r="CO377" s="72">
        <f t="shared" si="2815"/>
        <v>177</v>
      </c>
      <c r="CP377" s="72">
        <f t="shared" si="2816"/>
        <v>223</v>
      </c>
      <c r="CQ377" s="72">
        <f t="shared" si="2817"/>
        <v>261</v>
      </c>
      <c r="CR377" s="72">
        <f t="shared" si="2818"/>
        <v>301</v>
      </c>
      <c r="CS377" s="72">
        <f t="shared" si="2819"/>
        <v>312</v>
      </c>
      <c r="CT377" s="23" t="e">
        <f t="shared" si="2820"/>
        <v>#VALUE!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29" x14ac:dyDescent="0.2">
      <c r="A378" s="3" t="str">
        <f t="shared" si="2821"/>
        <v>p2y12_human_4PXZ</v>
      </c>
      <c r="B378" s="3" t="s">
        <v>351</v>
      </c>
      <c r="C378" s="3" t="s">
        <v>1148</v>
      </c>
      <c r="D378" s="3" t="str">
        <f>IFERROR(MID(VLOOKUP($B378,Seqs!$A:$B,2,0),E378,1),"")</f>
        <v>I</v>
      </c>
      <c r="E378" s="3">
        <v>23</v>
      </c>
      <c r="F378" s="3" t="str">
        <f>IFERROR(MID(VLOOKUP($B378,Seqs!$A:$B,2,0),G378,1),"")</f>
        <v>I</v>
      </c>
      <c r="G378" s="3">
        <v>53</v>
      </c>
      <c r="H378" s="3" t="str">
        <f>IFERROR(MID(VLOOKUP($B378,Seqs!$A:$B,2,0),I378,1),"")</f>
        <v/>
      </c>
      <c r="I378" s="23" t="s">
        <v>23</v>
      </c>
      <c r="J378" s="3" t="str">
        <f>IFERROR(MID(VLOOKUP($B378,Seqs!$A:$B,2,0),K378,1),"")</f>
        <v/>
      </c>
      <c r="K378" s="23" t="s">
        <v>23</v>
      </c>
      <c r="L378" s="3" t="str">
        <f>IFERROR(MID(VLOOKUP($B378,Seqs!$A:$B,2,0),M378,1),"")</f>
        <v>S</v>
      </c>
      <c r="M378" s="3">
        <v>57</v>
      </c>
      <c r="N378" s="3" t="str">
        <f>IFERROR(MID(VLOOKUP($B378,Seqs!$A:$B,2,0),O378,1),"")</f>
        <v>K</v>
      </c>
      <c r="O378" s="3">
        <v>86</v>
      </c>
      <c r="P378" s="3" t="str">
        <f>IFERROR(MID(VLOOKUP($B378,Seqs!$A:$B,2,0),Q378,1),"")</f>
        <v/>
      </c>
      <c r="Q378" s="3" t="s">
        <v>23</v>
      </c>
      <c r="R378" s="3" t="str">
        <f>IFERROR(MID(VLOOKUP($B378,Seqs!$A:$B,2,0),S378,1),"")</f>
        <v/>
      </c>
      <c r="S378" s="3" t="s">
        <v>23</v>
      </c>
      <c r="T378" s="3" t="str">
        <f>IFERROR(MID(VLOOKUP($B378,Seqs!$A:$B,2,0),U378,1),"")</f>
        <v>G</v>
      </c>
      <c r="U378" s="3">
        <v>90</v>
      </c>
      <c r="V378" s="3" t="str">
        <f>IFERROR(MID(VLOOKUP($B378,Seqs!$A:$B,2,0),W378,1),"")</f>
        <v>R</v>
      </c>
      <c r="W378" s="3">
        <v>128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N</v>
      </c>
      <c r="AC378" s="9">
        <v>137</v>
      </c>
      <c r="AD378" s="3" t="str">
        <f>IFERROR(MID(VLOOKUP($B378,Seqs!$A:$B,2,0),AE378,1),"")</f>
        <v>T</v>
      </c>
      <c r="AE378" s="3">
        <v>163</v>
      </c>
      <c r="AF378" s="3" t="str">
        <f>IFERROR(MID(VLOOKUP($B378,Seqs!$A:$B,2,0),AG378,1),"")</f>
        <v>C</v>
      </c>
      <c r="AG378" s="3">
        <v>175</v>
      </c>
      <c r="AH378" s="3" t="str">
        <f>IFERROR(MID(VLOOKUP($B378,Seqs!$A:$B,2,0),AI378,1),"")</f>
        <v>F</v>
      </c>
      <c r="AI378" s="3">
        <v>177</v>
      </c>
      <c r="AJ378" s="3" t="str">
        <f>IFERROR(MID(VLOOKUP($B378,Seqs!$A:$B,2,0),AK378,1),"")</f>
        <v>E</v>
      </c>
      <c r="AK378" s="3">
        <v>181</v>
      </c>
      <c r="AL378" s="3" t="str">
        <f>IFERROR(MID(VLOOKUP($B378,Seqs!$A:$B,2,0),AM378,1),"")</f>
        <v>S</v>
      </c>
      <c r="AM378" s="3">
        <v>219</v>
      </c>
      <c r="AN378" s="3" t="str">
        <f>IFERROR(MID(VLOOKUP($B378,Seqs!$A:$B,2,0),AO378,1),"")</f>
        <v>V</v>
      </c>
      <c r="AO378" s="3">
        <v>236</v>
      </c>
      <c r="AP378" s="3" t="str">
        <f>IFERROR(MID(VLOOKUP($B378,Seqs!$A:$B,2,0),AQ378,1),"")</f>
        <v>R</v>
      </c>
      <c r="AQ378" s="3">
        <v>265</v>
      </c>
      <c r="AR378" s="3" t="str">
        <f>IFERROR(MID(VLOOKUP($B378,Seqs!$A:$B,2,0),AS378,1),"")</f>
        <v>D</v>
      </c>
      <c r="AS378" s="3">
        <v>269</v>
      </c>
      <c r="AT378" s="3" t="str">
        <f>IFERROR(MID(VLOOKUP($B378,Seqs!$A:$B,2,0),AU378,1),"")</f>
        <v>C</v>
      </c>
      <c r="AU378" s="3">
        <v>292</v>
      </c>
      <c r="AV378" s="3" t="str">
        <f>IFERROR(MID(VLOOKUP($B378,Seqs!$A:$B,2,0),AW378,1),"")</f>
        <v/>
      </c>
      <c r="AW378" s="3" t="s">
        <v>23</v>
      </c>
      <c r="AX378" s="3" t="str">
        <f>IFERROR(MID(VLOOKUP($B378,Seqs!$A:$B,2,0),AY378,1),"")</f>
        <v/>
      </c>
      <c r="AY378" s="3" t="s">
        <v>23</v>
      </c>
      <c r="AZ378" s="77" t="str">
        <f>VLOOKUP(B378,Classification!A:D,2,0)</f>
        <v>A</v>
      </c>
      <c r="BA378" s="94" t="str">
        <f>VLOOKUP(B378,Classification!A:D,4,0)</f>
        <v>P2Y</v>
      </c>
      <c r="BB378" s="27" t="b">
        <f t="shared" si="2822"/>
        <v>1</v>
      </c>
      <c r="BC378" s="23">
        <f t="shared" si="2795"/>
        <v>227</v>
      </c>
      <c r="BD378" s="4" t="s">
        <v>23</v>
      </c>
      <c r="BE378" s="3" t="s">
        <v>1424</v>
      </c>
      <c r="BF378" s="118">
        <v>2.5</v>
      </c>
      <c r="BG378" s="49" t="s">
        <v>1373</v>
      </c>
      <c r="BH378" s="49" t="s">
        <v>1373</v>
      </c>
      <c r="BI378" s="1"/>
      <c r="BJ378" s="70" t="s">
        <v>1283</v>
      </c>
      <c r="BK378" s="57" t="s">
        <v>1283</v>
      </c>
      <c r="BL378" s="57" t="s">
        <v>1283</v>
      </c>
      <c r="BM378" s="57" t="s">
        <v>1283</v>
      </c>
      <c r="BN378" s="57" t="s">
        <v>1283</v>
      </c>
      <c r="BO378" s="57" t="s">
        <v>1283</v>
      </c>
      <c r="BP378" s="57" t="s">
        <v>1283</v>
      </c>
      <c r="BQ378" s="57" t="s">
        <v>1283</v>
      </c>
      <c r="BR378" s="57" t="s">
        <v>1283</v>
      </c>
      <c r="BS378" s="57" t="s">
        <v>1283</v>
      </c>
      <c r="BT378" s="57" t="s">
        <v>1283</v>
      </c>
      <c r="BU378" s="57" t="s">
        <v>1283</v>
      </c>
      <c r="BV378" s="70">
        <f t="shared" si="2796"/>
        <v>23</v>
      </c>
      <c r="BW378" s="71" t="str">
        <f t="shared" si="2797"/>
        <v>-</v>
      </c>
      <c r="BX378" s="72">
        <f t="shared" si="2798"/>
        <v>57</v>
      </c>
      <c r="BY378" s="71" t="str">
        <f t="shared" si="2799"/>
        <v>-</v>
      </c>
      <c r="BZ378" s="72">
        <f t="shared" si="2800"/>
        <v>90</v>
      </c>
      <c r="CA378" s="71" t="str">
        <f t="shared" si="2801"/>
        <v>-</v>
      </c>
      <c r="CB378" s="72">
        <f t="shared" si="2802"/>
        <v>137</v>
      </c>
      <c r="CC378" s="71">
        <f t="shared" si="2803"/>
        <v>175</v>
      </c>
      <c r="CD378" s="72">
        <f t="shared" si="2804"/>
        <v>181</v>
      </c>
      <c r="CE378" s="71">
        <f t="shared" si="2805"/>
        <v>236</v>
      </c>
      <c r="CF378" s="72">
        <f t="shared" si="2806"/>
        <v>269</v>
      </c>
      <c r="CG378" s="71" t="str">
        <f t="shared" si="2807"/>
        <v>-</v>
      </c>
      <c r="CH378" s="70">
        <f t="shared" si="2808"/>
        <v>53</v>
      </c>
      <c r="CI378" s="71" t="str">
        <f t="shared" si="2809"/>
        <v>-</v>
      </c>
      <c r="CJ378" s="72">
        <f t="shared" si="2810"/>
        <v>86</v>
      </c>
      <c r="CK378" s="72" t="str">
        <f t="shared" si="2811"/>
        <v>-</v>
      </c>
      <c r="CL378" s="72">
        <f t="shared" si="2812"/>
        <v>128</v>
      </c>
      <c r="CM378" s="72" t="str">
        <f t="shared" si="2813"/>
        <v>-</v>
      </c>
      <c r="CN378" s="72">
        <f t="shared" si="2814"/>
        <v>163</v>
      </c>
      <c r="CO378" s="72">
        <f t="shared" si="2815"/>
        <v>177</v>
      </c>
      <c r="CP378" s="72">
        <f t="shared" si="2816"/>
        <v>219</v>
      </c>
      <c r="CQ378" s="72">
        <f t="shared" si="2817"/>
        <v>265</v>
      </c>
      <c r="CR378" s="72">
        <f t="shared" si="2818"/>
        <v>292</v>
      </c>
      <c r="CS378" s="72" t="str">
        <f t="shared" si="2819"/>
        <v>-</v>
      </c>
      <c r="CT378" s="23" t="e">
        <f t="shared" si="2820"/>
        <v>#VALUE!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29" x14ac:dyDescent="0.2">
      <c r="A379" s="3" t="str">
        <f t="shared" si="2821"/>
        <v>p2y12_human_4PY0</v>
      </c>
      <c r="B379" s="3" t="s">
        <v>351</v>
      </c>
      <c r="C379" s="3" t="s">
        <v>1046</v>
      </c>
      <c r="D379" s="3" t="str">
        <f>IFERROR(MID(VLOOKUP($B379,Seqs!$A:$B,2,0),E379,1),"")</f>
        <v>I</v>
      </c>
      <c r="E379" s="3">
        <v>23</v>
      </c>
      <c r="F379" s="3" t="str">
        <f>IFERROR(MID(VLOOKUP($B379,Seqs!$A:$B,2,0),G379,1),"")</f>
        <v>I</v>
      </c>
      <c r="G379" s="3">
        <v>53</v>
      </c>
      <c r="H379" s="3" t="str">
        <f>IFERROR(MID(VLOOKUP($B379,Seqs!$A:$B,2,0),I379,1),"")</f>
        <v/>
      </c>
      <c r="I379" s="23" t="s">
        <v>23</v>
      </c>
      <c r="J379" s="3" t="str">
        <f>IFERROR(MID(VLOOKUP($B379,Seqs!$A:$B,2,0),K379,1),"")</f>
        <v/>
      </c>
      <c r="K379" s="23" t="s">
        <v>23</v>
      </c>
      <c r="L379" s="3" t="str">
        <f>IFERROR(MID(VLOOKUP($B379,Seqs!$A:$B,2,0),M379,1),"")</f>
        <v>S</v>
      </c>
      <c r="M379" s="3">
        <v>57</v>
      </c>
      <c r="N379" s="3" t="str">
        <f>IFERROR(MID(VLOOKUP($B379,Seqs!$A:$B,2,0),O379,1),"")</f>
        <v>K</v>
      </c>
      <c r="O379" s="3">
        <v>86</v>
      </c>
      <c r="P379" s="3" t="str">
        <f>IFERROR(MID(VLOOKUP($B379,Seqs!$A:$B,2,0),Q379,1),"")</f>
        <v/>
      </c>
      <c r="Q379" s="3" t="s">
        <v>23</v>
      </c>
      <c r="R379" s="3" t="str">
        <f>IFERROR(MID(VLOOKUP($B379,Seqs!$A:$B,2,0),S379,1),"")</f>
        <v/>
      </c>
      <c r="S379" s="3" t="s">
        <v>23</v>
      </c>
      <c r="T379" s="3" t="str">
        <f>IFERROR(MID(VLOOKUP($B379,Seqs!$A:$B,2,0),U379,1),"")</f>
        <v>G</v>
      </c>
      <c r="U379" s="3">
        <v>90</v>
      </c>
      <c r="V379" s="3" t="str">
        <f>IFERROR(MID(VLOOKUP($B379,Seqs!$A:$B,2,0),W379,1),"")</f>
        <v>R</v>
      </c>
      <c r="W379" s="3">
        <v>128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N</v>
      </c>
      <c r="AC379" s="9">
        <v>137</v>
      </c>
      <c r="AD379" s="3" t="str">
        <f>IFERROR(MID(VLOOKUP($B379,Seqs!$A:$B,2,0),AE379,1),"")</f>
        <v>T</v>
      </c>
      <c r="AE379" s="3">
        <v>163</v>
      </c>
      <c r="AF379" s="3" t="str">
        <f>IFERROR(MID(VLOOKUP($B379,Seqs!$A:$B,2,0),AG379,1),"")</f>
        <v>C</v>
      </c>
      <c r="AG379" s="3">
        <v>175</v>
      </c>
      <c r="AH379" s="3" t="str">
        <f>IFERROR(MID(VLOOKUP($B379,Seqs!$A:$B,2,0),AI379,1),"")</f>
        <v>F</v>
      </c>
      <c r="AI379" s="3">
        <v>177</v>
      </c>
      <c r="AJ379" s="3" t="str">
        <f>IFERROR(MID(VLOOKUP($B379,Seqs!$A:$B,2,0),AK379,1),"")</f>
        <v>E</v>
      </c>
      <c r="AK379" s="3">
        <v>181</v>
      </c>
      <c r="AL379" s="3" t="str">
        <f>IFERROR(MID(VLOOKUP($B379,Seqs!$A:$B,2,0),AM379,1),"")</f>
        <v>S</v>
      </c>
      <c r="AM379" s="3">
        <v>219</v>
      </c>
      <c r="AN379" s="3" t="str">
        <f>IFERROR(MID(VLOOKUP($B379,Seqs!$A:$B,2,0),AO379,1),"")</f>
        <v>V</v>
      </c>
      <c r="AO379" s="3">
        <v>236</v>
      </c>
      <c r="AP379" s="3" t="str">
        <f>IFERROR(MID(VLOOKUP($B379,Seqs!$A:$B,2,0),AQ379,1),"")</f>
        <v>R</v>
      </c>
      <c r="AQ379" s="3">
        <v>265</v>
      </c>
      <c r="AR379" s="3" t="str">
        <f>IFERROR(MID(VLOOKUP($B379,Seqs!$A:$B,2,0),AS379,1),"")</f>
        <v>D</v>
      </c>
      <c r="AS379" s="3">
        <v>269</v>
      </c>
      <c r="AT379" s="3" t="str">
        <f>IFERROR(MID(VLOOKUP($B379,Seqs!$A:$B,2,0),AU379,1),"")</f>
        <v>C</v>
      </c>
      <c r="AU379" s="3">
        <v>292</v>
      </c>
      <c r="AV379" s="3" t="str">
        <f>IFERROR(MID(VLOOKUP($B379,Seqs!$A:$B,2,0),AW379,1),"")</f>
        <v/>
      </c>
      <c r="AW379" s="3" t="s">
        <v>23</v>
      </c>
      <c r="AX379" s="3" t="str">
        <f>IFERROR(MID(VLOOKUP($B379,Seqs!$A:$B,2,0),AY379,1),"")</f>
        <v/>
      </c>
      <c r="AY379" s="3" t="s">
        <v>23</v>
      </c>
      <c r="AZ379" s="77" t="str">
        <f>VLOOKUP(B379,Classification!A:D,2,0)</f>
        <v>A</v>
      </c>
      <c r="BA379" s="94" t="str">
        <f>VLOOKUP(B379,Classification!A:D,4,0)</f>
        <v>P2Y</v>
      </c>
      <c r="BB379" s="27" t="b">
        <f t="shared" si="2822"/>
        <v>1</v>
      </c>
      <c r="BC379" s="23">
        <f t="shared" si="2795"/>
        <v>227</v>
      </c>
      <c r="BD379" s="4" t="s">
        <v>23</v>
      </c>
      <c r="BE379" s="3" t="s">
        <v>1424</v>
      </c>
      <c r="BF379" s="118">
        <v>3.1</v>
      </c>
      <c r="BG379" s="49" t="s">
        <v>1373</v>
      </c>
      <c r="BH379" s="49" t="s">
        <v>1373</v>
      </c>
      <c r="BI379" s="1"/>
      <c r="BJ379" s="70" t="s">
        <v>1283</v>
      </c>
      <c r="BK379" s="57" t="s">
        <v>1283</v>
      </c>
      <c r="BL379" s="57" t="s">
        <v>1283</v>
      </c>
      <c r="BM379" s="57" t="s">
        <v>1283</v>
      </c>
      <c r="BN379" s="57" t="s">
        <v>1283</v>
      </c>
      <c r="BO379" s="57" t="s">
        <v>1283</v>
      </c>
      <c r="BP379" s="57" t="s">
        <v>1283</v>
      </c>
      <c r="BQ379" s="57" t="s">
        <v>1283</v>
      </c>
      <c r="BR379" s="57" t="s">
        <v>1283</v>
      </c>
      <c r="BS379" s="57" t="s">
        <v>1283</v>
      </c>
      <c r="BT379" s="57" t="s">
        <v>1283</v>
      </c>
      <c r="BU379" s="57" t="s">
        <v>1283</v>
      </c>
      <c r="BV379" s="70">
        <f t="shared" si="2796"/>
        <v>23</v>
      </c>
      <c r="BW379" s="71" t="str">
        <f t="shared" si="2797"/>
        <v>-</v>
      </c>
      <c r="BX379" s="72">
        <f t="shared" si="2798"/>
        <v>57</v>
      </c>
      <c r="BY379" s="71" t="str">
        <f t="shared" si="2799"/>
        <v>-</v>
      </c>
      <c r="BZ379" s="72">
        <f t="shared" si="2800"/>
        <v>90</v>
      </c>
      <c r="CA379" s="71" t="str">
        <f t="shared" si="2801"/>
        <v>-</v>
      </c>
      <c r="CB379" s="72">
        <f t="shared" si="2802"/>
        <v>137</v>
      </c>
      <c r="CC379" s="71">
        <f t="shared" si="2803"/>
        <v>175</v>
      </c>
      <c r="CD379" s="72">
        <f t="shared" si="2804"/>
        <v>181</v>
      </c>
      <c r="CE379" s="71">
        <f t="shared" si="2805"/>
        <v>236</v>
      </c>
      <c r="CF379" s="72">
        <f t="shared" si="2806"/>
        <v>269</v>
      </c>
      <c r="CG379" s="71" t="str">
        <f t="shared" si="2807"/>
        <v>-</v>
      </c>
      <c r="CH379" s="70">
        <f t="shared" si="2808"/>
        <v>53</v>
      </c>
      <c r="CI379" s="71" t="str">
        <f t="shared" si="2809"/>
        <v>-</v>
      </c>
      <c r="CJ379" s="72">
        <f t="shared" si="2810"/>
        <v>86</v>
      </c>
      <c r="CK379" s="72" t="str">
        <f t="shared" si="2811"/>
        <v>-</v>
      </c>
      <c r="CL379" s="72">
        <f t="shared" si="2812"/>
        <v>128</v>
      </c>
      <c r="CM379" s="72" t="str">
        <f t="shared" si="2813"/>
        <v>-</v>
      </c>
      <c r="CN379" s="72">
        <f t="shared" si="2814"/>
        <v>163</v>
      </c>
      <c r="CO379" s="72">
        <f t="shared" si="2815"/>
        <v>177</v>
      </c>
      <c r="CP379" s="72">
        <f t="shared" si="2816"/>
        <v>219</v>
      </c>
      <c r="CQ379" s="72">
        <f t="shared" si="2817"/>
        <v>265</v>
      </c>
      <c r="CR379" s="72">
        <f t="shared" si="2818"/>
        <v>292</v>
      </c>
      <c r="CS379" s="72" t="str">
        <f t="shared" si="2819"/>
        <v>-</v>
      </c>
      <c r="CT379" s="23" t="e">
        <f t="shared" si="2820"/>
        <v>#VALUE!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29" x14ac:dyDescent="0.2">
      <c r="A380" s="3" t="str">
        <f t="shared" si="2821"/>
        <v>par1_human__wt</v>
      </c>
      <c r="B380" s="3" t="s">
        <v>354</v>
      </c>
      <c r="C380" s="3" t="s">
        <v>100</v>
      </c>
      <c r="D380" s="3" t="str">
        <f>IFERROR(MID(VLOOKUP($B380,Seqs!$A:$B,2,0),E380,1),"")</f>
        <v>S</v>
      </c>
      <c r="E380" s="3">
        <v>99</v>
      </c>
      <c r="F380" s="3" t="str">
        <f>IFERROR(MID(VLOOKUP($B380,Seqs!$A:$B,2,0),G380,1),"")</f>
        <v>K</v>
      </c>
      <c r="G380" s="3">
        <v>130</v>
      </c>
      <c r="H380" s="3" t="str">
        <f>IFERROR(MID(VLOOKUP($B380,Seqs!$A:$B,2,0),I380,1),"")</f>
        <v>M</v>
      </c>
      <c r="I380" s="23">
        <v>131</v>
      </c>
      <c r="J380" s="3" t="str">
        <f>IFERROR(MID(VLOOKUP($B380,Seqs!$A:$B,2,0),K380,1),"")</f>
        <v>K</v>
      </c>
      <c r="K380" s="23">
        <v>134</v>
      </c>
      <c r="L380" s="3" t="str">
        <f>IFERROR(MID(VLOOKUP($B380,Seqs!$A:$B,2,0),M380,1),"")</f>
        <v>K</v>
      </c>
      <c r="M380" s="3">
        <v>135</v>
      </c>
      <c r="N380" s="3" t="str">
        <f>IFERROR(MID(VLOOKUP($B380,Seqs!$A:$B,2,0),O380,1),"")</f>
        <v>S</v>
      </c>
      <c r="O380" s="3">
        <v>164</v>
      </c>
      <c r="P380" s="3" t="str">
        <f>IFERROR(MID(VLOOKUP($B380,Seqs!$A:$B,2,0),Q380,1),"")</f>
        <v>D</v>
      </c>
      <c r="Q380" s="3">
        <v>167</v>
      </c>
      <c r="R380" s="3" t="str">
        <f>IFERROR(MID(VLOOKUP($B380,Seqs!$A:$B,2,0),S380,1),"")</f>
        <v>F</v>
      </c>
      <c r="S380" s="3">
        <v>170</v>
      </c>
      <c r="T380" s="3" t="str">
        <f>IFERROR(MID(VLOOKUP($B380,Seqs!$A:$B,2,0),U380,1),"")</f>
        <v>G</v>
      </c>
      <c r="U380" s="3">
        <v>171</v>
      </c>
      <c r="V380" s="3" t="str">
        <f>IFERROR(MID(VLOOKUP($B380,Seqs!$A:$B,2,0),W380,1),"")</f>
        <v>Y</v>
      </c>
      <c r="W380" s="3">
        <v>206</v>
      </c>
      <c r="X380" s="3" t="str">
        <f>IFERROR(MID(VLOOKUP($B380,Seqs!$A:$B,2,0),Y380,1),"")</f>
        <v>P</v>
      </c>
      <c r="Y380" s="3">
        <v>207</v>
      </c>
      <c r="Z380" s="3" t="str">
        <f>IFERROR(MID(VLOOKUP($B380,Seqs!$A:$B,2,0),AA380,1),"")</f>
        <v>R</v>
      </c>
      <c r="AA380" s="3">
        <v>214</v>
      </c>
      <c r="AB380" s="3" t="str">
        <f>IFERROR(MID(VLOOKUP($B380,Seqs!$A:$B,2,0),AC380,1),"")</f>
        <v>T</v>
      </c>
      <c r="AC380" s="9">
        <v>215</v>
      </c>
      <c r="AD380" s="3" t="str">
        <f>IFERROR(MID(VLOOKUP($B380,Seqs!$A:$B,2,0),AE380,1),"")</f>
        <v>K</v>
      </c>
      <c r="AE380" s="3">
        <v>240</v>
      </c>
      <c r="AF380" s="3" t="str">
        <f>IFERROR(MID(VLOOKUP($B380,Seqs!$A:$B,2,0),AG380,1),"")</f>
        <v>C</v>
      </c>
      <c r="AG380" s="3">
        <v>254</v>
      </c>
      <c r="AH380" s="3" t="str">
        <f>IFERROR(MID(VLOOKUP($B380,Seqs!$A:$B,2,0),AI380,1),"")</f>
        <v>D</v>
      </c>
      <c r="AI380" s="3">
        <v>256</v>
      </c>
      <c r="AJ380" s="3" t="str">
        <f>IFERROR(MID(VLOOKUP($B380,Seqs!$A:$B,2,0),AK380,1),"")</f>
        <v>E</v>
      </c>
      <c r="AK380" s="3">
        <v>264</v>
      </c>
      <c r="AL380" s="3" t="str">
        <f>IFERROR(MID(VLOOKUP($B380,Seqs!$A:$B,2,0),AM380,1),"")</f>
        <v>S</v>
      </c>
      <c r="AM380" s="3">
        <v>299</v>
      </c>
      <c r="AN380" s="3" t="str">
        <f>IFERROR(MID(VLOOKUP($B380,Seqs!$A:$B,2,0),AO380,1),"")</f>
        <v>N</v>
      </c>
      <c r="AO380" s="3">
        <v>304</v>
      </c>
      <c r="AP380" s="3" t="str">
        <f>IFERROR(MID(VLOOKUP($B380,Seqs!$A:$B,2,0),AQ380,1),"")</f>
        <v>L</v>
      </c>
      <c r="AQ380" s="3">
        <v>340</v>
      </c>
      <c r="AR380" s="3" t="str">
        <f>IFERROR(MID(VLOOKUP($B380,Seqs!$A:$B,2,0),AS380,1),"")</f>
        <v>T</v>
      </c>
      <c r="AS380" s="3">
        <v>346</v>
      </c>
      <c r="AT380" s="3" t="str">
        <f>IFERROR(MID(VLOOKUP($B380,Seqs!$A:$B,2,0),AU380,1),"")</f>
        <v>A</v>
      </c>
      <c r="AU380" s="3">
        <v>374</v>
      </c>
      <c r="AV380" s="3" t="str">
        <f>IFERROR(MID(VLOOKUP($B380,Seqs!$A:$B,2,0),AW380,1),"")</f>
        <v>S</v>
      </c>
      <c r="AW380" s="3">
        <v>375</v>
      </c>
      <c r="AX380" s="3" t="str">
        <f>IFERROR(MID(VLOOKUP($B380,Seqs!$A:$B,2,0),AY380,1),"")</f>
        <v>K</v>
      </c>
      <c r="AY380" s="3">
        <v>389</v>
      </c>
      <c r="AZ380" s="77" t="str">
        <f>VLOOKUP(B380,Classification!A:D,2,0)</f>
        <v>A</v>
      </c>
      <c r="BA380" s="94" t="str">
        <f>VLOOKUP(B380,Classification!A:D,4,0)</f>
        <v>Proteinase-activated</v>
      </c>
      <c r="BB380" s="27" t="b">
        <f t="shared" si="2822"/>
        <v>1</v>
      </c>
      <c r="BC380" s="23">
        <f t="shared" si="2795"/>
        <v>260</v>
      </c>
      <c r="BD380" s="56" t="s">
        <v>23</v>
      </c>
      <c r="BE380" s="3" t="s">
        <v>23</v>
      </c>
      <c r="BF380" s="118" t="s">
        <v>23</v>
      </c>
      <c r="BG380" s="49" t="s">
        <v>1368</v>
      </c>
      <c r="BH380" s="49" t="s">
        <v>1373</v>
      </c>
      <c r="BI380" s="1"/>
      <c r="BJ380" s="70" t="s">
        <v>1283</v>
      </c>
      <c r="BK380" s="57" t="s">
        <v>1283</v>
      </c>
      <c r="BL380" s="57" t="s">
        <v>1283</v>
      </c>
      <c r="BM380" s="57" t="s">
        <v>1283</v>
      </c>
      <c r="BN380" s="57" t="s">
        <v>1283</v>
      </c>
      <c r="BO380" s="57" t="s">
        <v>1283</v>
      </c>
      <c r="BP380" s="57" t="s">
        <v>1283</v>
      </c>
      <c r="BQ380" s="57" t="s">
        <v>1283</v>
      </c>
      <c r="BR380" s="57" t="s">
        <v>1283</v>
      </c>
      <c r="BS380" s="57" t="s">
        <v>1283</v>
      </c>
      <c r="BT380" s="57" t="s">
        <v>1283</v>
      </c>
      <c r="BU380" s="57" t="s">
        <v>1283</v>
      </c>
      <c r="BV380" s="70">
        <f t="shared" si="2796"/>
        <v>99</v>
      </c>
      <c r="BW380" s="71">
        <f t="shared" si="2797"/>
        <v>131</v>
      </c>
      <c r="BX380" s="72">
        <f t="shared" si="2798"/>
        <v>135</v>
      </c>
      <c r="BY380" s="71">
        <f t="shared" si="2799"/>
        <v>167</v>
      </c>
      <c r="BZ380" s="72">
        <f t="shared" si="2800"/>
        <v>171</v>
      </c>
      <c r="CA380" s="71">
        <f t="shared" si="2801"/>
        <v>207</v>
      </c>
      <c r="CB380" s="72">
        <f t="shared" si="2802"/>
        <v>215</v>
      </c>
      <c r="CC380" s="71">
        <f t="shared" si="2803"/>
        <v>254</v>
      </c>
      <c r="CD380" s="72">
        <f t="shared" si="2804"/>
        <v>264</v>
      </c>
      <c r="CE380" s="71">
        <f t="shared" si="2805"/>
        <v>304</v>
      </c>
      <c r="CF380" s="72">
        <f t="shared" si="2806"/>
        <v>346</v>
      </c>
      <c r="CG380" s="71">
        <f t="shared" si="2807"/>
        <v>375</v>
      </c>
      <c r="CH380" s="70">
        <f t="shared" si="2808"/>
        <v>130</v>
      </c>
      <c r="CI380" s="71">
        <f t="shared" si="2809"/>
        <v>134</v>
      </c>
      <c r="CJ380" s="72">
        <f t="shared" si="2810"/>
        <v>164</v>
      </c>
      <c r="CK380" s="72">
        <f t="shared" si="2811"/>
        <v>170</v>
      </c>
      <c r="CL380" s="72">
        <f t="shared" si="2812"/>
        <v>206</v>
      </c>
      <c r="CM380" s="72">
        <f t="shared" si="2813"/>
        <v>214</v>
      </c>
      <c r="CN380" s="72">
        <f t="shared" si="2814"/>
        <v>240</v>
      </c>
      <c r="CO380" s="72">
        <f t="shared" si="2815"/>
        <v>256</v>
      </c>
      <c r="CP380" s="72">
        <f t="shared" si="2816"/>
        <v>299</v>
      </c>
      <c r="CQ380" s="72">
        <f t="shared" si="2817"/>
        <v>340</v>
      </c>
      <c r="CR380" s="72">
        <f t="shared" si="2818"/>
        <v>374</v>
      </c>
      <c r="CS380" s="72">
        <f t="shared" si="2819"/>
        <v>389</v>
      </c>
      <c r="CT380" s="23">
        <f t="shared" si="2820"/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</row>
    <row r="381" spans="1:1029" x14ac:dyDescent="0.2">
      <c r="A381" s="3" t="str">
        <f t="shared" si="2821"/>
        <v>par1_human_3VW7</v>
      </c>
      <c r="B381" s="3" t="s">
        <v>354</v>
      </c>
      <c r="C381" s="3" t="s">
        <v>93</v>
      </c>
      <c r="D381" s="3" t="str">
        <f>IFERROR(MID(VLOOKUP($B381,Seqs!$A:$B,2,0),E381,1),"")</f>
        <v>S</v>
      </c>
      <c r="E381" s="3">
        <v>99</v>
      </c>
      <c r="F381" s="3" t="str">
        <f>IFERROR(MID(VLOOKUP($B381,Seqs!$A:$B,2,0),G381,1),"")</f>
        <v>K</v>
      </c>
      <c r="G381" s="3">
        <v>130</v>
      </c>
      <c r="H381" s="3" t="str">
        <f>IFERROR(MID(VLOOKUP($B381,Seqs!$A:$B,2,0),I381,1),"")</f>
        <v/>
      </c>
      <c r="I381" s="23" t="s">
        <v>23</v>
      </c>
      <c r="J381" s="3" t="str">
        <f>IFERROR(MID(VLOOKUP($B381,Seqs!$A:$B,2,0),K381,1),"")</f>
        <v/>
      </c>
      <c r="K381" s="23" t="s">
        <v>23</v>
      </c>
      <c r="L381" s="3" t="str">
        <f>IFERROR(MID(VLOOKUP($B381,Seqs!$A:$B,2,0),M381,1),"")</f>
        <v>K</v>
      </c>
      <c r="M381" s="3">
        <v>135</v>
      </c>
      <c r="N381" s="3" t="str">
        <f>IFERROR(MID(VLOOKUP($B381,Seqs!$A:$B,2,0),O381,1),"")</f>
        <v>S</v>
      </c>
      <c r="O381" s="3">
        <v>164</v>
      </c>
      <c r="P381" s="3" t="str">
        <f>IFERROR(MID(VLOOKUP($B381,Seqs!$A:$B,2,0),Q381,1),"")</f>
        <v>D</v>
      </c>
      <c r="Q381" s="3">
        <v>167</v>
      </c>
      <c r="R381" s="3" t="str">
        <f>IFERROR(MID(VLOOKUP($B381,Seqs!$A:$B,2,0),S381,1),"")</f>
        <v>F</v>
      </c>
      <c r="S381" s="3">
        <v>170</v>
      </c>
      <c r="T381" s="3" t="str">
        <f>IFERROR(MID(VLOOKUP($B381,Seqs!$A:$B,2,0),U381,1),"")</f>
        <v>G</v>
      </c>
      <c r="U381" s="3">
        <v>171</v>
      </c>
      <c r="V381" s="3" t="str">
        <f>IFERROR(MID(VLOOKUP($B381,Seqs!$A:$B,2,0),W381,1),"")</f>
        <v>Y</v>
      </c>
      <c r="W381" s="3">
        <v>206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T</v>
      </c>
      <c r="AC381" s="9">
        <v>215</v>
      </c>
      <c r="AD381" s="3" t="str">
        <f>IFERROR(MID(VLOOKUP($B381,Seqs!$A:$B,2,0),AE381,1),"")</f>
        <v>K</v>
      </c>
      <c r="AE381" s="3">
        <v>240</v>
      </c>
      <c r="AF381" s="3" t="str">
        <f>IFERROR(MID(VLOOKUP($B381,Seqs!$A:$B,2,0),AG381,1),"")</f>
        <v>C</v>
      </c>
      <c r="AG381" s="3">
        <v>254</v>
      </c>
      <c r="AH381" s="3" t="str">
        <f>IFERROR(MID(VLOOKUP($B381,Seqs!$A:$B,2,0),AI381,1),"")</f>
        <v>D</v>
      </c>
      <c r="AI381" s="3">
        <v>256</v>
      </c>
      <c r="AJ381" s="3" t="str">
        <f>IFERROR(MID(VLOOKUP($B381,Seqs!$A:$B,2,0),AK381,1),"")</f>
        <v>E</v>
      </c>
      <c r="AK381" s="3">
        <v>264</v>
      </c>
      <c r="AL381" s="3" t="str">
        <f>IFERROR(MID(VLOOKUP($B381,Seqs!$A:$B,2,0),AM381,1),"")</f>
        <v>S</v>
      </c>
      <c r="AM381" s="3">
        <v>300</v>
      </c>
      <c r="AN381" s="3" t="str">
        <f>IFERROR(MID(VLOOKUP($B381,Seqs!$A:$B,2,0),AO381,1),"")</f>
        <v>N</v>
      </c>
      <c r="AO381" s="3">
        <v>304</v>
      </c>
      <c r="AP381" s="3" t="str">
        <f>IFERROR(MID(VLOOKUP($B381,Seqs!$A:$B,2,0),AQ381,1),"")</f>
        <v>L</v>
      </c>
      <c r="AQ381" s="3">
        <v>340</v>
      </c>
      <c r="AR381" s="3" t="str">
        <f>IFERROR(MID(VLOOKUP($B381,Seqs!$A:$B,2,0),AS381,1),"")</f>
        <v>T</v>
      </c>
      <c r="AS381" s="3">
        <v>346</v>
      </c>
      <c r="AT381" s="3" t="str">
        <f>IFERROR(MID(VLOOKUP($B381,Seqs!$A:$B,2,0),AU381,1),"")</f>
        <v>Y</v>
      </c>
      <c r="AU381" s="3">
        <v>372</v>
      </c>
      <c r="AV381" s="3" t="str">
        <f>IFERROR(MID(VLOOKUP($B381,Seqs!$A:$B,2,0),AW381,1),"")</f>
        <v/>
      </c>
      <c r="AW381" s="3" t="s">
        <v>23</v>
      </c>
      <c r="AX381" s="3" t="str">
        <f>IFERROR(MID(VLOOKUP($B381,Seqs!$A:$B,2,0),AY381,1),"")</f>
        <v/>
      </c>
      <c r="AY381" s="3" t="s">
        <v>23</v>
      </c>
      <c r="AZ381" s="77" t="str">
        <f>VLOOKUP(B381,Classification!A:D,2,0)</f>
        <v>A</v>
      </c>
      <c r="BA381" s="94" t="str">
        <f>VLOOKUP(B381,Classification!A:D,4,0)</f>
        <v>Proteinase-activated</v>
      </c>
      <c r="BB381" s="27" t="b">
        <f t="shared" si="2822"/>
        <v>1</v>
      </c>
      <c r="BC381" s="23">
        <f t="shared" si="2795"/>
        <v>235</v>
      </c>
      <c r="BD381" s="2" t="s">
        <v>1425</v>
      </c>
      <c r="BE381" s="3" t="s">
        <v>1424</v>
      </c>
      <c r="BF381" s="118">
        <v>2.2000000000000002</v>
      </c>
      <c r="BG381" s="49" t="s">
        <v>1373</v>
      </c>
      <c r="BH381" s="49" t="s">
        <v>1373</v>
      </c>
      <c r="BI381" s="1"/>
      <c r="BJ381" s="70" t="s">
        <v>1283</v>
      </c>
      <c r="BK381" s="57" t="s">
        <v>1283</v>
      </c>
      <c r="BL381" s="57" t="s">
        <v>1283</v>
      </c>
      <c r="BM381" s="57" t="s">
        <v>1283</v>
      </c>
      <c r="BN381" s="57" t="s">
        <v>1283</v>
      </c>
      <c r="BO381" s="57" t="s">
        <v>1283</v>
      </c>
      <c r="BP381" s="57" t="s">
        <v>1283</v>
      </c>
      <c r="BQ381" s="57" t="s">
        <v>1283</v>
      </c>
      <c r="BR381" s="57" t="s">
        <v>1283</v>
      </c>
      <c r="BS381" s="57" t="s">
        <v>1283</v>
      </c>
      <c r="BT381" s="57" t="s">
        <v>1283</v>
      </c>
      <c r="BU381" s="57" t="s">
        <v>1283</v>
      </c>
      <c r="BV381" s="70">
        <f t="shared" si="2796"/>
        <v>99</v>
      </c>
      <c r="BW381" s="71" t="str">
        <f t="shared" si="2797"/>
        <v>-</v>
      </c>
      <c r="BX381" s="72">
        <f t="shared" si="2798"/>
        <v>135</v>
      </c>
      <c r="BY381" s="71">
        <f t="shared" si="2799"/>
        <v>167</v>
      </c>
      <c r="BZ381" s="72">
        <f t="shared" si="2800"/>
        <v>171</v>
      </c>
      <c r="CA381" s="71" t="str">
        <f t="shared" si="2801"/>
        <v>-</v>
      </c>
      <c r="CB381" s="72">
        <f t="shared" si="2802"/>
        <v>215</v>
      </c>
      <c r="CC381" s="71">
        <f t="shared" si="2803"/>
        <v>254</v>
      </c>
      <c r="CD381" s="72">
        <f t="shared" si="2804"/>
        <v>264</v>
      </c>
      <c r="CE381" s="71">
        <f t="shared" si="2805"/>
        <v>304</v>
      </c>
      <c r="CF381" s="72">
        <f t="shared" si="2806"/>
        <v>346</v>
      </c>
      <c r="CG381" s="71" t="str">
        <f t="shared" si="2807"/>
        <v>-</v>
      </c>
      <c r="CH381" s="70">
        <f t="shared" si="2808"/>
        <v>130</v>
      </c>
      <c r="CI381" s="71" t="str">
        <f t="shared" si="2809"/>
        <v>-</v>
      </c>
      <c r="CJ381" s="72">
        <f t="shared" si="2810"/>
        <v>164</v>
      </c>
      <c r="CK381" s="72">
        <f t="shared" si="2811"/>
        <v>170</v>
      </c>
      <c r="CL381" s="72">
        <f t="shared" si="2812"/>
        <v>206</v>
      </c>
      <c r="CM381" s="72" t="str">
        <f t="shared" si="2813"/>
        <v>-</v>
      </c>
      <c r="CN381" s="72">
        <f t="shared" si="2814"/>
        <v>240</v>
      </c>
      <c r="CO381" s="72">
        <f t="shared" si="2815"/>
        <v>256</v>
      </c>
      <c r="CP381" s="72">
        <f t="shared" si="2816"/>
        <v>300</v>
      </c>
      <c r="CQ381" s="72">
        <f t="shared" si="2817"/>
        <v>340</v>
      </c>
      <c r="CR381" s="72">
        <f t="shared" si="2818"/>
        <v>372</v>
      </c>
      <c r="CS381" s="72" t="str">
        <f t="shared" si="2819"/>
        <v>-</v>
      </c>
      <c r="CT381" s="23" t="e">
        <f t="shared" si="2820"/>
        <v>#VALUE!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29" x14ac:dyDescent="0.2">
      <c r="A382" s="3" t="str">
        <f t="shared" ref="A382:A401" si="3439">CONCATENATE(B382,"_",C382)</f>
        <v>par2_human__wt</v>
      </c>
      <c r="B382" s="3" t="s">
        <v>355</v>
      </c>
      <c r="C382" s="3" t="s">
        <v>100</v>
      </c>
      <c r="D382" s="3" t="str">
        <f>IFERROR(MID(VLOOKUP($B382,Seqs!$A:$B,2,0),E382,1),"")</f>
        <v>G</v>
      </c>
      <c r="E382" s="3">
        <v>71</v>
      </c>
      <c r="F382" s="3" t="str">
        <f>IFERROR(MID(VLOOKUP($B382,Seqs!$A:$B,2,0),G382,1),"")</f>
        <v>R</v>
      </c>
      <c r="G382" s="3">
        <v>103</v>
      </c>
      <c r="H382" s="3" t="str">
        <f>IFERROR(MID(VLOOKUP($B382,Seqs!$A:$B,2,0),I382,1),"")</f>
        <v/>
      </c>
      <c r="I382" s="23" t="s">
        <v>23</v>
      </c>
      <c r="J382" s="3" t="str">
        <f>IFERROR(MID(VLOOKUP($B382,Seqs!$A:$B,2,0),K382,1),"")</f>
        <v/>
      </c>
      <c r="K382" s="23" t="s">
        <v>23</v>
      </c>
      <c r="L382" s="3" t="str">
        <f>IFERROR(MID(VLOOKUP($B382,Seqs!$A:$B,2,0),M382,1),"")</f>
        <v>H</v>
      </c>
      <c r="M382" s="3">
        <v>108</v>
      </c>
      <c r="N382" s="3" t="str">
        <f>IFERROR(MID(VLOOKUP($B382,Seqs!$A:$B,2,0),O382,1),"")</f>
        <v>H</v>
      </c>
      <c r="O382" s="3">
        <v>137</v>
      </c>
      <c r="P382" s="3" t="str">
        <f>IFERROR(MID(VLOOKUP($B382,Seqs!$A:$B,2,0),Q382,1),"")</f>
        <v>G</v>
      </c>
      <c r="Q382" s="3">
        <v>138</v>
      </c>
      <c r="R382" s="3" t="str">
        <f>IFERROR(MID(VLOOKUP($B382,Seqs!$A:$B,2,0),S382,1),"")</f>
        <v>Y</v>
      </c>
      <c r="S382" s="3">
        <v>143</v>
      </c>
      <c r="T382" s="3" t="str">
        <f>IFERROR(MID(VLOOKUP($B382,Seqs!$A:$B,2,0),U382,1),"")</f>
        <v>G</v>
      </c>
      <c r="U382" s="3">
        <v>144</v>
      </c>
      <c r="V382" s="3" t="str">
        <f>IFERROR(MID(VLOOKUP($B382,Seqs!$A:$B,2,0),W382,1),"")</f>
        <v>N</v>
      </c>
      <c r="W382" s="3">
        <v>179</v>
      </c>
      <c r="X382" s="3" t="str">
        <f>IFERROR(MID(VLOOKUP($B382,Seqs!$A:$B,2,0),Y382,1),"")</f>
        <v>P</v>
      </c>
      <c r="Y382" s="3">
        <v>180</v>
      </c>
      <c r="Z382" s="3" t="str">
        <f>IFERROR(MID(VLOOKUP($B382,Seqs!$A:$B,2,0),AA382,1),"")</f>
        <v>K</v>
      </c>
      <c r="AA382" s="3">
        <v>186</v>
      </c>
      <c r="AB382" s="3" t="str">
        <f>IFERROR(MID(VLOOKUP($B382,Seqs!$A:$B,2,0),AC382,1),"")</f>
        <v>K</v>
      </c>
      <c r="AC382" s="3">
        <v>187</v>
      </c>
      <c r="AD382" s="3" t="str">
        <f>IFERROR(MID(VLOOKUP($B382,Seqs!$A:$B,2,0),AE382,1),"")</f>
        <v>V</v>
      </c>
      <c r="AE382" s="3">
        <v>211</v>
      </c>
      <c r="AF382" s="3" t="str">
        <f>IFERROR(MID(VLOOKUP($B382,Seqs!$A:$B,2,0),AG382,1),"")</f>
        <v>C</v>
      </c>
      <c r="AG382" s="3">
        <v>226</v>
      </c>
      <c r="AH382" s="3" t="str">
        <f>IFERROR(MID(VLOOKUP($B382,Seqs!$A:$B,2,0),AI382,1),"")</f>
        <v>D</v>
      </c>
      <c r="AI382" s="3">
        <v>228</v>
      </c>
      <c r="AJ382" s="3" t="str">
        <f>IFERROR(MID(VLOOKUP($B382,Seqs!$A:$B,2,0),AK382,1),"")</f>
        <v>L</v>
      </c>
      <c r="AK382" s="3">
        <v>235</v>
      </c>
      <c r="AL382" s="3" t="str">
        <f>IFERROR(MID(VLOOKUP($B382,Seqs!$A:$B,2,0),AM382,1),"")</f>
        <v>S</v>
      </c>
      <c r="AM382" s="3">
        <v>272</v>
      </c>
      <c r="AN382" s="3" t="str">
        <f>IFERROR(MID(VLOOKUP($B382,Seqs!$A:$B,2,0),AO382,1),"")</f>
        <v>S</v>
      </c>
      <c r="AO382" s="3">
        <v>278</v>
      </c>
      <c r="AP382" s="3" t="str">
        <f>IFERROR(MID(VLOOKUP($B382,Seqs!$A:$B,2,0),AQ382,1),"")</f>
        <v>Q</v>
      </c>
      <c r="AQ382" s="3">
        <v>317</v>
      </c>
      <c r="AR382" s="3" t="str">
        <f>IFERROR(MID(VLOOKUP($B382,Seqs!$A:$B,2,0),AS382,1),"")</f>
        <v>V</v>
      </c>
      <c r="AS382" s="3">
        <v>322</v>
      </c>
      <c r="AT382" s="3" t="str">
        <f>IFERROR(MID(VLOOKUP($B382,Seqs!$A:$B,2,0),AU382,1),"")</f>
        <v>V</v>
      </c>
      <c r="AU382" s="3">
        <v>347</v>
      </c>
      <c r="AV382" s="3" t="str">
        <f>IFERROR(MID(VLOOKUP($B382,Seqs!$A:$B,2,0),AW382,1),"")</f>
        <v>S</v>
      </c>
      <c r="AW382" s="3">
        <v>348</v>
      </c>
      <c r="AX382" s="3" t="str">
        <f>IFERROR(MID(VLOOKUP($B382,Seqs!$A:$B,2,0),AY382,1),"")</f>
        <v>R</v>
      </c>
      <c r="AY382" s="3">
        <v>362</v>
      </c>
      <c r="AZ382" s="77" t="str">
        <f>VLOOKUP(B382,Classification!A:D,2,0)</f>
        <v>A</v>
      </c>
      <c r="BA382" s="94" t="str">
        <f>VLOOKUP(B382,Classification!A:D,4,0)</f>
        <v>Proteinase-activated</v>
      </c>
      <c r="BB382" s="27" t="b">
        <f t="shared" ref="BB382:BB401" si="3440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23">
        <f t="shared" ref="BC382:BC401" si="3441">_xlfn.AGGREGATE(9,6,CH382:CS382)-_xlfn.AGGREGATE(9,6,BV382:CG382)+12</f>
        <v>260</v>
      </c>
      <c r="BD382" s="2" t="s">
        <v>23</v>
      </c>
      <c r="BE382" s="3" t="s">
        <v>23</v>
      </c>
      <c r="BF382" s="118" t="s">
        <v>23</v>
      </c>
      <c r="BG382" s="49" t="s">
        <v>1373</v>
      </c>
      <c r="BH382" s="49" t="s">
        <v>1373</v>
      </c>
      <c r="BI382" s="1"/>
      <c r="BJ382" s="70" t="s">
        <v>1283</v>
      </c>
      <c r="BK382" s="57" t="s">
        <v>1283</v>
      </c>
      <c r="BL382" s="57" t="s">
        <v>1283</v>
      </c>
      <c r="BM382" s="57" t="s">
        <v>1283</v>
      </c>
      <c r="BN382" s="57" t="s">
        <v>1283</v>
      </c>
      <c r="BO382" s="57" t="s">
        <v>1283</v>
      </c>
      <c r="BP382" s="57" t="s">
        <v>1283</v>
      </c>
      <c r="BQ382" s="57" t="s">
        <v>1283</v>
      </c>
      <c r="BR382" s="57" t="s">
        <v>1283</v>
      </c>
      <c r="BS382" s="57" t="s">
        <v>1283</v>
      </c>
      <c r="BT382" s="57" t="s">
        <v>1283</v>
      </c>
      <c r="BU382" s="57" t="s">
        <v>1283</v>
      </c>
      <c r="BV382" s="70">
        <f t="shared" ref="BV382:BV401" si="3442">E382</f>
        <v>71</v>
      </c>
      <c r="BW382" s="71" t="str">
        <f t="shared" ref="BW382:BW401" si="3443">I382</f>
        <v>-</v>
      </c>
      <c r="BX382" s="72">
        <f t="shared" ref="BX382:BX401" si="3444">M382</f>
        <v>108</v>
      </c>
      <c r="BY382" s="71">
        <f t="shared" ref="BY382:BY401" si="3445">Q382</f>
        <v>138</v>
      </c>
      <c r="BZ382" s="72">
        <f t="shared" ref="BZ382:BZ401" si="3446">U382</f>
        <v>144</v>
      </c>
      <c r="CA382" s="71">
        <f t="shared" ref="CA382:CA401" si="3447">Y382</f>
        <v>180</v>
      </c>
      <c r="CB382" s="72">
        <f t="shared" ref="CB382:CB401" si="3448">AC382</f>
        <v>187</v>
      </c>
      <c r="CC382" s="71">
        <f t="shared" ref="CC382:CC401" si="3449">AG382</f>
        <v>226</v>
      </c>
      <c r="CD382" s="72">
        <f t="shared" ref="CD382:CD401" si="3450">AK382</f>
        <v>235</v>
      </c>
      <c r="CE382" s="71">
        <f t="shared" ref="CE382:CE401" si="3451">AO382</f>
        <v>278</v>
      </c>
      <c r="CF382" s="72">
        <f t="shared" ref="CF382:CF401" si="3452">AS382</f>
        <v>322</v>
      </c>
      <c r="CG382" s="71">
        <f t="shared" ref="CG382:CG401" si="3453">AW382</f>
        <v>348</v>
      </c>
      <c r="CH382" s="70">
        <f t="shared" ref="CH382:CH401" si="3454">G382</f>
        <v>103</v>
      </c>
      <c r="CI382" s="71" t="str">
        <f t="shared" ref="CI382:CI401" si="3455">K382</f>
        <v>-</v>
      </c>
      <c r="CJ382" s="72">
        <f t="shared" ref="CJ382:CJ401" si="3456">O382</f>
        <v>137</v>
      </c>
      <c r="CK382" s="72">
        <f t="shared" ref="CK382:CK401" si="3457">S382</f>
        <v>143</v>
      </c>
      <c r="CL382" s="72">
        <f t="shared" ref="CL382:CL401" si="3458">W382</f>
        <v>179</v>
      </c>
      <c r="CM382" s="72">
        <f t="shared" ref="CM382:CM401" si="3459">AA382</f>
        <v>186</v>
      </c>
      <c r="CN382" s="72">
        <f t="shared" ref="CN382:CN401" si="3460">AE382</f>
        <v>211</v>
      </c>
      <c r="CO382" s="72">
        <f t="shared" ref="CO382:CO401" si="3461">AI382</f>
        <v>228</v>
      </c>
      <c r="CP382" s="72">
        <f t="shared" ref="CP382:CP401" si="3462">AM382</f>
        <v>272</v>
      </c>
      <c r="CQ382" s="72">
        <f t="shared" ref="CQ382:CQ401" si="3463">AQ382</f>
        <v>317</v>
      </c>
      <c r="CR382" s="72">
        <f t="shared" ref="CR382:CR401" si="3464">AU382</f>
        <v>347</v>
      </c>
      <c r="CS382" s="72">
        <f t="shared" ref="CS382:CS401" si="3465">AY382</f>
        <v>362</v>
      </c>
      <c r="CT382" s="23" t="e">
        <f t="shared" ref="CT382:CT401" si="3466">M382-K382</f>
        <v>#VALUE!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29" x14ac:dyDescent="0.2">
      <c r="A383" s="3" t="str">
        <f t="shared" si="3439"/>
        <v>par2_human_5NDD</v>
      </c>
      <c r="B383" s="3" t="s">
        <v>355</v>
      </c>
      <c r="C383" s="3" t="s">
        <v>1392</v>
      </c>
      <c r="D383" s="3" t="str">
        <f>IFERROR(MID(VLOOKUP($B383,Seqs!$A:$B,2,0),E383,1),"")</f>
        <v>G</v>
      </c>
      <c r="E383" s="3">
        <v>71</v>
      </c>
      <c r="F383" s="3" t="str">
        <f>IFERROR(MID(VLOOKUP($B383,Seqs!$A:$B,2,0),G383,1),"")</f>
        <v>R</v>
      </c>
      <c r="G383" s="3">
        <v>103</v>
      </c>
      <c r="H383" s="3" t="str">
        <f>IFERROR(MID(VLOOKUP($B383,Seqs!$A:$B,2,0),I383,1),"")</f>
        <v/>
      </c>
      <c r="I383" s="23" t="s">
        <v>23</v>
      </c>
      <c r="J383" s="3" t="str">
        <f>IFERROR(MID(VLOOKUP($B383,Seqs!$A:$B,2,0),K383,1),"")</f>
        <v/>
      </c>
      <c r="K383" s="23" t="s">
        <v>23</v>
      </c>
      <c r="L383" s="3" t="str">
        <f>IFERROR(MID(VLOOKUP($B383,Seqs!$A:$B,2,0),M383,1),"")</f>
        <v>H</v>
      </c>
      <c r="M383" s="3">
        <v>108</v>
      </c>
      <c r="N383" s="3" t="str">
        <f>IFERROR(MID(VLOOKUP($B383,Seqs!$A:$B,2,0),O383,1),"")</f>
        <v>H</v>
      </c>
      <c r="O383" s="3">
        <v>137</v>
      </c>
      <c r="P383" s="3" t="str">
        <f>IFERROR(MID(VLOOKUP($B383,Seqs!$A:$B,2,0),Q383,1),"")</f>
        <v>G</v>
      </c>
      <c r="Q383" s="3">
        <v>138</v>
      </c>
      <c r="R383" s="3" t="str">
        <f>IFERROR(MID(VLOOKUP($B383,Seqs!$A:$B,2,0),S383,1),"")</f>
        <v>Y</v>
      </c>
      <c r="S383" s="3">
        <v>143</v>
      </c>
      <c r="T383" s="3" t="str">
        <f>IFERROR(MID(VLOOKUP($B383,Seqs!$A:$B,2,0),U383,1),"")</f>
        <v>G</v>
      </c>
      <c r="U383" s="3">
        <v>144</v>
      </c>
      <c r="V383" s="3" t="str">
        <f>IFERROR(MID(VLOOKUP($B383,Seqs!$A:$B,2,0),W383,1),"")</f>
        <v>N</v>
      </c>
      <c r="W383" s="3">
        <v>179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H</v>
      </c>
      <c r="AC383" s="3">
        <v>183</v>
      </c>
      <c r="AD383" s="3" t="str">
        <f>IFERROR(MID(VLOOKUP($B383,Seqs!$A:$B,2,0),AE383,1),"")</f>
        <v>V</v>
      </c>
      <c r="AE383" s="3">
        <v>211</v>
      </c>
      <c r="AF383" s="3" t="str">
        <f>IFERROR(MID(VLOOKUP($B383,Seqs!$A:$B,2,0),AG383,1),"")</f>
        <v>C</v>
      </c>
      <c r="AG383" s="3">
        <v>226</v>
      </c>
      <c r="AH383" s="3" t="str">
        <f>IFERROR(MID(VLOOKUP($B383,Seqs!$A:$B,2,0),AI383,1),"")</f>
        <v>D</v>
      </c>
      <c r="AI383" s="3">
        <v>228</v>
      </c>
      <c r="AJ383" s="3" t="str">
        <f>IFERROR(MID(VLOOKUP($B383,Seqs!$A:$B,2,0),AK383,1),"")</f>
        <v>L</v>
      </c>
      <c r="AK383" s="3">
        <v>235</v>
      </c>
      <c r="AL383" s="3" t="str">
        <f>IFERROR(MID(VLOOKUP($B383,Seqs!$A:$B,2,0),AM383,1),"")</f>
        <v>L</v>
      </c>
      <c r="AM383" s="3">
        <v>269</v>
      </c>
      <c r="AN383" s="3" t="str">
        <f>IFERROR(MID(VLOOKUP($B383,Seqs!$A:$B,2,0),AO383,1),"")</f>
        <v>S</v>
      </c>
      <c r="AO383" s="3">
        <v>278</v>
      </c>
      <c r="AP383" s="3" t="str">
        <f>IFERROR(MID(VLOOKUP($B383,Seqs!$A:$B,2,0),AQ383,1),"")</f>
        <v>Q</v>
      </c>
      <c r="AQ383" s="3">
        <v>317</v>
      </c>
      <c r="AR383" s="3" t="str">
        <f>IFERROR(MID(VLOOKUP($B383,Seqs!$A:$B,2,0),AS383,1),"")</f>
        <v>V</v>
      </c>
      <c r="AS383" s="3">
        <v>322</v>
      </c>
      <c r="AT383" s="3" t="str">
        <f>IFERROR(MID(VLOOKUP($B383,Seqs!$A:$B,2,0),AU383,1),"")</f>
        <v>V</v>
      </c>
      <c r="AU383" s="3">
        <v>347</v>
      </c>
      <c r="AV383" s="3" t="str">
        <f>IFERROR(MID(VLOOKUP($B383,Seqs!$A:$B,2,0),AW383,1),"")</f>
        <v>S</v>
      </c>
      <c r="AW383" s="3">
        <v>348</v>
      </c>
      <c r="AX383" s="3" t="str">
        <f>IFERROR(MID(VLOOKUP($B383,Seqs!$A:$B,2,0),AY383,1),"")</f>
        <v>L</v>
      </c>
      <c r="AY383" s="3">
        <v>359</v>
      </c>
      <c r="AZ383" s="77" t="str">
        <f>VLOOKUP(B383,Classification!A:D,2,0)</f>
        <v>A</v>
      </c>
      <c r="BA383" s="94" t="str">
        <f>VLOOKUP(B383,Classification!A:D,4,0)</f>
        <v>Proteinase-activated</v>
      </c>
      <c r="BB383" s="27" t="b">
        <f t="shared" si="3440"/>
        <v>1</v>
      </c>
      <c r="BC383" s="23">
        <f t="shared" si="3441"/>
        <v>252</v>
      </c>
      <c r="BD383" s="2" t="s">
        <v>1425</v>
      </c>
      <c r="BE383" s="3" t="s">
        <v>1424</v>
      </c>
      <c r="BF383" s="118">
        <v>2.8</v>
      </c>
      <c r="BG383" s="49" t="s">
        <v>1</v>
      </c>
      <c r="BH383" s="49" t="s">
        <v>1373</v>
      </c>
      <c r="BI383" s="1"/>
      <c r="BJ383" s="70" t="s">
        <v>1283</v>
      </c>
      <c r="BK383" s="57" t="s">
        <v>1283</v>
      </c>
      <c r="BL383" s="57" t="s">
        <v>1283</v>
      </c>
      <c r="BM383" s="57" t="s">
        <v>1283</v>
      </c>
      <c r="BN383" s="57" t="s">
        <v>1283</v>
      </c>
      <c r="BO383" s="57" t="s">
        <v>1283</v>
      </c>
      <c r="BP383" s="57" t="s">
        <v>1283</v>
      </c>
      <c r="BQ383" s="57" t="s">
        <v>1283</v>
      </c>
      <c r="BR383" s="57" t="s">
        <v>1283</v>
      </c>
      <c r="BS383" s="57" t="s">
        <v>1283</v>
      </c>
      <c r="BT383" s="57" t="s">
        <v>1283</v>
      </c>
      <c r="BU383" s="57" t="s">
        <v>1283</v>
      </c>
      <c r="BV383" s="70">
        <f t="shared" si="3442"/>
        <v>71</v>
      </c>
      <c r="BW383" s="71" t="str">
        <f t="shared" si="3443"/>
        <v>-</v>
      </c>
      <c r="BX383" s="72">
        <f t="shared" si="3444"/>
        <v>108</v>
      </c>
      <c r="BY383" s="71">
        <f t="shared" si="3445"/>
        <v>138</v>
      </c>
      <c r="BZ383" s="72">
        <f t="shared" si="3446"/>
        <v>144</v>
      </c>
      <c r="CA383" s="71" t="str">
        <f t="shared" si="3447"/>
        <v>-</v>
      </c>
      <c r="CB383" s="72">
        <f t="shared" si="3448"/>
        <v>183</v>
      </c>
      <c r="CC383" s="71">
        <f t="shared" si="3449"/>
        <v>226</v>
      </c>
      <c r="CD383" s="72">
        <f t="shared" si="3450"/>
        <v>235</v>
      </c>
      <c r="CE383" s="71">
        <f t="shared" si="3451"/>
        <v>278</v>
      </c>
      <c r="CF383" s="72">
        <f t="shared" si="3452"/>
        <v>322</v>
      </c>
      <c r="CG383" s="71">
        <f t="shared" si="3453"/>
        <v>348</v>
      </c>
      <c r="CH383" s="70">
        <f t="shared" si="3454"/>
        <v>103</v>
      </c>
      <c r="CI383" s="71" t="str">
        <f t="shared" si="3455"/>
        <v>-</v>
      </c>
      <c r="CJ383" s="72">
        <f t="shared" si="3456"/>
        <v>137</v>
      </c>
      <c r="CK383" s="72">
        <f t="shared" si="3457"/>
        <v>143</v>
      </c>
      <c r="CL383" s="72">
        <f t="shared" si="3458"/>
        <v>179</v>
      </c>
      <c r="CM383" s="72" t="str">
        <f t="shared" si="3459"/>
        <v>-</v>
      </c>
      <c r="CN383" s="72">
        <f t="shared" si="3460"/>
        <v>211</v>
      </c>
      <c r="CO383" s="72">
        <f t="shared" si="3461"/>
        <v>228</v>
      </c>
      <c r="CP383" s="72">
        <f t="shared" si="3462"/>
        <v>269</v>
      </c>
      <c r="CQ383" s="72">
        <f t="shared" si="3463"/>
        <v>317</v>
      </c>
      <c r="CR383" s="72">
        <f t="shared" si="3464"/>
        <v>347</v>
      </c>
      <c r="CS383" s="72">
        <f t="shared" si="3465"/>
        <v>359</v>
      </c>
      <c r="CT383" s="23" t="e">
        <f t="shared" si="3466"/>
        <v>#VALUE!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29" x14ac:dyDescent="0.2">
      <c r="A384" s="3" t="str">
        <f t="shared" si="3439"/>
        <v>par2_human_5NDZ</v>
      </c>
      <c r="B384" s="3" t="s">
        <v>355</v>
      </c>
      <c r="C384" s="3" t="s">
        <v>1393</v>
      </c>
      <c r="D384" s="3" t="str">
        <f>IFERROR(MID(VLOOKUP($B384,Seqs!$A:$B,2,0),E384,1),"")</f>
        <v>G</v>
      </c>
      <c r="E384" s="3">
        <v>71</v>
      </c>
      <c r="F384" s="3" t="str">
        <f>IFERROR(MID(VLOOKUP($B384,Seqs!$A:$B,2,0),G384,1),"")</f>
        <v>R</v>
      </c>
      <c r="G384" s="3">
        <v>103</v>
      </c>
      <c r="H384" s="3" t="str">
        <f>IFERROR(MID(VLOOKUP($B384,Seqs!$A:$B,2,0),I384,1),"")</f>
        <v/>
      </c>
      <c r="I384" s="23" t="s">
        <v>23</v>
      </c>
      <c r="J384" s="3" t="str">
        <f>IFERROR(MID(VLOOKUP($B384,Seqs!$A:$B,2,0),K384,1),"")</f>
        <v/>
      </c>
      <c r="K384" s="23" t="s">
        <v>23</v>
      </c>
      <c r="L384" s="3" t="str">
        <f>IFERROR(MID(VLOOKUP($B384,Seqs!$A:$B,2,0),M384,1),"")</f>
        <v>H</v>
      </c>
      <c r="M384" s="3">
        <v>108</v>
      </c>
      <c r="N384" s="3" t="str">
        <f>IFERROR(MID(VLOOKUP($B384,Seqs!$A:$B,2,0),O384,1),"")</f>
        <v>H</v>
      </c>
      <c r="O384" s="3">
        <v>137</v>
      </c>
      <c r="P384" s="3" t="str">
        <f>IFERROR(MID(VLOOKUP($B384,Seqs!$A:$B,2,0),Q384,1),"")</f>
        <v>G</v>
      </c>
      <c r="Q384" s="3">
        <v>138</v>
      </c>
      <c r="R384" s="3" t="str">
        <f>IFERROR(MID(VLOOKUP($B384,Seqs!$A:$B,2,0),S384,1),"")</f>
        <v>Y</v>
      </c>
      <c r="S384" s="3">
        <v>143</v>
      </c>
      <c r="T384" s="3" t="str">
        <f>IFERROR(MID(VLOOKUP($B384,Seqs!$A:$B,2,0),U384,1),"")</f>
        <v>G</v>
      </c>
      <c r="U384" s="3">
        <v>144</v>
      </c>
      <c r="V384" s="3" t="str">
        <f>IFERROR(MID(VLOOKUP($B384,Seqs!$A:$B,2,0),W384,1),"")</f>
        <v>N</v>
      </c>
      <c r="W384" s="3">
        <v>179</v>
      </c>
      <c r="X384" s="3" t="str">
        <f>IFERROR(MID(VLOOKUP($B384,Seqs!$A:$B,2,0),Y384,1),"")</f>
        <v/>
      </c>
      <c r="Y384" s="3" t="s">
        <v>23</v>
      </c>
      <c r="Z384" s="3" t="str">
        <f>IFERROR(MID(VLOOKUP($B384,Seqs!$A:$B,2,0),AA384,1),"")</f>
        <v/>
      </c>
      <c r="AA384" s="3" t="s">
        <v>23</v>
      </c>
      <c r="AB384" s="3" t="str">
        <f>IFERROR(MID(VLOOKUP($B384,Seqs!$A:$B,2,0),AC384,1),"")</f>
        <v>H</v>
      </c>
      <c r="AC384" s="3">
        <v>183</v>
      </c>
      <c r="AD384" s="3" t="str">
        <f>IFERROR(MID(VLOOKUP($B384,Seqs!$A:$B,2,0),AE384,1),"")</f>
        <v>V</v>
      </c>
      <c r="AE384" s="3">
        <v>211</v>
      </c>
      <c r="AF384" s="3" t="str">
        <f>IFERROR(MID(VLOOKUP($B384,Seqs!$A:$B,2,0),AG384,1),"")</f>
        <v>C</v>
      </c>
      <c r="AG384" s="3">
        <v>226</v>
      </c>
      <c r="AH384" s="3" t="str">
        <f>IFERROR(MID(VLOOKUP($B384,Seqs!$A:$B,2,0),AI384,1),"")</f>
        <v>D</v>
      </c>
      <c r="AI384" s="3">
        <v>228</v>
      </c>
      <c r="AJ384" s="3" t="str">
        <f>IFERROR(MID(VLOOKUP($B384,Seqs!$A:$B,2,0),AK384,1),"")</f>
        <v>L</v>
      </c>
      <c r="AK384" s="3">
        <v>235</v>
      </c>
      <c r="AL384" s="3" t="str">
        <f>IFERROR(MID(VLOOKUP($B384,Seqs!$A:$B,2,0),AM384,1),"")</f>
        <v>L</v>
      </c>
      <c r="AM384" s="3">
        <v>269</v>
      </c>
      <c r="AN384" s="3" t="str">
        <f>IFERROR(MID(VLOOKUP($B384,Seqs!$A:$B,2,0),AO384,1),"")</f>
        <v>S</v>
      </c>
      <c r="AO384" s="3">
        <v>278</v>
      </c>
      <c r="AP384" s="3" t="str">
        <f>IFERROR(MID(VLOOKUP($B384,Seqs!$A:$B,2,0),AQ384,1),"")</f>
        <v>Q</v>
      </c>
      <c r="AQ384" s="3">
        <v>317</v>
      </c>
      <c r="AR384" s="3" t="str">
        <f>IFERROR(MID(VLOOKUP($B384,Seqs!$A:$B,2,0),AS384,1),"")</f>
        <v>V</v>
      </c>
      <c r="AS384" s="3">
        <v>322</v>
      </c>
      <c r="AT384" s="3" t="str">
        <f>IFERROR(MID(VLOOKUP($B384,Seqs!$A:$B,2,0),AU384,1),"")</f>
        <v>S</v>
      </c>
      <c r="AU384" s="3">
        <v>348</v>
      </c>
      <c r="AV384" s="3" t="str">
        <f>IFERROR(MID(VLOOKUP($B384,Seqs!$A:$B,2,0),AW384,1),"")</f>
        <v>H</v>
      </c>
      <c r="AW384" s="3">
        <v>349</v>
      </c>
      <c r="AX384" s="3" t="str">
        <f>IFERROR(MID(VLOOKUP($B384,Seqs!$A:$B,2,0),AY384,1),"")</f>
        <v>L</v>
      </c>
      <c r="AY384" s="3">
        <v>359</v>
      </c>
      <c r="AZ384" s="77" t="str">
        <f>VLOOKUP(B384,Classification!A:D,2,0)</f>
        <v>A</v>
      </c>
      <c r="BA384" s="94" t="str">
        <f>VLOOKUP(B384,Classification!A:D,4,0)</f>
        <v>Proteinase-activated</v>
      </c>
      <c r="BB384" s="27" t="b">
        <f t="shared" si="3440"/>
        <v>1</v>
      </c>
      <c r="BC384" s="23">
        <f t="shared" si="3441"/>
        <v>252</v>
      </c>
      <c r="BD384" s="2" t="s">
        <v>23</v>
      </c>
      <c r="BE384" s="3" t="s">
        <v>1424</v>
      </c>
      <c r="BF384" s="118">
        <v>3.6</v>
      </c>
      <c r="BG384" s="49" t="s">
        <v>1</v>
      </c>
      <c r="BH384" s="49" t="s">
        <v>1373</v>
      </c>
      <c r="BI384" s="1"/>
      <c r="BJ384" s="70" t="s">
        <v>1283</v>
      </c>
      <c r="BK384" s="57" t="s">
        <v>1283</v>
      </c>
      <c r="BL384" s="57" t="s">
        <v>1283</v>
      </c>
      <c r="BM384" s="57" t="s">
        <v>1283</v>
      </c>
      <c r="BN384" s="57" t="s">
        <v>1283</v>
      </c>
      <c r="BO384" s="57" t="s">
        <v>1283</v>
      </c>
      <c r="BP384" s="57" t="s">
        <v>1283</v>
      </c>
      <c r="BQ384" s="57" t="s">
        <v>1283</v>
      </c>
      <c r="BR384" s="57" t="s">
        <v>1283</v>
      </c>
      <c r="BS384" s="57" t="s">
        <v>1283</v>
      </c>
      <c r="BT384" s="57" t="s">
        <v>1283</v>
      </c>
      <c r="BU384" s="57" t="s">
        <v>1283</v>
      </c>
      <c r="BV384" s="70">
        <f t="shared" si="3442"/>
        <v>71</v>
      </c>
      <c r="BW384" s="71" t="str">
        <f t="shared" si="3443"/>
        <v>-</v>
      </c>
      <c r="BX384" s="72">
        <f t="shared" si="3444"/>
        <v>108</v>
      </c>
      <c r="BY384" s="71">
        <f t="shared" si="3445"/>
        <v>138</v>
      </c>
      <c r="BZ384" s="72">
        <f t="shared" si="3446"/>
        <v>144</v>
      </c>
      <c r="CA384" s="71" t="str">
        <f t="shared" si="3447"/>
        <v>-</v>
      </c>
      <c r="CB384" s="72">
        <f t="shared" si="3448"/>
        <v>183</v>
      </c>
      <c r="CC384" s="71">
        <f t="shared" si="3449"/>
        <v>226</v>
      </c>
      <c r="CD384" s="72">
        <f t="shared" si="3450"/>
        <v>235</v>
      </c>
      <c r="CE384" s="71">
        <f t="shared" si="3451"/>
        <v>278</v>
      </c>
      <c r="CF384" s="72">
        <f t="shared" si="3452"/>
        <v>322</v>
      </c>
      <c r="CG384" s="71">
        <f t="shared" si="3453"/>
        <v>349</v>
      </c>
      <c r="CH384" s="70">
        <f t="shared" si="3454"/>
        <v>103</v>
      </c>
      <c r="CI384" s="71" t="str">
        <f t="shared" si="3455"/>
        <v>-</v>
      </c>
      <c r="CJ384" s="72">
        <f t="shared" si="3456"/>
        <v>137</v>
      </c>
      <c r="CK384" s="72">
        <f t="shared" si="3457"/>
        <v>143</v>
      </c>
      <c r="CL384" s="72">
        <f t="shared" si="3458"/>
        <v>179</v>
      </c>
      <c r="CM384" s="72" t="str">
        <f t="shared" si="3459"/>
        <v>-</v>
      </c>
      <c r="CN384" s="72">
        <f t="shared" si="3460"/>
        <v>211</v>
      </c>
      <c r="CO384" s="72">
        <f t="shared" si="3461"/>
        <v>228</v>
      </c>
      <c r="CP384" s="72">
        <f t="shared" si="3462"/>
        <v>269</v>
      </c>
      <c r="CQ384" s="72">
        <f t="shared" si="3463"/>
        <v>317</v>
      </c>
      <c r="CR384" s="72">
        <f t="shared" si="3464"/>
        <v>348</v>
      </c>
      <c r="CS384" s="72">
        <f t="shared" si="3465"/>
        <v>359</v>
      </c>
      <c r="CT384" s="23" t="e">
        <f t="shared" si="3466"/>
        <v>#VALUE!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si="3439"/>
        <v>par2_human_5NJ6</v>
      </c>
      <c r="B385" s="3" t="s">
        <v>355</v>
      </c>
      <c r="C385" s="3" t="s">
        <v>1394</v>
      </c>
      <c r="D385" s="3" t="str">
        <f>IFERROR(MID(VLOOKUP($B385,Seqs!$A:$B,2,0),E385,1),"")</f>
        <v>G</v>
      </c>
      <c r="E385" s="3">
        <v>71</v>
      </c>
      <c r="F385" s="3" t="str">
        <f>IFERROR(MID(VLOOKUP($B385,Seqs!$A:$B,2,0),G385,1),"")</f>
        <v>R</v>
      </c>
      <c r="G385" s="3">
        <v>103</v>
      </c>
      <c r="H385" s="3" t="str">
        <f>IFERROR(MID(VLOOKUP($B385,Seqs!$A:$B,2,0),I385,1),"")</f>
        <v/>
      </c>
      <c r="I385" s="23" t="s">
        <v>23</v>
      </c>
      <c r="J385" s="3" t="str">
        <f>IFERROR(MID(VLOOKUP($B385,Seqs!$A:$B,2,0),K385,1),"")</f>
        <v/>
      </c>
      <c r="K385" s="23" t="s">
        <v>23</v>
      </c>
      <c r="L385" s="3" t="str">
        <f>IFERROR(MID(VLOOKUP($B385,Seqs!$A:$B,2,0),M385,1),"")</f>
        <v>H</v>
      </c>
      <c r="M385" s="3">
        <v>108</v>
      </c>
      <c r="N385" s="3" t="str">
        <f>IFERROR(MID(VLOOKUP($B385,Seqs!$A:$B,2,0),O385,1),"")</f>
        <v>H</v>
      </c>
      <c r="O385" s="3">
        <v>137</v>
      </c>
      <c r="P385" s="3" t="str">
        <f>IFERROR(MID(VLOOKUP($B385,Seqs!$A:$B,2,0),Q385,1),"")</f>
        <v>G</v>
      </c>
      <c r="Q385" s="3">
        <v>138</v>
      </c>
      <c r="R385" s="3" t="str">
        <f>IFERROR(MID(VLOOKUP($B385,Seqs!$A:$B,2,0),S385,1),"")</f>
        <v>Y</v>
      </c>
      <c r="S385" s="3">
        <v>143</v>
      </c>
      <c r="T385" s="3" t="str">
        <f>IFERROR(MID(VLOOKUP($B385,Seqs!$A:$B,2,0),U385,1),"")</f>
        <v>G</v>
      </c>
      <c r="U385" s="3">
        <v>144</v>
      </c>
      <c r="V385" s="3" t="str">
        <f>IFERROR(MID(VLOOKUP($B385,Seqs!$A:$B,2,0),W385,1),"")</f>
        <v>N</v>
      </c>
      <c r="W385" s="3">
        <v>179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H</v>
      </c>
      <c r="AC385" s="3">
        <v>183</v>
      </c>
      <c r="AD385" s="3" t="str">
        <f>IFERROR(MID(VLOOKUP($B385,Seqs!$A:$B,2,0),AE385,1),"")</f>
        <v>V</v>
      </c>
      <c r="AE385" s="3">
        <v>211</v>
      </c>
      <c r="AF385" s="3" t="str">
        <f>IFERROR(MID(VLOOKUP($B385,Seqs!$A:$B,2,0),AG385,1),"")</f>
        <v>C</v>
      </c>
      <c r="AG385" s="3">
        <v>226</v>
      </c>
      <c r="AH385" s="3" t="str">
        <f>IFERROR(MID(VLOOKUP($B385,Seqs!$A:$B,2,0),AI385,1),"")</f>
        <v>D</v>
      </c>
      <c r="AI385" s="3">
        <v>228</v>
      </c>
      <c r="AJ385" s="3" t="str">
        <f>IFERROR(MID(VLOOKUP($B385,Seqs!$A:$B,2,0),AK385,1),"")</f>
        <v>L</v>
      </c>
      <c r="AK385" s="3">
        <v>235</v>
      </c>
      <c r="AL385" s="3" t="str">
        <f>IFERROR(MID(VLOOKUP($B385,Seqs!$A:$B,2,0),AM385,1),"")</f>
        <v>L</v>
      </c>
      <c r="AM385" s="3">
        <v>269</v>
      </c>
      <c r="AN385" s="3" t="str">
        <f>IFERROR(MID(VLOOKUP($B385,Seqs!$A:$B,2,0),AO385,1),"")</f>
        <v>S</v>
      </c>
      <c r="AO385" s="3">
        <v>278</v>
      </c>
      <c r="AP385" s="3" t="str">
        <f>IFERROR(MID(VLOOKUP($B385,Seqs!$A:$B,2,0),AQ385,1),"")</f>
        <v>Q</v>
      </c>
      <c r="AQ385" s="3">
        <v>317</v>
      </c>
      <c r="AR385" s="3" t="str">
        <f>IFERROR(MID(VLOOKUP($B385,Seqs!$A:$B,2,0),AS385,1),"")</f>
        <v>V</v>
      </c>
      <c r="AS385" s="3">
        <v>322</v>
      </c>
      <c r="AT385" s="3" t="str">
        <f>IFERROR(MID(VLOOKUP($B385,Seqs!$A:$B,2,0),AU385,1),"")</f>
        <v>S</v>
      </c>
      <c r="AU385" s="3">
        <v>348</v>
      </c>
      <c r="AV385" s="3" t="str">
        <f>IFERROR(MID(VLOOKUP($B385,Seqs!$A:$B,2,0),AW385,1),"")</f>
        <v>H</v>
      </c>
      <c r="AW385" s="3">
        <v>349</v>
      </c>
      <c r="AX385" s="3" t="str">
        <f>IFERROR(MID(VLOOKUP($B385,Seqs!$A:$B,2,0),AY385,1),"")</f>
        <v>L</v>
      </c>
      <c r="AY385" s="3">
        <v>359</v>
      </c>
      <c r="AZ385" s="77" t="str">
        <f>VLOOKUP(B385,Classification!A:D,2,0)</f>
        <v>A</v>
      </c>
      <c r="BA385" s="94" t="str">
        <f>VLOOKUP(B385,Classification!A:D,4,0)</f>
        <v>Proteinase-activated</v>
      </c>
      <c r="BB385" s="27" t="b">
        <f t="shared" si="3440"/>
        <v>1</v>
      </c>
      <c r="BC385" s="23">
        <f t="shared" si="3441"/>
        <v>252</v>
      </c>
      <c r="BD385" s="2" t="s">
        <v>23</v>
      </c>
      <c r="BE385" s="3" t="s">
        <v>1424</v>
      </c>
      <c r="BF385" s="118">
        <v>4</v>
      </c>
      <c r="BG385" s="49" t="s">
        <v>1</v>
      </c>
      <c r="BH385" s="49" t="s">
        <v>1373</v>
      </c>
      <c r="BI385" s="1"/>
      <c r="BJ385" s="70" t="s">
        <v>1283</v>
      </c>
      <c r="BK385" s="57" t="s">
        <v>1283</v>
      </c>
      <c r="BL385" s="57" t="s">
        <v>1283</v>
      </c>
      <c r="BM385" s="57" t="s">
        <v>1283</v>
      </c>
      <c r="BN385" s="57" t="s">
        <v>1283</v>
      </c>
      <c r="BO385" s="57" t="s">
        <v>1283</v>
      </c>
      <c r="BP385" s="57" t="s">
        <v>1283</v>
      </c>
      <c r="BQ385" s="57" t="s">
        <v>1283</v>
      </c>
      <c r="BR385" s="57" t="s">
        <v>1283</v>
      </c>
      <c r="BS385" s="57" t="s">
        <v>1283</v>
      </c>
      <c r="BT385" s="57" t="s">
        <v>1283</v>
      </c>
      <c r="BU385" s="57" t="s">
        <v>1283</v>
      </c>
      <c r="BV385" s="70">
        <f t="shared" si="3442"/>
        <v>71</v>
      </c>
      <c r="BW385" s="71" t="str">
        <f t="shared" si="3443"/>
        <v>-</v>
      </c>
      <c r="BX385" s="72">
        <f t="shared" si="3444"/>
        <v>108</v>
      </c>
      <c r="BY385" s="71">
        <f t="shared" si="3445"/>
        <v>138</v>
      </c>
      <c r="BZ385" s="72">
        <f t="shared" si="3446"/>
        <v>144</v>
      </c>
      <c r="CA385" s="71" t="str">
        <f t="shared" si="3447"/>
        <v>-</v>
      </c>
      <c r="CB385" s="72">
        <f t="shared" si="3448"/>
        <v>183</v>
      </c>
      <c r="CC385" s="71">
        <f t="shared" si="3449"/>
        <v>226</v>
      </c>
      <c r="CD385" s="72">
        <f t="shared" si="3450"/>
        <v>235</v>
      </c>
      <c r="CE385" s="71">
        <f t="shared" si="3451"/>
        <v>278</v>
      </c>
      <c r="CF385" s="72">
        <f t="shared" si="3452"/>
        <v>322</v>
      </c>
      <c r="CG385" s="71">
        <f t="shared" si="3453"/>
        <v>349</v>
      </c>
      <c r="CH385" s="70">
        <f t="shared" si="3454"/>
        <v>103</v>
      </c>
      <c r="CI385" s="71" t="str">
        <f t="shared" si="3455"/>
        <v>-</v>
      </c>
      <c r="CJ385" s="72">
        <f t="shared" si="3456"/>
        <v>137</v>
      </c>
      <c r="CK385" s="72">
        <f t="shared" si="3457"/>
        <v>143</v>
      </c>
      <c r="CL385" s="72">
        <f t="shared" si="3458"/>
        <v>179</v>
      </c>
      <c r="CM385" s="72" t="str">
        <f t="shared" si="3459"/>
        <v>-</v>
      </c>
      <c r="CN385" s="72">
        <f t="shared" si="3460"/>
        <v>211</v>
      </c>
      <c r="CO385" s="72">
        <f t="shared" si="3461"/>
        <v>228</v>
      </c>
      <c r="CP385" s="72">
        <f t="shared" si="3462"/>
        <v>269</v>
      </c>
      <c r="CQ385" s="72">
        <f t="shared" si="3463"/>
        <v>317</v>
      </c>
      <c r="CR385" s="72">
        <f t="shared" si="3464"/>
        <v>348</v>
      </c>
      <c r="CS385" s="72">
        <f t="shared" si="3465"/>
        <v>359</v>
      </c>
      <c r="CT385" s="23" t="e">
        <f t="shared" si="3466"/>
        <v>#VALUE!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ref="A386" si="3467">CONCATENATE(B386,"_",C386)</f>
        <v>pd2r2_human__wt</v>
      </c>
      <c r="B386" s="3" t="s">
        <v>359</v>
      </c>
      <c r="C386" s="3" t="s">
        <v>100</v>
      </c>
      <c r="D386" s="3" t="str">
        <f>IFERROR(MID(VLOOKUP($B386,Seqs!$A:$B,2,0),E386,1),"")</f>
        <v>D</v>
      </c>
      <c r="E386" s="3">
        <v>32</v>
      </c>
      <c r="F386" s="3" t="str">
        <f>IFERROR(MID(VLOOKUP($B386,Seqs!$A:$B,2,0),G386,1),"")</f>
        <v>R</v>
      </c>
      <c r="G386" s="3">
        <v>60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T</v>
      </c>
      <c r="M386" s="3">
        <v>64</v>
      </c>
      <c r="N386" s="3" t="str">
        <f>IFERROR(MID(VLOOKUP($B386,Seqs!$A:$B,2,0),O386,1),"")</f>
        <v>G</v>
      </c>
      <c r="O386" s="3">
        <v>94</v>
      </c>
      <c r="P386" s="3" t="str">
        <f>IFERROR(MID(VLOOKUP($B386,Seqs!$A:$B,2,0),Q386,1),"")</f>
        <v>S</v>
      </c>
      <c r="Q386" s="3">
        <v>96</v>
      </c>
      <c r="R386" s="3" t="str">
        <f>IFERROR(MID(VLOOKUP($B386,Seqs!$A:$B,2,0),S386,1),"")</f>
        <v>L</v>
      </c>
      <c r="S386" s="3">
        <v>99</v>
      </c>
      <c r="T386" s="3" t="str">
        <f>IFERROR(MID(VLOOKUP($B386,Seqs!$A:$B,2,0),U386,1),"")</f>
        <v>G</v>
      </c>
      <c r="U386" s="3">
        <v>100</v>
      </c>
      <c r="V386" s="3" t="str">
        <f>IFERROR(MID(VLOOKUP($B386,Seqs!$A:$B,2,0),W386,1),"")</f>
        <v>R</v>
      </c>
      <c r="W386" s="3">
        <v>135</v>
      </c>
      <c r="X386" s="3" t="str">
        <f>IFERROR(MID(VLOOKUP($B386,Seqs!$A:$B,2,0),Y386,1),"")</f>
        <v>P</v>
      </c>
      <c r="Y386" s="3">
        <v>136</v>
      </c>
      <c r="Z386" s="3" t="str">
        <f>IFERROR(MID(VLOOKUP($B386,Seqs!$A:$B,2,0),AA386,1),"")</f>
        <v>R</v>
      </c>
      <c r="AA386" s="3">
        <v>143</v>
      </c>
      <c r="AB386" s="3" t="str">
        <f>IFERROR(MID(VLOOKUP($B386,Seqs!$A:$B,2,0),AC386,1),"")</f>
        <v>T</v>
      </c>
      <c r="AC386" s="3">
        <v>144</v>
      </c>
      <c r="AD386" s="3" t="str">
        <f>IFERROR(MID(VLOOKUP($B386,Seqs!$A:$B,2,0),AE386,1),"")</f>
        <v>R</v>
      </c>
      <c r="AE386" s="3">
        <v>170</v>
      </c>
      <c r="AF386" s="3" t="str">
        <f>IFERROR(MID(VLOOKUP($B386,Seqs!$A:$B,2,0),AG386,1),"")</f>
        <v>C</v>
      </c>
      <c r="AG386" s="3">
        <v>182</v>
      </c>
      <c r="AH386" s="3" t="str">
        <f>IFERROR(MID(VLOOKUP($B386,Seqs!$A:$B,2,0),AI386,1),"")</f>
        <v>Y</v>
      </c>
      <c r="AI386" s="3">
        <v>184</v>
      </c>
      <c r="AJ386" s="3" t="str">
        <f>IFERROR(MID(VLOOKUP($B386,Seqs!$A:$B,2,0),AK386,1),"")</f>
        <v>D</v>
      </c>
      <c r="AK386" s="3">
        <v>194</v>
      </c>
      <c r="AL386" s="3" t="str">
        <f>IFERROR(MID(VLOOKUP($B386,Seqs!$A:$B,2,0),AM386,1),"")</f>
        <v>R</v>
      </c>
      <c r="AM386" s="3">
        <v>236</v>
      </c>
      <c r="AN386" s="3" t="str">
        <f>IFERROR(MID(VLOOKUP($B386,Seqs!$A:$B,2,0),AO386,1),"")</f>
        <v>P</v>
      </c>
      <c r="AO386" s="3">
        <v>241</v>
      </c>
      <c r="AP386" s="3" t="str">
        <f>IFERROR(MID(VLOOKUP($B386,Seqs!$A:$B,2,0),AQ386,1),"")</f>
        <v>A</v>
      </c>
      <c r="AQ386" s="3">
        <v>272</v>
      </c>
      <c r="AR386" s="3" t="str">
        <f>IFERROR(MID(VLOOKUP($B386,Seqs!$A:$B,2,0),AS386,1),"")</f>
        <v>L</v>
      </c>
      <c r="AS386" s="3">
        <v>278</v>
      </c>
      <c r="AT386" s="3" t="str">
        <f>IFERROR(MID(VLOOKUP($B386,Seqs!$A:$B,2,0),AU386,1),"")</f>
        <v>T</v>
      </c>
      <c r="AU386" s="3">
        <v>307</v>
      </c>
      <c r="AV386" s="3" t="str">
        <f>IFERROR(MID(VLOOKUP($B386,Seqs!$A:$B,2,0),AW386,1),"")</f>
        <v>C</v>
      </c>
      <c r="AW386" s="3">
        <v>308</v>
      </c>
      <c r="AX386" s="3" t="str">
        <f>IFERROR(MID(VLOOKUP($B386,Seqs!$A:$B,2,0),AY386,1),"")</f>
        <v>S</v>
      </c>
      <c r="AY386" s="3">
        <v>325</v>
      </c>
      <c r="AZ386" s="77" t="str">
        <f>VLOOKUP(B386,Classification!A:D,2,0)</f>
        <v>A</v>
      </c>
      <c r="BA386" s="94" t="str">
        <f>VLOOKUP(B386,Classification!A:D,4,0)</f>
        <v>Prostanoid</v>
      </c>
      <c r="BB386" s="27" t="b">
        <f t="shared" ref="BB386" si="3468">AND(E386&lt;G386,OR(G386&lt;I386,I386="-"),OR(I386&lt;K386,I386="-"),OR(K386&lt;M386,K386="-"),M386&lt;O386,OR(O386&lt;Q386,Q386="-"),OR(Q386&lt;S386,Q386="-"),OR(S386&lt;U386,S386="-"),U386&lt;W386,OR(W386&lt;Y386,Y386="-"),OR(Y386&lt;AA386,Y386="-"),OR(AA386&lt;AC386,AA386="-"),AC386&lt;AE386,OR(AE386&lt;AG386,AG386="-"),OR(AG386&lt;AI386,AG386="-"),OR(AI386&lt;AK386,AI386="-"),AK386&lt;AM386,AM386&lt;AO386,AO386&lt;AQ386,AQ386&lt;AS386,AS386&lt;AU386,OR(AU386&lt;AW386,AW386="-"),OR(AW386&lt;AY386,AW386="-"))</f>
        <v>1</v>
      </c>
      <c r="BC386" s="23">
        <f t="shared" ref="BC386" si="3469">_xlfn.AGGREGATE(9,6,CH386:CS386)-_xlfn.AGGREGATE(9,6,BV386:CG386)+12</f>
        <v>262</v>
      </c>
      <c r="BD386" s="2" t="s">
        <v>23</v>
      </c>
      <c r="BE386" s="3" t="s">
        <v>23</v>
      </c>
      <c r="BF386" s="118" t="s">
        <v>23</v>
      </c>
      <c r="BG386" s="49" t="s">
        <v>23</v>
      </c>
      <c r="BH386" s="49" t="s">
        <v>23</v>
      </c>
      <c r="BI386" s="1"/>
      <c r="BJ386" s="70" t="s">
        <v>1283</v>
      </c>
      <c r="BK386" s="57" t="s">
        <v>1283</v>
      </c>
      <c r="BL386" s="57" t="s">
        <v>1283</v>
      </c>
      <c r="BM386" s="57" t="s">
        <v>1283</v>
      </c>
      <c r="BN386" s="57" t="s">
        <v>1283</v>
      </c>
      <c r="BO386" s="57" t="s">
        <v>1283</v>
      </c>
      <c r="BP386" s="57" t="s">
        <v>1283</v>
      </c>
      <c r="BQ386" s="57" t="s">
        <v>1283</v>
      </c>
      <c r="BR386" s="57" t="s">
        <v>1283</v>
      </c>
      <c r="BS386" s="57" t="s">
        <v>1283</v>
      </c>
      <c r="BT386" s="57" t="s">
        <v>1283</v>
      </c>
      <c r="BU386" s="57" t="s">
        <v>1283</v>
      </c>
      <c r="BV386" s="70">
        <f t="shared" ref="BV386" si="3470">E386</f>
        <v>32</v>
      </c>
      <c r="BW386" s="71" t="str">
        <f t="shared" ref="BW386" si="3471">I386</f>
        <v>-</v>
      </c>
      <c r="BX386" s="72">
        <f t="shared" ref="BX386" si="3472">M386</f>
        <v>64</v>
      </c>
      <c r="BY386" s="71">
        <f t="shared" ref="BY386" si="3473">Q386</f>
        <v>96</v>
      </c>
      <c r="BZ386" s="72">
        <f t="shared" ref="BZ386" si="3474">U386</f>
        <v>100</v>
      </c>
      <c r="CA386" s="71">
        <f t="shared" ref="CA386" si="3475">Y386</f>
        <v>136</v>
      </c>
      <c r="CB386" s="72">
        <f t="shared" ref="CB386" si="3476">AC386</f>
        <v>144</v>
      </c>
      <c r="CC386" s="71">
        <f t="shared" ref="CC386" si="3477">AG386</f>
        <v>182</v>
      </c>
      <c r="CD386" s="72">
        <f t="shared" ref="CD386" si="3478">AK386</f>
        <v>194</v>
      </c>
      <c r="CE386" s="71">
        <f t="shared" ref="CE386" si="3479">AO386</f>
        <v>241</v>
      </c>
      <c r="CF386" s="72">
        <f t="shared" ref="CF386" si="3480">AS386</f>
        <v>278</v>
      </c>
      <c r="CG386" s="71">
        <f t="shared" ref="CG386" si="3481">AW386</f>
        <v>308</v>
      </c>
      <c r="CH386" s="70">
        <f t="shared" ref="CH386" si="3482">G386</f>
        <v>60</v>
      </c>
      <c r="CI386" s="71" t="str">
        <f t="shared" ref="CI386" si="3483">K386</f>
        <v>-</v>
      </c>
      <c r="CJ386" s="72">
        <f t="shared" ref="CJ386" si="3484">O386</f>
        <v>94</v>
      </c>
      <c r="CK386" s="72">
        <f t="shared" ref="CK386" si="3485">S386</f>
        <v>99</v>
      </c>
      <c r="CL386" s="72">
        <f t="shared" ref="CL386" si="3486">W386</f>
        <v>135</v>
      </c>
      <c r="CM386" s="72">
        <f t="shared" ref="CM386" si="3487">AA386</f>
        <v>143</v>
      </c>
      <c r="CN386" s="72">
        <f t="shared" ref="CN386" si="3488">AE386</f>
        <v>170</v>
      </c>
      <c r="CO386" s="72">
        <f t="shared" ref="CO386" si="3489">AI386</f>
        <v>184</v>
      </c>
      <c r="CP386" s="72">
        <f t="shared" ref="CP386" si="3490">AM386</f>
        <v>236</v>
      </c>
      <c r="CQ386" s="72">
        <f t="shared" ref="CQ386" si="3491">AQ386</f>
        <v>272</v>
      </c>
      <c r="CR386" s="72">
        <f t="shared" ref="CR386" si="3492">AU386</f>
        <v>307</v>
      </c>
      <c r="CS386" s="72">
        <f t="shared" ref="CS386" si="3493">AY386</f>
        <v>325</v>
      </c>
      <c r="CT386" s="23" t="e">
        <f t="shared" ref="CT386" si="3494">M386-K386</f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x14ac:dyDescent="0.2">
      <c r="A387" s="3" t="str">
        <f t="shared" ref="A387" si="3495">CONCATENATE(B387,"_",C387)</f>
        <v>pd2r2_human_6D26</v>
      </c>
      <c r="B387" s="3" t="s">
        <v>359</v>
      </c>
      <c r="C387" s="3" t="s">
        <v>1513</v>
      </c>
      <c r="D387" s="3" t="str">
        <f>IFERROR(MID(VLOOKUP($B387,Seqs!$A:$B,2,0),E387,1),"")</f>
        <v>D</v>
      </c>
      <c r="E387" s="3">
        <v>32</v>
      </c>
      <c r="F387" s="3" t="str">
        <f>IFERROR(MID(VLOOKUP($B387,Seqs!$A:$B,2,0),G387,1),"")</f>
        <v>R</v>
      </c>
      <c r="G387" s="3">
        <v>60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T</v>
      </c>
      <c r="M387" s="3">
        <v>64</v>
      </c>
      <c r="N387" s="3" t="str">
        <f>IFERROR(MID(VLOOKUP($B387,Seqs!$A:$B,2,0),O387,1),"")</f>
        <v>G</v>
      </c>
      <c r="O387" s="3">
        <v>94</v>
      </c>
      <c r="P387" s="3" t="str">
        <f>IFERROR(MID(VLOOKUP($B387,Seqs!$A:$B,2,0),Q387,1),"")</f>
        <v>S</v>
      </c>
      <c r="Q387" s="3">
        <v>96</v>
      </c>
      <c r="R387" s="3" t="str">
        <f>IFERROR(MID(VLOOKUP($B387,Seqs!$A:$B,2,0),S387,1),"")</f>
        <v>L</v>
      </c>
      <c r="S387" s="3">
        <v>99</v>
      </c>
      <c r="T387" s="3" t="str">
        <f>IFERROR(MID(VLOOKUP($B387,Seqs!$A:$B,2,0),U387,1),"")</f>
        <v>T</v>
      </c>
      <c r="U387" s="3">
        <v>101</v>
      </c>
      <c r="V387" s="3" t="str">
        <f>IFERROR(MID(VLOOKUP($B387,Seqs!$A:$B,2,0),W387,1),"")</f>
        <v>R</v>
      </c>
      <c r="W387" s="3">
        <v>135</v>
      </c>
      <c r="X387" s="3" t="str">
        <f>IFERROR(MID(VLOOKUP($B387,Seqs!$A:$B,2,0),Y387,1),"")</f>
        <v>P</v>
      </c>
      <c r="Y387" s="3">
        <v>136</v>
      </c>
      <c r="Z387" s="3" t="str">
        <f>IFERROR(MID(VLOOKUP($B387,Seqs!$A:$B,2,0),AA387,1),"")</f>
        <v>R</v>
      </c>
      <c r="AA387" s="3">
        <v>143</v>
      </c>
      <c r="AB387" s="3" t="str">
        <f>IFERROR(MID(VLOOKUP($B387,Seqs!$A:$B,2,0),AC387,1),"")</f>
        <v>T</v>
      </c>
      <c r="AC387" s="3">
        <v>144</v>
      </c>
      <c r="AD387" s="3" t="str">
        <f>IFERROR(MID(VLOOKUP($B387,Seqs!$A:$B,2,0),AE387,1),"")</f>
        <v>R</v>
      </c>
      <c r="AE387" s="3">
        <v>170</v>
      </c>
      <c r="AF387" s="3" t="str">
        <f>IFERROR(MID(VLOOKUP($B387,Seqs!$A:$B,2,0),AG387,1),"")</f>
        <v>C</v>
      </c>
      <c r="AG387" s="3">
        <v>182</v>
      </c>
      <c r="AH387" s="3" t="str">
        <f>IFERROR(MID(VLOOKUP($B387,Seqs!$A:$B,2,0),AI387,1),"")</f>
        <v>Y</v>
      </c>
      <c r="AI387" s="3">
        <v>184</v>
      </c>
      <c r="AJ387" s="3" t="str">
        <f>IFERROR(MID(VLOOKUP($B387,Seqs!$A:$B,2,0),AK387,1),"")</f>
        <v>D</v>
      </c>
      <c r="AK387" s="3">
        <v>194</v>
      </c>
      <c r="AL387" s="3" t="str">
        <f>IFERROR(MID(VLOOKUP($B387,Seqs!$A:$B,2,0),AM387,1),"")</f>
        <v>R</v>
      </c>
      <c r="AM387" s="3">
        <v>236</v>
      </c>
      <c r="AN387" s="3" t="str">
        <f>IFERROR(MID(VLOOKUP($B387,Seqs!$A:$B,2,0),AO387,1),"")</f>
        <v/>
      </c>
      <c r="AO387" s="3">
        <v>2244</v>
      </c>
      <c r="AP387" s="3" t="str">
        <f>IFERROR(MID(VLOOKUP($B387,Seqs!$A:$B,2,0),AQ387,1),"")</f>
        <v/>
      </c>
      <c r="AQ387" s="3">
        <v>2271</v>
      </c>
      <c r="AR387" s="3" t="str">
        <f>IFERROR(MID(VLOOKUP($B387,Seqs!$A:$B,2,0),AS387,1),"")</f>
        <v/>
      </c>
      <c r="AS387" s="3">
        <v>2278</v>
      </c>
      <c r="AT387" s="3" t="str">
        <f>IFERROR(MID(VLOOKUP($B387,Seqs!$A:$B,2,0),AU387,1),"")</f>
        <v/>
      </c>
      <c r="AU387" s="3">
        <v>2307</v>
      </c>
      <c r="AV387" s="3" t="str">
        <f>IFERROR(MID(VLOOKUP($B387,Seqs!$A:$B,2,0),AW387,1),"")</f>
        <v/>
      </c>
      <c r="AW387" s="3">
        <v>2308</v>
      </c>
      <c r="AX387" s="3" t="str">
        <f>IFERROR(MID(VLOOKUP($B387,Seqs!$A:$B,2,0),AY387,1),"")</f>
        <v/>
      </c>
      <c r="AY387" s="3">
        <v>2325</v>
      </c>
      <c r="AZ387" s="77" t="str">
        <f>VLOOKUP(B387,Classification!A:D,2,0)</f>
        <v>A</v>
      </c>
      <c r="BA387" s="94" t="str">
        <f>VLOOKUP(B387,Classification!A:D,4,0)</f>
        <v>Prostanoid</v>
      </c>
      <c r="BB387" s="27" t="b">
        <f t="shared" ref="BB387" si="3496">AND(E387&lt;G387,OR(G387&lt;I387,I387="-"),OR(I387&lt;K387,I387="-"),OR(K387&lt;M387,K387="-"),M387&lt;O387,OR(O387&lt;Q387,Q387="-"),OR(Q387&lt;S387,Q387="-"),OR(S387&lt;U387,S387="-"),U387&lt;W387,OR(W387&lt;Y387,Y387="-"),OR(Y387&lt;AA387,Y387="-"),OR(AA387&lt;AC387,AA387="-"),AC387&lt;AE387,OR(AE387&lt;AG387,AG387="-"),OR(AG387&lt;AI387,AG387="-"),OR(AI387&lt;AK387,AI387="-"),AK387&lt;AM387,AM387&lt;AO387,AO387&lt;AQ387,AQ387&lt;AS387,AS387&lt;AU387,OR(AU387&lt;AW387,AW387="-"),OR(AW387&lt;AY387,AW387="-"))</f>
        <v>1</v>
      </c>
      <c r="BC387" s="23">
        <f t="shared" ref="BC387" si="3497">_xlfn.AGGREGATE(9,6,CH387:CS387)-_xlfn.AGGREGATE(9,6,BV387:CG387)+12</f>
        <v>257</v>
      </c>
      <c r="BD387" s="2" t="s">
        <v>23</v>
      </c>
      <c r="BE387" s="3" t="s">
        <v>1370</v>
      </c>
      <c r="BF387" s="118">
        <v>2.8</v>
      </c>
      <c r="BG387" s="49" t="s">
        <v>1</v>
      </c>
      <c r="BH387" s="49" t="s">
        <v>1</v>
      </c>
      <c r="BI387" s="1"/>
      <c r="BJ387" s="70" t="s">
        <v>1283</v>
      </c>
      <c r="BK387" s="57" t="s">
        <v>1283</v>
      </c>
      <c r="BL387" s="57" t="s">
        <v>1283</v>
      </c>
      <c r="BM387" s="57" t="s">
        <v>1283</v>
      </c>
      <c r="BN387" s="57" t="s">
        <v>1283</v>
      </c>
      <c r="BO387" s="57" t="s">
        <v>1283</v>
      </c>
      <c r="BP387" s="57" t="s">
        <v>1283</v>
      </c>
      <c r="BQ387" s="57" t="s">
        <v>1283</v>
      </c>
      <c r="BR387" s="57" t="s">
        <v>1283</v>
      </c>
      <c r="BS387" s="57" t="s">
        <v>1283</v>
      </c>
      <c r="BT387" s="57" t="s">
        <v>1283</v>
      </c>
      <c r="BU387" s="57" t="s">
        <v>1283</v>
      </c>
      <c r="BV387" s="70">
        <f t="shared" ref="BV387" si="3498">E387</f>
        <v>32</v>
      </c>
      <c r="BW387" s="71" t="str">
        <f t="shared" ref="BW387" si="3499">I387</f>
        <v>-</v>
      </c>
      <c r="BX387" s="72">
        <f t="shared" ref="BX387" si="3500">M387</f>
        <v>64</v>
      </c>
      <c r="BY387" s="71">
        <f t="shared" ref="BY387" si="3501">Q387</f>
        <v>96</v>
      </c>
      <c r="BZ387" s="72">
        <f t="shared" ref="BZ387" si="3502">U387</f>
        <v>101</v>
      </c>
      <c r="CA387" s="71">
        <f t="shared" ref="CA387" si="3503">Y387</f>
        <v>136</v>
      </c>
      <c r="CB387" s="72">
        <f t="shared" ref="CB387" si="3504">AC387</f>
        <v>144</v>
      </c>
      <c r="CC387" s="71">
        <f t="shared" ref="CC387" si="3505">AG387</f>
        <v>182</v>
      </c>
      <c r="CD387" s="72">
        <f t="shared" ref="CD387" si="3506">AK387</f>
        <v>194</v>
      </c>
      <c r="CE387" s="71">
        <f t="shared" ref="CE387" si="3507">AO387</f>
        <v>2244</v>
      </c>
      <c r="CF387" s="72">
        <f t="shared" ref="CF387" si="3508">AS387</f>
        <v>2278</v>
      </c>
      <c r="CG387" s="71">
        <f t="shared" ref="CG387" si="3509">AW387</f>
        <v>2308</v>
      </c>
      <c r="CH387" s="70">
        <f t="shared" ref="CH387" si="3510">G387</f>
        <v>60</v>
      </c>
      <c r="CI387" s="71" t="str">
        <f t="shared" ref="CI387" si="3511">K387</f>
        <v>-</v>
      </c>
      <c r="CJ387" s="72">
        <f t="shared" ref="CJ387" si="3512">O387</f>
        <v>94</v>
      </c>
      <c r="CK387" s="72">
        <f t="shared" ref="CK387" si="3513">S387</f>
        <v>99</v>
      </c>
      <c r="CL387" s="72">
        <f t="shared" ref="CL387" si="3514">W387</f>
        <v>135</v>
      </c>
      <c r="CM387" s="72">
        <f t="shared" ref="CM387" si="3515">AA387</f>
        <v>143</v>
      </c>
      <c r="CN387" s="72">
        <f t="shared" ref="CN387" si="3516">AE387</f>
        <v>170</v>
      </c>
      <c r="CO387" s="72">
        <f t="shared" ref="CO387" si="3517">AI387</f>
        <v>184</v>
      </c>
      <c r="CP387" s="72">
        <f t="shared" ref="CP387" si="3518">AM387</f>
        <v>236</v>
      </c>
      <c r="CQ387" s="72">
        <f t="shared" ref="CQ387" si="3519">AQ387</f>
        <v>2271</v>
      </c>
      <c r="CR387" s="72">
        <f t="shared" ref="CR387" si="3520">AU387</f>
        <v>2307</v>
      </c>
      <c r="CS387" s="72">
        <f t="shared" ref="CS387" si="3521">AY387</f>
        <v>2325</v>
      </c>
      <c r="CT387" s="23" t="e">
        <f t="shared" ref="CT387" si="3522">M387-K387</f>
        <v>#VALUE!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29" x14ac:dyDescent="0.2">
      <c r="A388" s="3" t="str">
        <f t="shared" ref="A388" si="3523">CONCATENATE(B388,"_",C388)</f>
        <v>pd2r2_human_6D27</v>
      </c>
      <c r="B388" s="3" t="s">
        <v>359</v>
      </c>
      <c r="C388" s="3" t="s">
        <v>1538</v>
      </c>
      <c r="D388" s="3" t="str">
        <f>IFERROR(MID(VLOOKUP($B388,Seqs!$A:$B,2,0),E388,1),"")</f>
        <v>D</v>
      </c>
      <c r="E388" s="3">
        <v>32</v>
      </c>
      <c r="F388" s="3" t="str">
        <f>IFERROR(MID(VLOOKUP($B388,Seqs!$A:$B,2,0),G388,1),"")</f>
        <v>R</v>
      </c>
      <c r="G388" s="3">
        <v>60</v>
      </c>
      <c r="H388" s="3" t="str">
        <f>IFERROR(MID(VLOOKUP($B388,Seqs!$A:$B,2,0),I388,1),"")</f>
        <v/>
      </c>
      <c r="I388" s="23" t="s">
        <v>23</v>
      </c>
      <c r="J388" s="3" t="str">
        <f>IFERROR(MID(VLOOKUP($B388,Seqs!$A:$B,2,0),K388,1),"")</f>
        <v/>
      </c>
      <c r="K388" s="23" t="s">
        <v>23</v>
      </c>
      <c r="L388" s="3" t="str">
        <f>IFERROR(MID(VLOOKUP($B388,Seqs!$A:$B,2,0),M388,1),"")</f>
        <v>T</v>
      </c>
      <c r="M388" s="3">
        <v>64</v>
      </c>
      <c r="N388" s="3" t="str">
        <f>IFERROR(MID(VLOOKUP($B388,Seqs!$A:$B,2,0),O388,1),"")</f>
        <v>G</v>
      </c>
      <c r="O388" s="3">
        <v>94</v>
      </c>
      <c r="P388" s="3" t="str">
        <f>IFERROR(MID(VLOOKUP($B388,Seqs!$A:$B,2,0),Q388,1),"")</f>
        <v>S</v>
      </c>
      <c r="Q388" s="3">
        <v>96</v>
      </c>
      <c r="R388" s="3" t="str">
        <f>IFERROR(MID(VLOOKUP($B388,Seqs!$A:$B,2,0),S388,1),"")</f>
        <v>L</v>
      </c>
      <c r="S388" s="3">
        <v>99</v>
      </c>
      <c r="T388" s="3" t="str">
        <f>IFERROR(MID(VLOOKUP($B388,Seqs!$A:$B,2,0),U388,1),"")</f>
        <v>T</v>
      </c>
      <c r="U388" s="3">
        <v>101</v>
      </c>
      <c r="V388" s="3" t="str">
        <f>IFERROR(MID(VLOOKUP($B388,Seqs!$A:$B,2,0),W388,1),"")</f>
        <v>R</v>
      </c>
      <c r="W388" s="3">
        <v>135</v>
      </c>
      <c r="X388" s="3" t="str">
        <f>IFERROR(MID(VLOOKUP($B388,Seqs!$A:$B,2,0),Y388,1),"")</f>
        <v>P</v>
      </c>
      <c r="Y388" s="3">
        <v>136</v>
      </c>
      <c r="Z388" s="3" t="str">
        <f>IFERROR(MID(VLOOKUP($B388,Seqs!$A:$B,2,0),AA388,1),"")</f>
        <v>R</v>
      </c>
      <c r="AA388" s="3">
        <v>143</v>
      </c>
      <c r="AB388" s="3" t="str">
        <f>IFERROR(MID(VLOOKUP($B388,Seqs!$A:$B,2,0),AC388,1),"")</f>
        <v>T</v>
      </c>
      <c r="AC388" s="3">
        <v>144</v>
      </c>
      <c r="AD388" s="3" t="str">
        <f>IFERROR(MID(VLOOKUP($B388,Seqs!$A:$B,2,0),AE388,1),"")</f>
        <v>R</v>
      </c>
      <c r="AE388" s="3">
        <v>170</v>
      </c>
      <c r="AF388" s="3" t="str">
        <f>IFERROR(MID(VLOOKUP($B388,Seqs!$A:$B,2,0),AG388,1),"")</f>
        <v>C</v>
      </c>
      <c r="AG388" s="3">
        <v>182</v>
      </c>
      <c r="AH388" s="3" t="str">
        <f>IFERROR(MID(VLOOKUP($B388,Seqs!$A:$B,2,0),AI388,1),"")</f>
        <v>Y</v>
      </c>
      <c r="AI388" s="3">
        <v>184</v>
      </c>
      <c r="AJ388" s="3" t="str">
        <f>IFERROR(MID(VLOOKUP($B388,Seqs!$A:$B,2,0),AK388,1),"")</f>
        <v>D</v>
      </c>
      <c r="AK388" s="3">
        <v>194</v>
      </c>
      <c r="AL388" s="3" t="str">
        <f>IFERROR(MID(VLOOKUP($B388,Seqs!$A:$B,2,0),AM388,1),"")</f>
        <v>R</v>
      </c>
      <c r="AM388" s="3">
        <v>236</v>
      </c>
      <c r="AN388" s="3" t="str">
        <f>IFERROR(MID(VLOOKUP($B388,Seqs!$A:$B,2,0),AO388,1),"")</f>
        <v/>
      </c>
      <c r="AO388" s="3">
        <v>2244</v>
      </c>
      <c r="AP388" s="3" t="str">
        <f>IFERROR(MID(VLOOKUP($B388,Seqs!$A:$B,2,0),AQ388,1),"")</f>
        <v/>
      </c>
      <c r="AQ388" s="3">
        <v>2271</v>
      </c>
      <c r="AR388" s="3" t="str">
        <f>IFERROR(MID(VLOOKUP($B388,Seqs!$A:$B,2,0),AS388,1),"")</f>
        <v/>
      </c>
      <c r="AS388" s="3">
        <v>2278</v>
      </c>
      <c r="AT388" s="3" t="str">
        <f>IFERROR(MID(VLOOKUP($B388,Seqs!$A:$B,2,0),AU388,1),"")</f>
        <v/>
      </c>
      <c r="AU388" s="3">
        <v>2307</v>
      </c>
      <c r="AV388" s="3" t="str">
        <f>IFERROR(MID(VLOOKUP($B388,Seqs!$A:$B,2,0),AW388,1),"")</f>
        <v/>
      </c>
      <c r="AW388" s="3">
        <v>2308</v>
      </c>
      <c r="AX388" s="3" t="str">
        <f>IFERROR(MID(VLOOKUP($B388,Seqs!$A:$B,2,0),AY388,1),"")</f>
        <v/>
      </c>
      <c r="AY388" s="3">
        <v>2325</v>
      </c>
      <c r="AZ388" s="77" t="str">
        <f>VLOOKUP(B388,Classification!A:D,2,0)</f>
        <v>A</v>
      </c>
      <c r="BA388" s="94" t="str">
        <f>VLOOKUP(B388,Classification!A:D,4,0)</f>
        <v>Prostanoid</v>
      </c>
      <c r="BB388" s="27" t="b">
        <f t="shared" ref="BB388" si="3524">AND(E388&lt;G388,OR(G388&lt;I388,I388="-"),OR(I388&lt;K388,I388="-"),OR(K388&lt;M388,K388="-"),M388&lt;O388,OR(O388&lt;Q388,Q388="-"),OR(Q388&lt;S388,Q388="-"),OR(S388&lt;U388,S388="-"),U388&lt;W388,OR(W388&lt;Y388,Y388="-"),OR(Y388&lt;AA388,Y388="-"),OR(AA388&lt;AC388,AA388="-"),AC388&lt;AE388,OR(AE388&lt;AG388,AG388="-"),OR(AG388&lt;AI388,AG388="-"),OR(AI388&lt;AK388,AI388="-"),AK388&lt;AM388,AM388&lt;AO388,AO388&lt;AQ388,AQ388&lt;AS388,AS388&lt;AU388,OR(AU388&lt;AW388,AW388="-"),OR(AW388&lt;AY388,AW388="-"))</f>
        <v>1</v>
      </c>
      <c r="BC388" s="23">
        <f t="shared" ref="BC388" si="3525">_xlfn.AGGREGATE(9,6,CH388:CS388)-_xlfn.AGGREGATE(9,6,BV388:CG388)+12</f>
        <v>257</v>
      </c>
      <c r="BD388" s="2" t="s">
        <v>1372</v>
      </c>
      <c r="BE388" s="3" t="s">
        <v>1370</v>
      </c>
      <c r="BF388" s="118">
        <v>4.74</v>
      </c>
      <c r="BG388" s="49" t="s">
        <v>1</v>
      </c>
      <c r="BH388" s="49" t="s">
        <v>1</v>
      </c>
      <c r="BI388" s="1"/>
      <c r="BJ388" s="70" t="s">
        <v>1283</v>
      </c>
      <c r="BK388" s="57" t="s">
        <v>1283</v>
      </c>
      <c r="BL388" s="57" t="s">
        <v>1283</v>
      </c>
      <c r="BM388" s="57" t="s">
        <v>1283</v>
      </c>
      <c r="BN388" s="57" t="s">
        <v>1283</v>
      </c>
      <c r="BO388" s="57" t="s">
        <v>1283</v>
      </c>
      <c r="BP388" s="57" t="s">
        <v>1283</v>
      </c>
      <c r="BQ388" s="57" t="s">
        <v>1283</v>
      </c>
      <c r="BR388" s="57" t="s">
        <v>1283</v>
      </c>
      <c r="BS388" s="57" t="s">
        <v>1283</v>
      </c>
      <c r="BT388" s="57" t="s">
        <v>1283</v>
      </c>
      <c r="BU388" s="57" t="s">
        <v>1283</v>
      </c>
      <c r="BV388" s="70">
        <f t="shared" ref="BV388" si="3526">E388</f>
        <v>32</v>
      </c>
      <c r="BW388" s="71" t="str">
        <f t="shared" ref="BW388" si="3527">I388</f>
        <v>-</v>
      </c>
      <c r="BX388" s="72">
        <f t="shared" ref="BX388" si="3528">M388</f>
        <v>64</v>
      </c>
      <c r="BY388" s="71">
        <f t="shared" ref="BY388" si="3529">Q388</f>
        <v>96</v>
      </c>
      <c r="BZ388" s="72">
        <f t="shared" ref="BZ388" si="3530">U388</f>
        <v>101</v>
      </c>
      <c r="CA388" s="71">
        <f t="shared" ref="CA388" si="3531">Y388</f>
        <v>136</v>
      </c>
      <c r="CB388" s="72">
        <f t="shared" ref="CB388" si="3532">AC388</f>
        <v>144</v>
      </c>
      <c r="CC388" s="71">
        <f t="shared" ref="CC388" si="3533">AG388</f>
        <v>182</v>
      </c>
      <c r="CD388" s="72">
        <f t="shared" ref="CD388" si="3534">AK388</f>
        <v>194</v>
      </c>
      <c r="CE388" s="71">
        <f t="shared" ref="CE388" si="3535">AO388</f>
        <v>2244</v>
      </c>
      <c r="CF388" s="72">
        <f t="shared" ref="CF388" si="3536">AS388</f>
        <v>2278</v>
      </c>
      <c r="CG388" s="71">
        <f t="shared" ref="CG388" si="3537">AW388</f>
        <v>2308</v>
      </c>
      <c r="CH388" s="70">
        <f t="shared" ref="CH388" si="3538">G388</f>
        <v>60</v>
      </c>
      <c r="CI388" s="71" t="str">
        <f t="shared" ref="CI388" si="3539">K388</f>
        <v>-</v>
      </c>
      <c r="CJ388" s="72">
        <f t="shared" ref="CJ388" si="3540">O388</f>
        <v>94</v>
      </c>
      <c r="CK388" s="72">
        <f t="shared" ref="CK388" si="3541">S388</f>
        <v>99</v>
      </c>
      <c r="CL388" s="72">
        <f t="shared" ref="CL388" si="3542">W388</f>
        <v>135</v>
      </c>
      <c r="CM388" s="72">
        <f t="shared" ref="CM388" si="3543">AA388</f>
        <v>143</v>
      </c>
      <c r="CN388" s="72">
        <f t="shared" ref="CN388" si="3544">AE388</f>
        <v>170</v>
      </c>
      <c r="CO388" s="72">
        <f t="shared" ref="CO388" si="3545">AI388</f>
        <v>184</v>
      </c>
      <c r="CP388" s="72">
        <f t="shared" ref="CP388" si="3546">AM388</f>
        <v>236</v>
      </c>
      <c r="CQ388" s="72">
        <f t="shared" ref="CQ388" si="3547">AQ388</f>
        <v>2271</v>
      </c>
      <c r="CR388" s="72">
        <f t="shared" ref="CR388" si="3548">AU388</f>
        <v>2307</v>
      </c>
      <c r="CS388" s="72">
        <f t="shared" ref="CS388" si="3549">AY388</f>
        <v>2325</v>
      </c>
      <c r="CT388" s="23" t="e">
        <f t="shared" ref="CT388" si="3550">M388-K388</f>
        <v>#VALUE!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29" x14ac:dyDescent="0.2">
      <c r="A389" s="3" t="str">
        <f t="shared" ref="A389:A391" si="3551">CONCATENATE(B389,"_",C389)</f>
        <v>pe2r3_human__wt</v>
      </c>
      <c r="B389" s="3" t="s">
        <v>362</v>
      </c>
      <c r="C389" s="3" t="s">
        <v>100</v>
      </c>
      <c r="D389" s="3" t="str">
        <f>IFERROR(MID(VLOOKUP($B389,Seqs!$A:$B,2,0),E389,1),"")</f>
        <v>V</v>
      </c>
      <c r="E389" s="3">
        <v>52</v>
      </c>
      <c r="F389" s="3" t="str">
        <f>IFERROR(MID(VLOOKUP($B389,Seqs!$A:$B,2,0),G389,1),"")</f>
        <v>R</v>
      </c>
      <c r="G389" s="3">
        <v>78</v>
      </c>
      <c r="H389" s="3" t="str">
        <f>IFERROR(MID(VLOOKUP($B389,Seqs!$A:$B,2,0),I389,1),"")</f>
        <v/>
      </c>
      <c r="I389" s="23" t="s">
        <v>23</v>
      </c>
      <c r="J389" s="3" t="str">
        <f>IFERROR(MID(VLOOKUP($B389,Seqs!$A:$B,2,0),K389,1),"")</f>
        <v/>
      </c>
      <c r="K389" s="23" t="s">
        <v>23</v>
      </c>
      <c r="L389" s="3" t="str">
        <f>IFERROR(MID(VLOOKUP($B389,Seqs!$A:$B,2,0),M389,1),"")</f>
        <v>K</v>
      </c>
      <c r="M389" s="3">
        <v>85</v>
      </c>
      <c r="N389" s="3" t="str">
        <f>IFERROR(MID(VLOOKUP($B389,Seqs!$A:$B,2,0),O389,1),"")</f>
        <v>K</v>
      </c>
      <c r="O389" s="3">
        <v>117</v>
      </c>
      <c r="P389" s="3" t="str">
        <f>IFERROR(MID(VLOOKUP($B389,Seqs!$A:$B,2,0),Q389,1),"")</f>
        <v>Q</v>
      </c>
      <c r="Q389" s="3">
        <v>118</v>
      </c>
      <c r="R389" s="3" t="str">
        <f>IFERROR(MID(VLOOKUP($B389,Seqs!$A:$B,2,0),S389,1),"")</f>
        <v>S</v>
      </c>
      <c r="S389" s="3">
        <v>126</v>
      </c>
      <c r="T389" s="3" t="str">
        <f>IFERROR(MID(VLOOKUP($B389,Seqs!$A:$B,2,0),U389,1),"")</f>
        <v>G</v>
      </c>
      <c r="U389" s="3">
        <v>127</v>
      </c>
      <c r="V389" s="3" t="str">
        <f>IFERROR(MID(VLOOKUP($B389,Seqs!$A:$B,2,0),W389,1),"")</f>
        <v>A</v>
      </c>
      <c r="W389" s="3">
        <v>161</v>
      </c>
      <c r="X389" s="3" t="str">
        <f>IFERROR(MID(VLOOKUP($B389,Seqs!$A:$B,2,0),Y389,1),"")</f>
        <v>P</v>
      </c>
      <c r="Y389" s="3">
        <v>162</v>
      </c>
      <c r="Z389" s="3" t="str">
        <f>IFERROR(MID(VLOOKUP($B389,Seqs!$A:$B,2,0),AA389,1),"")</f>
        <v>M</v>
      </c>
      <c r="AA389" s="3">
        <v>169</v>
      </c>
      <c r="AB389" s="3" t="str">
        <f>IFERROR(MID(VLOOKUP($B389,Seqs!$A:$B,2,0),AC389,1),"")</f>
        <v>K</v>
      </c>
      <c r="AC389" s="3">
        <v>170</v>
      </c>
      <c r="AD389" s="3" t="str">
        <f>IFERROR(MID(VLOOKUP($B389,Seqs!$A:$B,2,0),AE389,1),"")</f>
        <v>G</v>
      </c>
      <c r="AE389" s="3">
        <v>195</v>
      </c>
      <c r="AF389" s="3" t="str">
        <f>IFERROR(MID(VLOOKUP($B389,Seqs!$A:$B,2,0),AG389,1),"")</f>
        <v>C</v>
      </c>
      <c r="AG389" s="3">
        <v>208</v>
      </c>
      <c r="AH389" s="3" t="str">
        <f>IFERROR(MID(VLOOKUP($B389,Seqs!$A:$B,2,0),AI389,1),"")</f>
        <v>I</v>
      </c>
      <c r="AI389" s="3">
        <v>210</v>
      </c>
      <c r="AJ389" s="3" t="str">
        <f>IFERROR(MID(VLOOKUP($B389,Seqs!$A:$B,2,0),AK389,1),"")</f>
        <v>W</v>
      </c>
      <c r="AK389" s="3">
        <v>225</v>
      </c>
      <c r="AL389" s="3" t="str">
        <f>IFERROR(MID(VLOOKUP($B389,Seqs!$A:$B,2,0),AM389,1),"")</f>
        <v>T</v>
      </c>
      <c r="AM389" s="3">
        <v>265</v>
      </c>
      <c r="AN389" s="3" t="str">
        <f>IFERROR(MID(VLOOKUP($B389,Seqs!$A:$B,2,0),AO389,1),"")</f>
        <v>A</v>
      </c>
      <c r="AO389" s="3">
        <v>271</v>
      </c>
      <c r="AP389" s="3" t="str">
        <f>IFERROR(MID(VLOOKUP($B389,Seqs!$A:$B,2,0),AQ389,1),"")</f>
        <v>S</v>
      </c>
      <c r="AQ389" s="3">
        <v>311</v>
      </c>
      <c r="AR389" s="3" t="str">
        <f>IFERROR(MID(VLOOKUP($B389,Seqs!$A:$B,2,0),AS389,1),"")</f>
        <v>T</v>
      </c>
      <c r="AS389" s="3">
        <v>317</v>
      </c>
      <c r="AT389" s="3" t="str">
        <f>IFERROR(MID(VLOOKUP($B389,Seqs!$A:$B,2,0),AU389,1),"")</f>
        <v>Y</v>
      </c>
      <c r="AU389" s="3">
        <v>346</v>
      </c>
      <c r="AV389" s="3" t="str">
        <f>IFERROR(MID(VLOOKUP($B389,Seqs!$A:$B,2,0),AW389,1),"")</f>
        <v>L</v>
      </c>
      <c r="AW389" s="3">
        <v>347</v>
      </c>
      <c r="AX389" s="3" t="str">
        <f>IFERROR(MID(VLOOKUP($B389,Seqs!$A:$B,2,0),AY389,1),"")</f>
        <v>S</v>
      </c>
      <c r="AY389" s="3">
        <v>369</v>
      </c>
      <c r="AZ389" s="77" t="str">
        <f>VLOOKUP(B389,Classification!A:D,2,0)</f>
        <v>A</v>
      </c>
      <c r="BA389" s="94" t="str">
        <f>VLOOKUP(B389,Classification!A:D,4,0)</f>
        <v>Prostanoid</v>
      </c>
      <c r="BB389" s="27" t="b">
        <f t="shared" ref="BB389:BB391" si="3552">AND(E389&lt;G389,OR(G389&lt;I389,I389="-"),OR(I389&lt;K389,I389="-"),OR(K389&lt;M389,K389="-"),M389&lt;O389,OR(O389&lt;Q389,Q389="-"),OR(Q389&lt;S389,Q389="-"),OR(S389&lt;U389,S389="-"),U389&lt;W389,OR(W389&lt;Y389,Y389="-"),OR(Y389&lt;AA389,Y389="-"),OR(AA389&lt;AC389,AA389="-"),AC389&lt;AE389,OR(AE389&lt;AG389,AG389="-"),OR(AG389&lt;AI389,AG389="-"),OR(AI389&lt;AK389,AI389="-"),AK389&lt;AM389,AM389&lt;AO389,AO389&lt;AQ389,AQ389&lt;AS389,AS389&lt;AU389,OR(AU389&lt;AW389,AW389="-"),OR(AW389&lt;AY389,AW389="-"))</f>
        <v>1</v>
      </c>
      <c r="BC389" s="23">
        <f t="shared" ref="BC389:BC391" si="3553">_xlfn.AGGREGATE(9,6,CH389:CS389)-_xlfn.AGGREGATE(9,6,BV389:CG389)+12</f>
        <v>277</v>
      </c>
      <c r="BD389" s="2" t="s">
        <v>23</v>
      </c>
      <c r="BE389" s="3" t="s">
        <v>23</v>
      </c>
      <c r="BF389" s="118" t="s">
        <v>23</v>
      </c>
      <c r="BG389" s="49" t="s">
        <v>23</v>
      </c>
      <c r="BH389" s="49" t="s">
        <v>23</v>
      </c>
      <c r="BI389" s="1"/>
      <c r="BJ389" s="70" t="s">
        <v>1283</v>
      </c>
      <c r="BK389" s="57" t="s">
        <v>1283</v>
      </c>
      <c r="BL389" s="57" t="s">
        <v>1283</v>
      </c>
      <c r="BM389" s="57" t="s">
        <v>1283</v>
      </c>
      <c r="BN389" s="57" t="s">
        <v>1283</v>
      </c>
      <c r="BO389" s="57" t="s">
        <v>1283</v>
      </c>
      <c r="BP389" s="57" t="s">
        <v>1283</v>
      </c>
      <c r="BQ389" s="57" t="s">
        <v>1283</v>
      </c>
      <c r="BR389" s="57" t="s">
        <v>1283</v>
      </c>
      <c r="BS389" s="57" t="s">
        <v>1283</v>
      </c>
      <c r="BT389" s="57" t="s">
        <v>1283</v>
      </c>
      <c r="BU389" s="57" t="s">
        <v>1283</v>
      </c>
      <c r="BV389" s="70">
        <f t="shared" ref="BV389:BV391" si="3554">E389</f>
        <v>52</v>
      </c>
      <c r="BW389" s="71" t="str">
        <f t="shared" ref="BW389:BW391" si="3555">I389</f>
        <v>-</v>
      </c>
      <c r="BX389" s="72">
        <f t="shared" ref="BX389:BX391" si="3556">M389</f>
        <v>85</v>
      </c>
      <c r="BY389" s="71">
        <f t="shared" ref="BY389:BY391" si="3557">Q389</f>
        <v>118</v>
      </c>
      <c r="BZ389" s="72">
        <f t="shared" ref="BZ389:BZ391" si="3558">U389</f>
        <v>127</v>
      </c>
      <c r="CA389" s="71">
        <f t="shared" ref="CA389:CA391" si="3559">Y389</f>
        <v>162</v>
      </c>
      <c r="CB389" s="72">
        <f t="shared" ref="CB389:CB391" si="3560">AC389</f>
        <v>170</v>
      </c>
      <c r="CC389" s="71">
        <f t="shared" ref="CC389:CC391" si="3561">AG389</f>
        <v>208</v>
      </c>
      <c r="CD389" s="72">
        <f t="shared" ref="CD389:CD391" si="3562">AK389</f>
        <v>225</v>
      </c>
      <c r="CE389" s="71">
        <f t="shared" ref="CE389:CE391" si="3563">AO389</f>
        <v>271</v>
      </c>
      <c r="CF389" s="72">
        <f t="shared" ref="CF389:CF391" si="3564">AS389</f>
        <v>317</v>
      </c>
      <c r="CG389" s="71">
        <f t="shared" ref="CG389:CG391" si="3565">AW389</f>
        <v>347</v>
      </c>
      <c r="CH389" s="70">
        <f t="shared" ref="CH389:CH391" si="3566">G389</f>
        <v>78</v>
      </c>
      <c r="CI389" s="71" t="str">
        <f t="shared" ref="CI389:CI391" si="3567">K389</f>
        <v>-</v>
      </c>
      <c r="CJ389" s="72">
        <f t="shared" ref="CJ389:CJ391" si="3568">O389</f>
        <v>117</v>
      </c>
      <c r="CK389" s="72">
        <f t="shared" ref="CK389:CK391" si="3569">S389</f>
        <v>126</v>
      </c>
      <c r="CL389" s="72">
        <f t="shared" ref="CL389:CL391" si="3570">W389</f>
        <v>161</v>
      </c>
      <c r="CM389" s="72">
        <f t="shared" ref="CM389:CM391" si="3571">AA389</f>
        <v>169</v>
      </c>
      <c r="CN389" s="72">
        <f t="shared" ref="CN389:CN391" si="3572">AE389</f>
        <v>195</v>
      </c>
      <c r="CO389" s="72">
        <f t="shared" ref="CO389:CO391" si="3573">AI389</f>
        <v>210</v>
      </c>
      <c r="CP389" s="72">
        <f t="shared" ref="CP389:CP391" si="3574">AM389</f>
        <v>265</v>
      </c>
      <c r="CQ389" s="72">
        <f t="shared" ref="CQ389:CQ391" si="3575">AQ389</f>
        <v>311</v>
      </c>
      <c r="CR389" s="72">
        <f t="shared" ref="CR389:CR391" si="3576">AU389</f>
        <v>346</v>
      </c>
      <c r="CS389" s="72">
        <f t="shared" ref="CS389:CS391" si="3577">AY389</f>
        <v>369</v>
      </c>
      <c r="CT389" s="23" t="e">
        <f t="shared" ref="CT389:CT391" si="3578">M389-K389</f>
        <v>#VALUE!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29" x14ac:dyDescent="0.2">
      <c r="A390" s="3" t="str">
        <f t="shared" ref="A390" si="3579">CONCATENATE(B390,"_",C390)</f>
        <v>pe2r3_human_6AK3</v>
      </c>
      <c r="B390" s="3" t="s">
        <v>362</v>
      </c>
      <c r="C390" s="3" t="s">
        <v>1535</v>
      </c>
      <c r="D390" s="3" t="str">
        <f>IFERROR(MID(VLOOKUP($B390,Seqs!$A:$B,2,0),E390,1),"")</f>
        <v>V</v>
      </c>
      <c r="E390" s="3">
        <v>52</v>
      </c>
      <c r="F390" s="3" t="str">
        <f>IFERROR(MID(VLOOKUP($B390,Seqs!$A:$B,2,0),G390,1),"")</f>
        <v>Y</v>
      </c>
      <c r="G390" s="3">
        <v>77</v>
      </c>
      <c r="H390" s="3" t="str">
        <f>IFERROR(MID(VLOOKUP($B390,Seqs!$A:$B,2,0),I390,1),"")</f>
        <v/>
      </c>
      <c r="I390" s="23" t="s">
        <v>23</v>
      </c>
      <c r="J390" s="3" t="str">
        <f>IFERROR(MID(VLOOKUP($B390,Seqs!$A:$B,2,0),K390,1),"")</f>
        <v/>
      </c>
      <c r="K390" s="23" t="s">
        <v>23</v>
      </c>
      <c r="L390" s="3" t="str">
        <f>IFERROR(MID(VLOOKUP($B390,Seqs!$A:$B,2,0),M390,1),"")</f>
        <v>K</v>
      </c>
      <c r="M390" s="3">
        <v>86</v>
      </c>
      <c r="N390" s="3" t="str">
        <f>IFERROR(MID(VLOOKUP($B390,Seqs!$A:$B,2,0),O390,1),"")</f>
        <v>K</v>
      </c>
      <c r="O390" s="3">
        <v>117</v>
      </c>
      <c r="P390" s="3" t="str">
        <f>IFERROR(MID(VLOOKUP($B390,Seqs!$A:$B,2,0),Q390,1),"")</f>
        <v/>
      </c>
      <c r="Q390" s="3" t="s">
        <v>23</v>
      </c>
      <c r="R390" s="3" t="str">
        <f>IFERROR(MID(VLOOKUP($B390,Seqs!$A:$B,2,0),S390,1),"")</f>
        <v/>
      </c>
      <c r="S390" s="3" t="s">
        <v>23</v>
      </c>
      <c r="T390" s="3" t="str">
        <f>IFERROR(MID(VLOOKUP($B390,Seqs!$A:$B,2,0),U390,1),"")</f>
        <v>G</v>
      </c>
      <c r="U390" s="3">
        <v>127</v>
      </c>
      <c r="V390" s="3" t="str">
        <f>IFERROR(MID(VLOOKUP($B390,Seqs!$A:$B,2,0),W390,1),"")</f>
        <v>A</v>
      </c>
      <c r="W390" s="3">
        <v>161</v>
      </c>
      <c r="X390" s="3" t="str">
        <f>IFERROR(MID(VLOOKUP($B390,Seqs!$A:$B,2,0),Y390,1),"")</f>
        <v>P</v>
      </c>
      <c r="Y390" s="3">
        <v>162</v>
      </c>
      <c r="Z390" s="3" t="str">
        <f>IFERROR(MID(VLOOKUP($B390,Seqs!$A:$B,2,0),AA390,1),"")</f>
        <v>M</v>
      </c>
      <c r="AA390" s="3">
        <v>169</v>
      </c>
      <c r="AB390" s="3" t="str">
        <f>IFERROR(MID(VLOOKUP($B390,Seqs!$A:$B,2,0),AC390,1),"")</f>
        <v>K</v>
      </c>
      <c r="AC390" s="3">
        <v>170</v>
      </c>
      <c r="AD390" s="3" t="str">
        <f>IFERROR(MID(VLOOKUP($B390,Seqs!$A:$B,2,0),AE390,1),"")</f>
        <v>G</v>
      </c>
      <c r="AE390" s="3">
        <v>195</v>
      </c>
      <c r="AF390" s="3" t="str">
        <f>IFERROR(MID(VLOOKUP($B390,Seqs!$A:$B,2,0),AG390,1),"")</f>
        <v>C</v>
      </c>
      <c r="AG390" s="3">
        <v>208</v>
      </c>
      <c r="AH390" s="3" t="str">
        <f>IFERROR(MID(VLOOKUP($B390,Seqs!$A:$B,2,0),AI390,1),"")</f>
        <v>I</v>
      </c>
      <c r="AI390" s="3">
        <v>210</v>
      </c>
      <c r="AJ390" s="3" t="str">
        <f>IFERROR(MID(VLOOKUP($B390,Seqs!$A:$B,2,0),AK390,1),"")</f>
        <v>G</v>
      </c>
      <c r="AK390" s="3">
        <v>226</v>
      </c>
      <c r="AL390" s="3" t="str">
        <f>IFERROR(MID(VLOOKUP($B390,Seqs!$A:$B,2,0),AM390,1),"")</f>
        <v>A</v>
      </c>
      <c r="AM390" s="3">
        <v>264</v>
      </c>
      <c r="AN390" s="3" t="str">
        <f>IFERROR(MID(VLOOKUP($B390,Seqs!$A:$B,2,0),AO390,1),"")</f>
        <v>A</v>
      </c>
      <c r="AO390" s="3">
        <v>271</v>
      </c>
      <c r="AP390" s="3" t="str">
        <f>IFERROR(MID(VLOOKUP($B390,Seqs!$A:$B,2,0),AQ390,1),"")</f>
        <v>F</v>
      </c>
      <c r="AQ390" s="3">
        <v>307</v>
      </c>
      <c r="AR390" s="3" t="str">
        <f>IFERROR(MID(VLOOKUP($B390,Seqs!$A:$B,2,0),AS390,1),"")</f>
        <v>K</v>
      </c>
      <c r="AS390" s="3">
        <v>323</v>
      </c>
      <c r="AT390" s="3" t="str">
        <f>IFERROR(MID(VLOOKUP($B390,Seqs!$A:$B,2,0),AU390,1),"")</f>
        <v>Y</v>
      </c>
      <c r="AU390" s="3">
        <v>346</v>
      </c>
      <c r="AV390" s="3" t="str">
        <f>IFERROR(MID(VLOOKUP($B390,Seqs!$A:$B,2,0),AW390,1),"")</f>
        <v>L</v>
      </c>
      <c r="AW390" s="3">
        <v>347</v>
      </c>
      <c r="AX390" s="3" t="str">
        <f>IFERROR(MID(VLOOKUP($B390,Seqs!$A:$B,2,0),AY390,1),"")</f>
        <v>L</v>
      </c>
      <c r="AY390" s="3">
        <v>353</v>
      </c>
      <c r="AZ390" s="77" t="str">
        <f>VLOOKUP(B390,Classification!A:D,2,0)</f>
        <v>A</v>
      </c>
      <c r="BA390" s="94" t="str">
        <f>VLOOKUP(B390,Classification!A:D,4,0)</f>
        <v>Prostanoid</v>
      </c>
      <c r="BB390" s="27" t="b">
        <f t="shared" ref="BB390" si="3580">AND(E390&lt;G390,OR(G390&lt;I390,I390="-"),OR(I390&lt;K390,I390="-"),OR(K390&lt;M390,K390="-"),M390&lt;O390,OR(O390&lt;Q390,Q390="-"),OR(Q390&lt;S390,Q390="-"),OR(S390&lt;U390,S390="-"),U390&lt;W390,OR(W390&lt;Y390,Y390="-"),OR(Y390&lt;AA390,Y390="-"),OR(AA390&lt;AC390,AA390="-"),AC390&lt;AE390,OR(AE390&lt;AG390,AG390="-"),OR(AG390&lt;AI390,AG390="-"),OR(AI390&lt;AK390,AI390="-"),AK390&lt;AM390,AM390&lt;AO390,AO390&lt;AQ390,AQ390&lt;AS390,AS390&lt;AU390,OR(AU390&lt;AW390,AW390="-"),OR(AW390&lt;AY390,AW390="-"))</f>
        <v>1</v>
      </c>
      <c r="BC390" s="23">
        <f t="shared" ref="BC390" si="3581">_xlfn.AGGREGATE(9,6,CH390:CS390)-_xlfn.AGGREGATE(9,6,BV390:CG390)+12</f>
        <v>239</v>
      </c>
      <c r="BD390" s="2" t="s">
        <v>1371</v>
      </c>
      <c r="BE390" s="3" t="s">
        <v>1287</v>
      </c>
      <c r="BF390" s="118">
        <v>2.9</v>
      </c>
      <c r="BG390" s="49" t="s">
        <v>1277</v>
      </c>
      <c r="BH390" s="49" t="s">
        <v>1277</v>
      </c>
      <c r="BI390" s="1"/>
      <c r="BJ390" s="70" t="s">
        <v>1283</v>
      </c>
      <c r="BK390" s="57" t="s">
        <v>1283</v>
      </c>
      <c r="BL390" s="57" t="s">
        <v>1283</v>
      </c>
      <c r="BM390" s="57" t="s">
        <v>1283</v>
      </c>
      <c r="BN390" s="57" t="s">
        <v>1283</v>
      </c>
      <c r="BO390" s="57" t="s">
        <v>1283</v>
      </c>
      <c r="BP390" s="57" t="s">
        <v>1283</v>
      </c>
      <c r="BQ390" s="57" t="s">
        <v>1283</v>
      </c>
      <c r="BR390" s="57" t="s">
        <v>1283</v>
      </c>
      <c r="BS390" s="57" t="s">
        <v>1283</v>
      </c>
      <c r="BT390" s="57" t="s">
        <v>1283</v>
      </c>
      <c r="BU390" s="57" t="s">
        <v>1283</v>
      </c>
      <c r="BV390" s="70">
        <f t="shared" ref="BV390" si="3582">E390</f>
        <v>52</v>
      </c>
      <c r="BW390" s="71" t="str">
        <f t="shared" ref="BW390" si="3583">I390</f>
        <v>-</v>
      </c>
      <c r="BX390" s="72">
        <f t="shared" ref="BX390" si="3584">M390</f>
        <v>86</v>
      </c>
      <c r="BY390" s="71" t="str">
        <f t="shared" ref="BY390" si="3585">Q390</f>
        <v>-</v>
      </c>
      <c r="BZ390" s="72">
        <f t="shared" ref="BZ390" si="3586">U390</f>
        <v>127</v>
      </c>
      <c r="CA390" s="71">
        <f t="shared" ref="CA390" si="3587">Y390</f>
        <v>162</v>
      </c>
      <c r="CB390" s="72">
        <f t="shared" ref="CB390" si="3588">AC390</f>
        <v>170</v>
      </c>
      <c r="CC390" s="71">
        <f t="shared" ref="CC390" si="3589">AG390</f>
        <v>208</v>
      </c>
      <c r="CD390" s="72">
        <f t="shared" ref="CD390" si="3590">AK390</f>
        <v>226</v>
      </c>
      <c r="CE390" s="71">
        <f t="shared" ref="CE390" si="3591">AO390</f>
        <v>271</v>
      </c>
      <c r="CF390" s="72">
        <f t="shared" ref="CF390" si="3592">AS390</f>
        <v>323</v>
      </c>
      <c r="CG390" s="71">
        <f t="shared" ref="CG390" si="3593">AW390</f>
        <v>347</v>
      </c>
      <c r="CH390" s="70">
        <f t="shared" ref="CH390" si="3594">G390</f>
        <v>77</v>
      </c>
      <c r="CI390" s="71" t="str">
        <f t="shared" ref="CI390" si="3595">K390</f>
        <v>-</v>
      </c>
      <c r="CJ390" s="72">
        <f t="shared" ref="CJ390" si="3596">O390</f>
        <v>117</v>
      </c>
      <c r="CK390" s="72" t="str">
        <f t="shared" ref="CK390" si="3597">S390</f>
        <v>-</v>
      </c>
      <c r="CL390" s="72">
        <f t="shared" ref="CL390" si="3598">W390</f>
        <v>161</v>
      </c>
      <c r="CM390" s="72">
        <f t="shared" ref="CM390" si="3599">AA390</f>
        <v>169</v>
      </c>
      <c r="CN390" s="72">
        <f t="shared" ref="CN390" si="3600">AE390</f>
        <v>195</v>
      </c>
      <c r="CO390" s="72">
        <f t="shared" ref="CO390" si="3601">AI390</f>
        <v>210</v>
      </c>
      <c r="CP390" s="72">
        <f t="shared" ref="CP390" si="3602">AM390</f>
        <v>264</v>
      </c>
      <c r="CQ390" s="72">
        <f t="shared" ref="CQ390" si="3603">AQ390</f>
        <v>307</v>
      </c>
      <c r="CR390" s="72">
        <f t="shared" ref="CR390" si="3604">AU390</f>
        <v>346</v>
      </c>
      <c r="CS390" s="72">
        <f t="shared" ref="CS390" si="3605">AY390</f>
        <v>353</v>
      </c>
      <c r="CT390" s="23" t="e">
        <f t="shared" ref="CT390" si="3606">M390-K390</f>
        <v>#VALUE!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29" x14ac:dyDescent="0.2">
      <c r="A391" s="3" t="str">
        <f t="shared" si="3551"/>
        <v>pe2r3_human_6M9T</v>
      </c>
      <c r="B391" s="3" t="s">
        <v>362</v>
      </c>
      <c r="C391" s="3" t="s">
        <v>1534</v>
      </c>
      <c r="D391" s="3" t="str">
        <f>IFERROR(MID(VLOOKUP($B391,Seqs!$A:$B,2,0),E391,1),"")</f>
        <v>V</v>
      </c>
      <c r="E391" s="3">
        <v>52</v>
      </c>
      <c r="F391" s="3" t="str">
        <f>IFERROR(MID(VLOOKUP($B391,Seqs!$A:$B,2,0),G391,1),"")</f>
        <v>R</v>
      </c>
      <c r="G391" s="3">
        <v>78</v>
      </c>
      <c r="H391" s="3" t="str">
        <f>IFERROR(MID(VLOOKUP($B391,Seqs!$A:$B,2,0),I391,1),"")</f>
        <v/>
      </c>
      <c r="I391" s="23" t="s">
        <v>23</v>
      </c>
      <c r="J391" s="3" t="str">
        <f>IFERROR(MID(VLOOKUP($B391,Seqs!$A:$B,2,0),K391,1),"")</f>
        <v/>
      </c>
      <c r="K391" s="23" t="s">
        <v>23</v>
      </c>
      <c r="L391" s="3" t="str">
        <f>IFERROR(MID(VLOOKUP($B391,Seqs!$A:$B,2,0),M391,1),"")</f>
        <v>K</v>
      </c>
      <c r="M391" s="3">
        <v>85</v>
      </c>
      <c r="N391" s="3" t="str">
        <f>IFERROR(MID(VLOOKUP($B391,Seqs!$A:$B,2,0),O391,1),"")</f>
        <v>K</v>
      </c>
      <c r="O391" s="3">
        <v>117</v>
      </c>
      <c r="P391" s="3" t="str">
        <f>IFERROR(MID(VLOOKUP($B391,Seqs!$A:$B,2,0),Q391,1),"")</f>
        <v>Q</v>
      </c>
      <c r="Q391" s="3">
        <v>118</v>
      </c>
      <c r="R391" s="3" t="str">
        <f>IFERROR(MID(VLOOKUP($B391,Seqs!$A:$B,2,0),S391,1),"")</f>
        <v>S</v>
      </c>
      <c r="S391" s="3">
        <v>126</v>
      </c>
      <c r="T391" s="3" t="str">
        <f>IFERROR(MID(VLOOKUP($B391,Seqs!$A:$B,2,0),U391,1),"")</f>
        <v>G</v>
      </c>
      <c r="U391" s="3">
        <v>127</v>
      </c>
      <c r="V391" s="3" t="str">
        <f>IFERROR(MID(VLOOKUP($B391,Seqs!$A:$B,2,0),W391,1),"")</f>
        <v>A</v>
      </c>
      <c r="W391" s="3">
        <v>161</v>
      </c>
      <c r="X391" s="3" t="str">
        <f>IFERROR(MID(VLOOKUP($B391,Seqs!$A:$B,2,0),Y391,1),"")</f>
        <v>P</v>
      </c>
      <c r="Y391" s="3">
        <v>162</v>
      </c>
      <c r="Z391" s="3" t="str">
        <f>IFERROR(MID(VLOOKUP($B391,Seqs!$A:$B,2,0),AA391,1),"")</f>
        <v>M</v>
      </c>
      <c r="AA391" s="3">
        <v>169</v>
      </c>
      <c r="AB391" s="3" t="str">
        <f>IFERROR(MID(VLOOKUP($B391,Seqs!$A:$B,2,0),AC391,1),"")</f>
        <v>K</v>
      </c>
      <c r="AC391" s="3">
        <v>170</v>
      </c>
      <c r="AD391" s="3" t="str">
        <f>IFERROR(MID(VLOOKUP($B391,Seqs!$A:$B,2,0),AE391,1),"")</f>
        <v>G</v>
      </c>
      <c r="AE391" s="3">
        <v>195</v>
      </c>
      <c r="AF391" s="3" t="str">
        <f>IFERROR(MID(VLOOKUP($B391,Seqs!$A:$B,2,0),AG391,1),"")</f>
        <v>C</v>
      </c>
      <c r="AG391" s="3">
        <v>208</v>
      </c>
      <c r="AH391" s="3" t="str">
        <f>IFERROR(MID(VLOOKUP($B391,Seqs!$A:$B,2,0),AI391,1),"")</f>
        <v>I</v>
      </c>
      <c r="AI391" s="3">
        <v>210</v>
      </c>
      <c r="AJ391" s="3" t="str">
        <f>IFERROR(MID(VLOOKUP($B391,Seqs!$A:$B,2,0),AK391,1),"")</f>
        <v>W</v>
      </c>
      <c r="AK391" s="3">
        <v>225</v>
      </c>
      <c r="AL391" s="3" t="str">
        <f>IFERROR(MID(VLOOKUP($B391,Seqs!$A:$B,2,0),AM391,1),"")</f>
        <v>S</v>
      </c>
      <c r="AM391" s="3">
        <v>258</v>
      </c>
      <c r="AN391" s="3" t="str">
        <f>IFERROR(MID(VLOOKUP($B391,Seqs!$A:$B,2,0),AO391,1),"")</f>
        <v>R</v>
      </c>
      <c r="AO391" s="3">
        <v>275</v>
      </c>
      <c r="AP391" s="3" t="str">
        <f>IFERROR(MID(VLOOKUP($B391,Seqs!$A:$B,2,0),AQ391,1),"")</f>
        <v>F</v>
      </c>
      <c r="AQ391" s="3">
        <v>307</v>
      </c>
      <c r="AR391" s="3" t="str">
        <f>IFERROR(MID(VLOOKUP($B391,Seqs!$A:$B,2,0),AS391,1),"")</f>
        <v>K</v>
      </c>
      <c r="AS391" s="3">
        <v>323</v>
      </c>
      <c r="AT391" s="3" t="str">
        <f>IFERROR(MID(VLOOKUP($B391,Seqs!$A:$B,2,0),AU391,1),"")</f>
        <v>Y</v>
      </c>
      <c r="AU391" s="3">
        <v>346</v>
      </c>
      <c r="AV391" s="3" t="str">
        <f>IFERROR(MID(VLOOKUP($B391,Seqs!$A:$B,2,0),AW391,1),"")</f>
        <v>L</v>
      </c>
      <c r="AW391" s="3">
        <v>347</v>
      </c>
      <c r="AX391" s="3" t="str">
        <f>IFERROR(MID(VLOOKUP($B391,Seqs!$A:$B,2,0),AY391,1),"")</f>
        <v>L</v>
      </c>
      <c r="AY391" s="3">
        <v>353</v>
      </c>
      <c r="AZ391" s="77" t="str">
        <f>VLOOKUP(B391,Classification!A:D,2,0)</f>
        <v>A</v>
      </c>
      <c r="BA391" s="94" t="str">
        <f>VLOOKUP(B391,Classification!A:D,4,0)</f>
        <v>Prostanoid</v>
      </c>
      <c r="BB391" s="27" t="b">
        <f t="shared" si="3552"/>
        <v>1</v>
      </c>
      <c r="BC391" s="23">
        <f t="shared" si="3553"/>
        <v>240</v>
      </c>
      <c r="BD391" s="2" t="s">
        <v>1425</v>
      </c>
      <c r="BE391" s="3" t="s">
        <v>1467</v>
      </c>
      <c r="BF391" s="118">
        <v>2.5</v>
      </c>
      <c r="BG391" s="49" t="s">
        <v>1</v>
      </c>
      <c r="BH391" s="49" t="s">
        <v>1</v>
      </c>
      <c r="BI391" s="1"/>
      <c r="BJ391" s="70" t="s">
        <v>1283</v>
      </c>
      <c r="BK391" s="57" t="s">
        <v>1283</v>
      </c>
      <c r="BL391" s="57" t="s">
        <v>1283</v>
      </c>
      <c r="BM391" s="57" t="s">
        <v>1283</v>
      </c>
      <c r="BN391" s="57" t="s">
        <v>1283</v>
      </c>
      <c r="BO391" s="57" t="s">
        <v>1283</v>
      </c>
      <c r="BP391" s="57" t="s">
        <v>1283</v>
      </c>
      <c r="BQ391" s="57" t="s">
        <v>1283</v>
      </c>
      <c r="BR391" s="57" t="s">
        <v>1283</v>
      </c>
      <c r="BS391" s="57" t="s">
        <v>1283</v>
      </c>
      <c r="BT391" s="57" t="s">
        <v>1283</v>
      </c>
      <c r="BU391" s="57" t="s">
        <v>1283</v>
      </c>
      <c r="BV391" s="70">
        <f t="shared" si="3554"/>
        <v>52</v>
      </c>
      <c r="BW391" s="71" t="str">
        <f t="shared" si="3555"/>
        <v>-</v>
      </c>
      <c r="BX391" s="72">
        <f t="shared" si="3556"/>
        <v>85</v>
      </c>
      <c r="BY391" s="71">
        <f t="shared" si="3557"/>
        <v>118</v>
      </c>
      <c r="BZ391" s="72">
        <f t="shared" si="3558"/>
        <v>127</v>
      </c>
      <c r="CA391" s="71">
        <f t="shared" si="3559"/>
        <v>162</v>
      </c>
      <c r="CB391" s="72">
        <f t="shared" si="3560"/>
        <v>170</v>
      </c>
      <c r="CC391" s="71">
        <f t="shared" si="3561"/>
        <v>208</v>
      </c>
      <c r="CD391" s="72">
        <f t="shared" si="3562"/>
        <v>225</v>
      </c>
      <c r="CE391" s="71">
        <f t="shared" si="3563"/>
        <v>275</v>
      </c>
      <c r="CF391" s="72">
        <f t="shared" si="3564"/>
        <v>323</v>
      </c>
      <c r="CG391" s="71">
        <f t="shared" si="3565"/>
        <v>347</v>
      </c>
      <c r="CH391" s="70">
        <f t="shared" si="3566"/>
        <v>78</v>
      </c>
      <c r="CI391" s="71" t="str">
        <f t="shared" si="3567"/>
        <v>-</v>
      </c>
      <c r="CJ391" s="72">
        <f t="shared" si="3568"/>
        <v>117</v>
      </c>
      <c r="CK391" s="72">
        <f t="shared" si="3569"/>
        <v>126</v>
      </c>
      <c r="CL391" s="72">
        <f t="shared" si="3570"/>
        <v>161</v>
      </c>
      <c r="CM391" s="72">
        <f t="shared" si="3571"/>
        <v>169</v>
      </c>
      <c r="CN391" s="72">
        <f t="shared" si="3572"/>
        <v>195</v>
      </c>
      <c r="CO391" s="72">
        <f t="shared" si="3573"/>
        <v>210</v>
      </c>
      <c r="CP391" s="72">
        <f t="shared" si="3574"/>
        <v>258</v>
      </c>
      <c r="CQ391" s="72">
        <f t="shared" si="3575"/>
        <v>307</v>
      </c>
      <c r="CR391" s="72">
        <f t="shared" si="3576"/>
        <v>346</v>
      </c>
      <c r="CS391" s="72">
        <f t="shared" si="3577"/>
        <v>353</v>
      </c>
      <c r="CT391" s="23" t="e">
        <f t="shared" si="3578"/>
        <v>#VALUE!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29" x14ac:dyDescent="0.2">
      <c r="A392" s="3" t="str">
        <f t="shared" ref="A392" si="3607">CONCATENATE(B392,"_",C392)</f>
        <v>pe2r4_human__wt</v>
      </c>
      <c r="B392" s="3" t="s">
        <v>363</v>
      </c>
      <c r="C392" s="3" t="s">
        <v>100</v>
      </c>
      <c r="D392" s="3" t="str">
        <f>IFERROR(MID(VLOOKUP($B392,Seqs!$A:$B,2,0),E392,1),"")</f>
        <v>N</v>
      </c>
      <c r="E392" s="3">
        <v>18</v>
      </c>
      <c r="F392" s="3" t="str">
        <f>IFERROR(MID(VLOOKUP($B392,Seqs!$A:$B,2,0),G392,1),"")</f>
        <v>C</v>
      </c>
      <c r="G392" s="3">
        <v>43</v>
      </c>
      <c r="H392" s="3" t="str">
        <f>IFERROR(MID(VLOOKUP($B392,Seqs!$A:$B,2,0),I392,1),"")</f>
        <v/>
      </c>
      <c r="I392" s="23" t="s">
        <v>23</v>
      </c>
      <c r="J392" s="3" t="str">
        <f>IFERROR(MID(VLOOKUP($B392,Seqs!$A:$B,2,0),K392,1),"")</f>
        <v/>
      </c>
      <c r="K392" s="23" t="s">
        <v>23</v>
      </c>
      <c r="L392" s="3" t="str">
        <f>IFERROR(MID(VLOOKUP($B392,Seqs!$A:$B,2,0),M392,1),"")</f>
        <v>E</v>
      </c>
      <c r="M392" s="3">
        <v>51</v>
      </c>
      <c r="N392" s="3" t="str">
        <f>IFERROR(MID(VLOOKUP($B392,Seqs!$A:$B,2,0),O392,1),"")</f>
        <v>K</v>
      </c>
      <c r="O392" s="3">
        <v>82</v>
      </c>
      <c r="P392" s="3" t="str">
        <f>IFERROR(MID(VLOOKUP($B392,Seqs!$A:$B,2,0),Q392,1),"")</f>
        <v>Q</v>
      </c>
      <c r="Q392" s="3">
        <v>84</v>
      </c>
      <c r="R392" s="3" t="str">
        <f>IFERROR(MID(VLOOKUP($B392,Seqs!$A:$B,2,0),S392,1),"")</f>
        <v>G</v>
      </c>
      <c r="S392" s="3">
        <v>87</v>
      </c>
      <c r="T392" s="3" t="str">
        <f>IFERROR(MID(VLOOKUP($B392,Seqs!$A:$B,2,0),U392,1),"")</f>
        <v>G</v>
      </c>
      <c r="U392" s="3">
        <v>88</v>
      </c>
      <c r="V392" s="3" t="str">
        <f>IFERROR(MID(VLOOKUP($B392,Seqs!$A:$B,2,0),W392,1),"")</f>
        <v>H</v>
      </c>
      <c r="W392" s="3">
        <v>123</v>
      </c>
      <c r="X392" s="3" t="str">
        <f>IFERROR(MID(VLOOKUP($B392,Seqs!$A:$B,2,0),Y392,1),"")</f>
        <v>A</v>
      </c>
      <c r="Y392" s="3">
        <v>124</v>
      </c>
      <c r="Z392" s="3" t="str">
        <f>IFERROR(MID(VLOOKUP($B392,Seqs!$A:$B,2,0),AA392,1),"")</f>
        <v>V</v>
      </c>
      <c r="AA392" s="3">
        <v>131</v>
      </c>
      <c r="AB392" s="3" t="str">
        <f>IFERROR(MID(VLOOKUP($B392,Seqs!$A:$B,2,0),AC392,1),"")</f>
        <v>D</v>
      </c>
      <c r="AC392" s="3">
        <v>132</v>
      </c>
      <c r="AD392" s="3" t="str">
        <f>IFERROR(MID(VLOOKUP($B392,Seqs!$A:$B,2,0),AE392,1),"")</f>
        <v>G</v>
      </c>
      <c r="AE392" s="3">
        <v>157</v>
      </c>
      <c r="AF392" s="3" t="str">
        <f>IFERROR(MID(VLOOKUP($B392,Seqs!$A:$B,2,0),AG392,1),"")</f>
        <v>C</v>
      </c>
      <c r="AG392" s="3">
        <v>170</v>
      </c>
      <c r="AH392" s="3" t="str">
        <f>IFERROR(MID(VLOOKUP($B392,Seqs!$A:$B,2,0),AI392,1),"")</f>
        <v>I</v>
      </c>
      <c r="AI392" s="3">
        <v>172</v>
      </c>
      <c r="AJ392" s="3" t="str">
        <f>IFERROR(MID(VLOOKUP($B392,Seqs!$A:$B,2,0),AK392,1),"")</f>
        <v>V</v>
      </c>
      <c r="AK392" s="3">
        <v>178</v>
      </c>
      <c r="AL392" s="3" t="str">
        <f>IFERROR(MID(VLOOKUP($B392,Seqs!$A:$B,2,0),AM392,1),"")</f>
        <v>L</v>
      </c>
      <c r="AM392" s="3">
        <v>223</v>
      </c>
      <c r="AN392" s="3" t="str">
        <f>IFERROR(MID(VLOOKUP($B392,Seqs!$A:$B,2,0),AO392,1),"")</f>
        <v>R</v>
      </c>
      <c r="AO392" s="3">
        <v>261</v>
      </c>
      <c r="AP392" s="3" t="str">
        <f>IFERROR(MID(VLOOKUP($B392,Seqs!$A:$B,2,0),AQ392,1),"")</f>
        <v>Y</v>
      </c>
      <c r="AQ392" s="3">
        <v>298</v>
      </c>
      <c r="AR392" s="3" t="str">
        <f>IFERROR(MID(VLOOKUP($B392,Seqs!$A:$B,2,0),AS392,1),"")</f>
        <v>N</v>
      </c>
      <c r="AS392" s="3">
        <v>309</v>
      </c>
      <c r="AT392" s="3" t="str">
        <f>IFERROR(MID(VLOOKUP($B392,Seqs!$A:$B,2,0),AU392,1),"")</f>
        <v>L</v>
      </c>
      <c r="AU392" s="3">
        <v>332</v>
      </c>
      <c r="AV392" s="3" t="str">
        <f>IFERROR(MID(VLOOKUP($B392,Seqs!$A:$B,2,0),AW392,1),"")</f>
        <v>R</v>
      </c>
      <c r="AW392" s="3">
        <v>333</v>
      </c>
      <c r="AX392" s="3" t="str">
        <f>IFERROR(MID(VLOOKUP($B392,Seqs!$A:$B,2,0),AY392,1),"")</f>
        <v>C</v>
      </c>
      <c r="AY392" s="3">
        <v>346</v>
      </c>
      <c r="AZ392" s="77" t="str">
        <f>VLOOKUP(B392,Classification!A:D,2,0)</f>
        <v>A</v>
      </c>
      <c r="BA392" s="94" t="str">
        <f>VLOOKUP(B392,Classification!A:D,4,0)</f>
        <v>Prostanoid</v>
      </c>
      <c r="BB392" s="27" t="b">
        <f t="shared" ref="BB392" si="3608">AND(E392&lt;G392,OR(G392&lt;I392,I392="-"),OR(I392&lt;K392,I392="-"),OR(K392&lt;M392,K392="-"),M392&lt;O392,OR(O392&lt;Q392,Q392="-"),OR(Q392&lt;S392,Q392="-"),OR(S392&lt;U392,S392="-"),U392&lt;W392,OR(W392&lt;Y392,Y392="-"),OR(Y392&lt;AA392,Y392="-"),OR(AA392&lt;AC392,AA392="-"),AC392&lt;AE392,OR(AE392&lt;AG392,AG392="-"),OR(AG392&lt;AI392,AG392="-"),OR(AI392&lt;AK392,AI392="-"),AK392&lt;AM392,AM392&lt;AO392,AO392&lt;AQ392,AQ392&lt;AS392,AS392&lt;AU392,OR(AU392&lt;AW392,AW392="-"),OR(AW392&lt;AY392,AW392="-"))</f>
        <v>1</v>
      </c>
      <c r="BC392" s="23">
        <f t="shared" ref="BC392" si="3609">_xlfn.AGGREGATE(9,6,CH392:CS392)-_xlfn.AGGREGATE(9,6,BV392:CG392)+12</f>
        <v>258</v>
      </c>
      <c r="BD392" s="2" t="s">
        <v>23</v>
      </c>
      <c r="BE392" s="3" t="s">
        <v>23</v>
      </c>
      <c r="BF392" s="118" t="s">
        <v>23</v>
      </c>
      <c r="BG392" s="49" t="s">
        <v>23</v>
      </c>
      <c r="BH392" s="49" t="s">
        <v>23</v>
      </c>
      <c r="BI392" s="1"/>
      <c r="BJ392" s="70" t="s">
        <v>1283</v>
      </c>
      <c r="BK392" s="57" t="s">
        <v>1283</v>
      </c>
      <c r="BL392" s="57" t="s">
        <v>1283</v>
      </c>
      <c r="BM392" s="57" t="s">
        <v>1283</v>
      </c>
      <c r="BN392" s="57" t="s">
        <v>1283</v>
      </c>
      <c r="BO392" s="57" t="s">
        <v>1283</v>
      </c>
      <c r="BP392" s="57" t="s">
        <v>1283</v>
      </c>
      <c r="BQ392" s="57" t="s">
        <v>1283</v>
      </c>
      <c r="BR392" s="57" t="s">
        <v>1283</v>
      </c>
      <c r="BS392" s="57" t="s">
        <v>1283</v>
      </c>
      <c r="BT392" s="57" t="s">
        <v>1283</v>
      </c>
      <c r="BU392" s="57" t="s">
        <v>1283</v>
      </c>
      <c r="BV392" s="70">
        <f t="shared" ref="BV392" si="3610">E392</f>
        <v>18</v>
      </c>
      <c r="BW392" s="71" t="str">
        <f t="shared" ref="BW392" si="3611">I392</f>
        <v>-</v>
      </c>
      <c r="BX392" s="72">
        <f t="shared" ref="BX392" si="3612">M392</f>
        <v>51</v>
      </c>
      <c r="BY392" s="71">
        <f t="shared" ref="BY392" si="3613">Q392</f>
        <v>84</v>
      </c>
      <c r="BZ392" s="72">
        <f t="shared" ref="BZ392" si="3614">U392</f>
        <v>88</v>
      </c>
      <c r="CA392" s="71">
        <f t="shared" ref="CA392" si="3615">Y392</f>
        <v>124</v>
      </c>
      <c r="CB392" s="72">
        <f t="shared" ref="CB392" si="3616">AC392</f>
        <v>132</v>
      </c>
      <c r="CC392" s="71">
        <f t="shared" ref="CC392" si="3617">AG392</f>
        <v>170</v>
      </c>
      <c r="CD392" s="72">
        <f t="shared" ref="CD392" si="3618">AK392</f>
        <v>178</v>
      </c>
      <c r="CE392" s="71">
        <f t="shared" ref="CE392" si="3619">AO392</f>
        <v>261</v>
      </c>
      <c r="CF392" s="72">
        <f t="shared" ref="CF392" si="3620">AS392</f>
        <v>309</v>
      </c>
      <c r="CG392" s="71">
        <f t="shared" ref="CG392" si="3621">AW392</f>
        <v>333</v>
      </c>
      <c r="CH392" s="70">
        <f t="shared" ref="CH392" si="3622">G392</f>
        <v>43</v>
      </c>
      <c r="CI392" s="71" t="str">
        <f t="shared" ref="CI392" si="3623">K392</f>
        <v>-</v>
      </c>
      <c r="CJ392" s="72">
        <f t="shared" ref="CJ392" si="3624">O392</f>
        <v>82</v>
      </c>
      <c r="CK392" s="72">
        <f t="shared" ref="CK392" si="3625">S392</f>
        <v>87</v>
      </c>
      <c r="CL392" s="72">
        <f t="shared" ref="CL392" si="3626">W392</f>
        <v>123</v>
      </c>
      <c r="CM392" s="72">
        <f t="shared" ref="CM392" si="3627">AA392</f>
        <v>131</v>
      </c>
      <c r="CN392" s="72">
        <f t="shared" ref="CN392" si="3628">AE392</f>
        <v>157</v>
      </c>
      <c r="CO392" s="72">
        <f t="shared" ref="CO392" si="3629">AI392</f>
        <v>172</v>
      </c>
      <c r="CP392" s="72">
        <f t="shared" ref="CP392" si="3630">AM392</f>
        <v>223</v>
      </c>
      <c r="CQ392" s="72">
        <f t="shared" ref="CQ392" si="3631">AQ392</f>
        <v>298</v>
      </c>
      <c r="CR392" s="72">
        <f t="shared" ref="CR392" si="3632">AU392</f>
        <v>332</v>
      </c>
      <c r="CS392" s="72">
        <f t="shared" ref="CS392" si="3633">AY392</f>
        <v>346</v>
      </c>
      <c r="CT392" s="23" t="e">
        <f t="shared" ref="CT392" si="3634">M392-K392</f>
        <v>#VALUE!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29" x14ac:dyDescent="0.2">
      <c r="A393" s="3" t="str">
        <f>CONCATENATE(B393,"_",C393)</f>
        <v>pe2r4_human_5YWY</v>
      </c>
      <c r="B393" s="3" t="s">
        <v>363</v>
      </c>
      <c r="C393" s="3" t="s">
        <v>1532</v>
      </c>
      <c r="D393" s="3" t="str">
        <f>IFERROR(MID(VLOOKUP($B393,Seqs!$A:$B,2,0),E393,1),"")</f>
        <v>N</v>
      </c>
      <c r="E393" s="3">
        <v>18</v>
      </c>
      <c r="F393" s="3" t="str">
        <f>IFERROR(MID(VLOOKUP($B393,Seqs!$A:$B,2,0),G393,1),"")</f>
        <v>C</v>
      </c>
      <c r="G393" s="3">
        <v>43</v>
      </c>
      <c r="H393" s="3" t="str">
        <f>IFERROR(MID(VLOOKUP($B393,Seqs!$A:$B,2,0),I393,1),"")</f>
        <v/>
      </c>
      <c r="I393" s="23" t="s">
        <v>23</v>
      </c>
      <c r="J393" s="3" t="str">
        <f>IFERROR(MID(VLOOKUP($B393,Seqs!$A:$B,2,0),K393,1),"")</f>
        <v/>
      </c>
      <c r="K393" s="23" t="s">
        <v>23</v>
      </c>
      <c r="L393" s="3" t="str">
        <f>IFERROR(MID(VLOOKUP($B393,Seqs!$A:$B,2,0),M393,1),"")</f>
        <v>E</v>
      </c>
      <c r="M393" s="3">
        <v>51</v>
      </c>
      <c r="N393" s="3" t="str">
        <f>IFERROR(MID(VLOOKUP($B393,Seqs!$A:$B,2,0),O393,1),"")</f>
        <v>K</v>
      </c>
      <c r="O393" s="3">
        <v>82</v>
      </c>
      <c r="P393" s="3" t="str">
        <f>IFERROR(MID(VLOOKUP($B393,Seqs!$A:$B,2,0),Q393,1),"")</f>
        <v>Q</v>
      </c>
      <c r="Q393" s="3">
        <v>84</v>
      </c>
      <c r="R393" s="3" t="str">
        <f>IFERROR(MID(VLOOKUP($B393,Seqs!$A:$B,2,0),S393,1),"")</f>
        <v>G</v>
      </c>
      <c r="S393" s="3">
        <v>87</v>
      </c>
      <c r="T393" s="3" t="str">
        <f>IFERROR(MID(VLOOKUP($B393,Seqs!$A:$B,2,0),U393,1),"")</f>
        <v>G</v>
      </c>
      <c r="U393" s="3">
        <v>88</v>
      </c>
      <c r="V393" s="3" t="str">
        <f>IFERROR(MID(VLOOKUP($B393,Seqs!$A:$B,2,0),W393,1),"")</f>
        <v>H</v>
      </c>
      <c r="W393" s="3">
        <v>123</v>
      </c>
      <c r="X393" s="3" t="str">
        <f>IFERROR(MID(VLOOKUP($B393,Seqs!$A:$B,2,0),Y393,1),"")</f>
        <v>A</v>
      </c>
      <c r="Y393" s="3">
        <v>124</v>
      </c>
      <c r="Z393" s="3" t="str">
        <f>IFERROR(MID(VLOOKUP($B393,Seqs!$A:$B,2,0),AA393,1),"")</f>
        <v>V</v>
      </c>
      <c r="AA393" s="3">
        <v>131</v>
      </c>
      <c r="AB393" s="3" t="str">
        <f>IFERROR(MID(VLOOKUP($B393,Seqs!$A:$B,2,0),AC393,1),"")</f>
        <v>D</v>
      </c>
      <c r="AC393" s="3">
        <v>132</v>
      </c>
      <c r="AD393" s="3" t="str">
        <f>IFERROR(MID(VLOOKUP($B393,Seqs!$A:$B,2,0),AE393,1),"")</f>
        <v>G</v>
      </c>
      <c r="AE393" s="3">
        <v>157</v>
      </c>
      <c r="AF393" s="3" t="str">
        <f>IFERROR(MID(VLOOKUP($B393,Seqs!$A:$B,2,0),AG393,1),"")</f>
        <v>C</v>
      </c>
      <c r="AG393" s="3">
        <v>170</v>
      </c>
      <c r="AH393" s="3" t="str">
        <f>IFERROR(MID(VLOOKUP($B393,Seqs!$A:$B,2,0),AI393,1),"")</f>
        <v>I</v>
      </c>
      <c r="AI393" s="3">
        <v>172</v>
      </c>
      <c r="AJ393" s="3" t="str">
        <f>IFERROR(MID(VLOOKUP($B393,Seqs!$A:$B,2,0),AK393,1),"")</f>
        <v>V</v>
      </c>
      <c r="AK393" s="3">
        <v>178</v>
      </c>
      <c r="AL393" s="3" t="str">
        <f>IFERROR(MID(VLOOKUP($B393,Seqs!$A:$B,2,0),AM393,1),"")</f>
        <v>H</v>
      </c>
      <c r="AM393" s="3">
        <v>214</v>
      </c>
      <c r="AN393" s="3" t="str">
        <f>IFERROR(MID(VLOOKUP($B393,Seqs!$A:$B,2,0),AO393,1),"")</f>
        <v>A</v>
      </c>
      <c r="AO393" s="3">
        <v>266</v>
      </c>
      <c r="AP393" s="3" t="str">
        <f>IFERROR(MID(VLOOKUP($B393,Seqs!$A:$B,2,0),AQ393,1),"")</f>
        <v>Y</v>
      </c>
      <c r="AQ393" s="3">
        <v>298</v>
      </c>
      <c r="AR393" s="3" t="str">
        <f>IFERROR(MID(VLOOKUP($B393,Seqs!$A:$B,2,0),AS393,1),"")</f>
        <v>N</v>
      </c>
      <c r="AS393" s="3">
        <v>309</v>
      </c>
      <c r="AT393" s="3" t="str">
        <f>IFERROR(MID(VLOOKUP($B393,Seqs!$A:$B,2,0),AU393,1),"")</f>
        <v>L</v>
      </c>
      <c r="AU393" s="3">
        <v>332</v>
      </c>
      <c r="AV393" s="3" t="str">
        <f>IFERROR(MID(VLOOKUP($B393,Seqs!$A:$B,2,0),AW393,1),"")</f>
        <v>R</v>
      </c>
      <c r="AW393" s="3">
        <v>333</v>
      </c>
      <c r="AX393" s="3" t="str">
        <f>IFERROR(MID(VLOOKUP($B393,Seqs!$A:$B,2,0),AY393,1),"")</f>
        <v>I</v>
      </c>
      <c r="AY393" s="3">
        <v>344</v>
      </c>
      <c r="AZ393" s="77" t="str">
        <f>VLOOKUP(B393,Classification!A:D,2,0)</f>
        <v>A</v>
      </c>
      <c r="BA393" s="94" t="str">
        <f>VLOOKUP(B393,Classification!A:D,4,0)</f>
        <v>Prostanoid</v>
      </c>
      <c r="BB393" s="27" t="b">
        <f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23">
        <f>_xlfn.AGGREGATE(9,6,CH393:CS393)-_xlfn.AGGREGATE(9,6,BV393:CG393)+12</f>
        <v>242</v>
      </c>
      <c r="BD393" s="2" t="s">
        <v>1372</v>
      </c>
      <c r="BE393" s="3" t="s">
        <v>1370</v>
      </c>
      <c r="BF393" s="118">
        <v>3.2</v>
      </c>
      <c r="BG393" s="49" t="s">
        <v>1</v>
      </c>
      <c r="BH393" s="49" t="s">
        <v>1</v>
      </c>
      <c r="BI393" s="1"/>
      <c r="BJ393" s="70" t="s">
        <v>1283</v>
      </c>
      <c r="BK393" s="57" t="s">
        <v>1283</v>
      </c>
      <c r="BL393" s="57" t="s">
        <v>1283</v>
      </c>
      <c r="BM393" s="57" t="s">
        <v>1283</v>
      </c>
      <c r="BN393" s="57" t="s">
        <v>1283</v>
      </c>
      <c r="BO393" s="57" t="s">
        <v>1283</v>
      </c>
      <c r="BP393" s="57" t="s">
        <v>1283</v>
      </c>
      <c r="BQ393" s="57" t="s">
        <v>1283</v>
      </c>
      <c r="BR393" s="57" t="s">
        <v>1283</v>
      </c>
      <c r="BS393" s="57" t="s">
        <v>1283</v>
      </c>
      <c r="BT393" s="57" t="s">
        <v>1283</v>
      </c>
      <c r="BU393" s="57" t="s">
        <v>1283</v>
      </c>
      <c r="BV393" s="70">
        <f>E393</f>
        <v>18</v>
      </c>
      <c r="BW393" s="71" t="str">
        <f>I393</f>
        <v>-</v>
      </c>
      <c r="BX393" s="72">
        <f>M393</f>
        <v>51</v>
      </c>
      <c r="BY393" s="71">
        <f>Q393</f>
        <v>84</v>
      </c>
      <c r="BZ393" s="72">
        <f>U393</f>
        <v>88</v>
      </c>
      <c r="CA393" s="71">
        <f>Y393</f>
        <v>124</v>
      </c>
      <c r="CB393" s="72">
        <f>AC393</f>
        <v>132</v>
      </c>
      <c r="CC393" s="71">
        <f>AG393</f>
        <v>170</v>
      </c>
      <c r="CD393" s="72">
        <f>AK393</f>
        <v>178</v>
      </c>
      <c r="CE393" s="71">
        <f>AO393</f>
        <v>266</v>
      </c>
      <c r="CF393" s="72">
        <f>AS393</f>
        <v>309</v>
      </c>
      <c r="CG393" s="71">
        <f>AW393</f>
        <v>333</v>
      </c>
      <c r="CH393" s="70">
        <f>G393</f>
        <v>43</v>
      </c>
      <c r="CI393" s="71" t="str">
        <f>K393</f>
        <v>-</v>
      </c>
      <c r="CJ393" s="72">
        <f>O393</f>
        <v>82</v>
      </c>
      <c r="CK393" s="72">
        <f>S393</f>
        <v>87</v>
      </c>
      <c r="CL393" s="72">
        <f>W393</f>
        <v>123</v>
      </c>
      <c r="CM393" s="72">
        <f>AA393</f>
        <v>131</v>
      </c>
      <c r="CN393" s="72">
        <f>AE393</f>
        <v>157</v>
      </c>
      <c r="CO393" s="72">
        <f>AI393</f>
        <v>172</v>
      </c>
      <c r="CP393" s="72">
        <f>AM393</f>
        <v>214</v>
      </c>
      <c r="CQ393" s="72">
        <f>AQ393</f>
        <v>298</v>
      </c>
      <c r="CR393" s="72">
        <f>AU393</f>
        <v>332</v>
      </c>
      <c r="CS393" s="72">
        <f>AY393</f>
        <v>344</v>
      </c>
      <c r="CT393" s="23" t="e">
        <f>M393-K393</f>
        <v>#VALUE!</v>
      </c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</row>
    <row r="394" spans="1:1029" x14ac:dyDescent="0.2">
      <c r="A394" s="3" t="str">
        <f>CONCATENATE(B394,"_",C394)</f>
        <v>pe2r4_human_5YHL</v>
      </c>
      <c r="B394" s="3" t="s">
        <v>363</v>
      </c>
      <c r="C394" s="3" t="s">
        <v>1533</v>
      </c>
      <c r="D394" s="3" t="str">
        <f>IFERROR(MID(VLOOKUP($B394,Seqs!$A:$B,2,0),E394,1),"")</f>
        <v>N</v>
      </c>
      <c r="E394" s="3">
        <v>18</v>
      </c>
      <c r="F394" s="3" t="str">
        <f>IFERROR(MID(VLOOKUP($B394,Seqs!$A:$B,2,0),G394,1),"")</f>
        <v>C</v>
      </c>
      <c r="G394" s="3">
        <v>43</v>
      </c>
      <c r="H394" s="3" t="str">
        <f>IFERROR(MID(VLOOKUP($B394,Seqs!$A:$B,2,0),I394,1),"")</f>
        <v/>
      </c>
      <c r="I394" s="23" t="s">
        <v>23</v>
      </c>
      <c r="J394" s="3" t="str">
        <f>IFERROR(MID(VLOOKUP($B394,Seqs!$A:$B,2,0),K394,1),"")</f>
        <v/>
      </c>
      <c r="K394" s="23" t="s">
        <v>23</v>
      </c>
      <c r="L394" s="3" t="str">
        <f>IFERROR(MID(VLOOKUP($B394,Seqs!$A:$B,2,0),M394,1),"")</f>
        <v>E</v>
      </c>
      <c r="M394" s="3">
        <v>51</v>
      </c>
      <c r="N394" s="3" t="str">
        <f>IFERROR(MID(VLOOKUP($B394,Seqs!$A:$B,2,0),O394,1),"")</f>
        <v>K</v>
      </c>
      <c r="O394" s="3">
        <v>82</v>
      </c>
      <c r="P394" s="3" t="str">
        <f>IFERROR(MID(VLOOKUP($B394,Seqs!$A:$B,2,0),Q394,1),"")</f>
        <v>Q</v>
      </c>
      <c r="Q394" s="3">
        <v>84</v>
      </c>
      <c r="R394" s="3" t="str">
        <f>IFERROR(MID(VLOOKUP($B394,Seqs!$A:$B,2,0),S394,1),"")</f>
        <v>G</v>
      </c>
      <c r="S394" s="3">
        <v>87</v>
      </c>
      <c r="T394" s="3" t="str">
        <f>IFERROR(MID(VLOOKUP($B394,Seqs!$A:$B,2,0),U394,1),"")</f>
        <v>G</v>
      </c>
      <c r="U394" s="3">
        <v>88</v>
      </c>
      <c r="V394" s="3" t="str">
        <f>IFERROR(MID(VLOOKUP($B394,Seqs!$A:$B,2,0),W394,1),"")</f>
        <v>H</v>
      </c>
      <c r="W394" s="3">
        <v>123</v>
      </c>
      <c r="X394" s="3" t="str">
        <f>IFERROR(MID(VLOOKUP($B394,Seqs!$A:$B,2,0),Y394,1),"")</f>
        <v>A</v>
      </c>
      <c r="Y394" s="3">
        <v>124</v>
      </c>
      <c r="Z394" s="3" t="str">
        <f>IFERROR(MID(VLOOKUP($B394,Seqs!$A:$B,2,0),AA394,1),"")</f>
        <v>V</v>
      </c>
      <c r="AA394" s="3">
        <v>131</v>
      </c>
      <c r="AB394" s="3" t="str">
        <f>IFERROR(MID(VLOOKUP($B394,Seqs!$A:$B,2,0),AC394,1),"")</f>
        <v>D</v>
      </c>
      <c r="AC394" s="3">
        <v>132</v>
      </c>
      <c r="AD394" s="3" t="str">
        <f>IFERROR(MID(VLOOKUP($B394,Seqs!$A:$B,2,0),AE394,1),"")</f>
        <v>G</v>
      </c>
      <c r="AE394" s="3">
        <v>157</v>
      </c>
      <c r="AF394" s="3" t="str">
        <f>IFERROR(MID(VLOOKUP($B394,Seqs!$A:$B,2,0),AG394,1),"")</f>
        <v>C</v>
      </c>
      <c r="AG394" s="3">
        <v>170</v>
      </c>
      <c r="AH394" s="3" t="str">
        <f>IFERROR(MID(VLOOKUP($B394,Seqs!$A:$B,2,0),AI394,1),"")</f>
        <v>I</v>
      </c>
      <c r="AI394" s="3">
        <v>172</v>
      </c>
      <c r="AJ394" s="3" t="str">
        <f>IFERROR(MID(VLOOKUP($B394,Seqs!$A:$B,2,0),AK394,1),"")</f>
        <v>V</v>
      </c>
      <c r="AK394" s="3">
        <v>178</v>
      </c>
      <c r="AL394" s="3" t="str">
        <f>IFERROR(MID(VLOOKUP($B394,Seqs!$A:$B,2,0),AM394,1),"")</f>
        <v>H</v>
      </c>
      <c r="AM394" s="3">
        <v>214</v>
      </c>
      <c r="AN394" s="3" t="str">
        <f>IFERROR(MID(VLOOKUP($B394,Seqs!$A:$B,2,0),AO394,1),"")</f>
        <v>A</v>
      </c>
      <c r="AO394" s="3">
        <v>266</v>
      </c>
      <c r="AP394" s="3" t="str">
        <f>IFERROR(MID(VLOOKUP($B394,Seqs!$A:$B,2,0),AQ394,1),"")</f>
        <v>Y</v>
      </c>
      <c r="AQ394" s="3">
        <v>298</v>
      </c>
      <c r="AR394" s="3" t="str">
        <f>IFERROR(MID(VLOOKUP($B394,Seqs!$A:$B,2,0),AS394,1),"")</f>
        <v>N</v>
      </c>
      <c r="AS394" s="3">
        <v>309</v>
      </c>
      <c r="AT394" s="3" t="str">
        <f>IFERROR(MID(VLOOKUP($B394,Seqs!$A:$B,2,0),AU394,1),"")</f>
        <v>L</v>
      </c>
      <c r="AU394" s="3">
        <v>332</v>
      </c>
      <c r="AV394" s="3" t="str">
        <f>IFERROR(MID(VLOOKUP($B394,Seqs!$A:$B,2,0),AW394,1),"")</f>
        <v>R</v>
      </c>
      <c r="AW394" s="3">
        <v>333</v>
      </c>
      <c r="AX394" s="3" t="str">
        <f>IFERROR(MID(VLOOKUP($B394,Seqs!$A:$B,2,0),AY394,1),"")</f>
        <v>I</v>
      </c>
      <c r="AY394" s="3">
        <v>344</v>
      </c>
      <c r="AZ394" s="77" t="str">
        <f>VLOOKUP(B394,Classification!A:D,2,0)</f>
        <v>A</v>
      </c>
      <c r="BA394" s="94" t="str">
        <f>VLOOKUP(B394,Classification!A:D,4,0)</f>
        <v>Prostanoid</v>
      </c>
      <c r="BB394" s="27" t="b">
        <f>AND(E394&lt;G394,OR(G394&lt;I394,I394="-"),OR(I394&lt;K394,I394="-"),OR(K394&lt;M394,K394="-"),M394&lt;O394,OR(O394&lt;Q394,Q394="-"),OR(Q394&lt;S394,Q394="-"),OR(S394&lt;U394,S394="-"),U394&lt;W394,OR(W394&lt;Y394,Y394="-"),OR(Y394&lt;AA394,Y394="-"),OR(AA394&lt;AC394,AA394="-"),AC394&lt;AE394,OR(AE394&lt;AG394,AG394="-"),OR(AG394&lt;AI394,AG394="-"),OR(AI394&lt;AK394,AI394="-"),AK394&lt;AM394,AM394&lt;AO394,AO394&lt;AQ394,AQ394&lt;AS394,AS394&lt;AU394,OR(AU394&lt;AW394,AW394="-"),OR(AW394&lt;AY394,AW394="-"))</f>
        <v>1</v>
      </c>
      <c r="BC394" s="23">
        <f>_xlfn.AGGREGATE(9,6,CH394:CS394)-_xlfn.AGGREGATE(9,6,BV394:CG394)+12</f>
        <v>242</v>
      </c>
      <c r="BD394" s="2" t="s">
        <v>23</v>
      </c>
      <c r="BE394" s="3" t="s">
        <v>1370</v>
      </c>
      <c r="BF394" s="118">
        <v>4.2</v>
      </c>
      <c r="BG394" s="49" t="s">
        <v>1</v>
      </c>
      <c r="BH394" s="49" t="s">
        <v>1</v>
      </c>
      <c r="BI394" s="1"/>
      <c r="BJ394" s="70" t="s">
        <v>1283</v>
      </c>
      <c r="BK394" s="57" t="s">
        <v>1283</v>
      </c>
      <c r="BL394" s="57" t="s">
        <v>1283</v>
      </c>
      <c r="BM394" s="57" t="s">
        <v>1283</v>
      </c>
      <c r="BN394" s="57" t="s">
        <v>1283</v>
      </c>
      <c r="BO394" s="57" t="s">
        <v>1283</v>
      </c>
      <c r="BP394" s="57" t="s">
        <v>1283</v>
      </c>
      <c r="BQ394" s="57" t="s">
        <v>1283</v>
      </c>
      <c r="BR394" s="57" t="s">
        <v>1283</v>
      </c>
      <c r="BS394" s="57" t="s">
        <v>1283</v>
      </c>
      <c r="BT394" s="57" t="s">
        <v>1283</v>
      </c>
      <c r="BU394" s="57" t="s">
        <v>1283</v>
      </c>
      <c r="BV394" s="70">
        <f>E394</f>
        <v>18</v>
      </c>
      <c r="BW394" s="71" t="str">
        <f>I394</f>
        <v>-</v>
      </c>
      <c r="BX394" s="72">
        <f>M394</f>
        <v>51</v>
      </c>
      <c r="BY394" s="71">
        <f>Q394</f>
        <v>84</v>
      </c>
      <c r="BZ394" s="72">
        <f>U394</f>
        <v>88</v>
      </c>
      <c r="CA394" s="71">
        <f>Y394</f>
        <v>124</v>
      </c>
      <c r="CB394" s="72">
        <f>AC394</f>
        <v>132</v>
      </c>
      <c r="CC394" s="71">
        <f>AG394</f>
        <v>170</v>
      </c>
      <c r="CD394" s="72">
        <f>AK394</f>
        <v>178</v>
      </c>
      <c r="CE394" s="71">
        <f>AO394</f>
        <v>266</v>
      </c>
      <c r="CF394" s="72">
        <f>AS394</f>
        <v>309</v>
      </c>
      <c r="CG394" s="71">
        <f>AW394</f>
        <v>333</v>
      </c>
      <c r="CH394" s="70">
        <f>G394</f>
        <v>43</v>
      </c>
      <c r="CI394" s="71" t="str">
        <f>K394</f>
        <v>-</v>
      </c>
      <c r="CJ394" s="72">
        <f>O394</f>
        <v>82</v>
      </c>
      <c r="CK394" s="72">
        <f>S394</f>
        <v>87</v>
      </c>
      <c r="CL394" s="72">
        <f>W394</f>
        <v>123</v>
      </c>
      <c r="CM394" s="72">
        <f>AA394</f>
        <v>131</v>
      </c>
      <c r="CN394" s="72">
        <f>AE394</f>
        <v>157</v>
      </c>
      <c r="CO394" s="72">
        <f>AI394</f>
        <v>172</v>
      </c>
      <c r="CP394" s="72">
        <f>AM394</f>
        <v>214</v>
      </c>
      <c r="CQ394" s="72">
        <f>AQ394</f>
        <v>298</v>
      </c>
      <c r="CR394" s="72">
        <f>AU394</f>
        <v>332</v>
      </c>
      <c r="CS394" s="72">
        <f>AY394</f>
        <v>344</v>
      </c>
      <c r="CT394" s="23" t="e">
        <f>M394-K394</f>
        <v>#VALUE!</v>
      </c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</row>
    <row r="395" spans="1:1029" x14ac:dyDescent="0.2">
      <c r="A395" s="3" t="str">
        <f>CONCATENATE(B395,"_",C395)</f>
        <v>ptafr_human__wt</v>
      </c>
      <c r="B395" s="3" t="s">
        <v>370</v>
      </c>
      <c r="C395" s="3" t="s">
        <v>100</v>
      </c>
      <c r="D395" s="3" t="str">
        <f>IFERROR(MID(VLOOKUP($B395,Seqs!$A:$B,2,0),E395,1),"")</f>
        <v>D</v>
      </c>
      <c r="E395" s="3">
        <v>10</v>
      </c>
      <c r="F395" s="3" t="str">
        <f>IFERROR(MID(VLOOKUP($B395,Seqs!$A:$B,2,0),G395,1),"")</f>
        <v>Y</v>
      </c>
      <c r="G395" s="3">
        <v>44</v>
      </c>
      <c r="H395" s="3" t="str">
        <f>IFERROR(MID(VLOOKUP($B395,Seqs!$A:$B,2,0),I395,1),"")</f>
        <v/>
      </c>
      <c r="I395" s="23" t="s">
        <v>23</v>
      </c>
      <c r="J395" s="3" t="str">
        <f>IFERROR(MID(VLOOKUP($B395,Seqs!$A:$B,2,0),K395,1),"")</f>
        <v/>
      </c>
      <c r="K395" s="23" t="s">
        <v>23</v>
      </c>
      <c r="L395" s="3" t="str">
        <f>IFERROR(MID(VLOOKUP($B395,Seqs!$A:$B,2,0),M395,1),"")</f>
        <v>F</v>
      </c>
      <c r="M395" s="3">
        <v>49</v>
      </c>
      <c r="N395" s="3" t="str">
        <f>IFERROR(MID(VLOOKUP($B395,Seqs!$A:$B,2,0),O395,1),"")</f>
        <v>Q</v>
      </c>
      <c r="O395" s="3">
        <v>80</v>
      </c>
      <c r="P395" s="3" t="str">
        <f>IFERROR(MID(VLOOKUP($B395,Seqs!$A:$B,2,0),Q395,1),"")</f>
        <v>N</v>
      </c>
      <c r="Q395" s="3">
        <v>82</v>
      </c>
      <c r="R395" s="3" t="str">
        <f>IFERROR(MID(VLOOKUP($B395,Seqs!$A:$B,2,0),S395,1),"")</f>
        <v>L</v>
      </c>
      <c r="S395" s="3">
        <v>85</v>
      </c>
      <c r="T395" s="3" t="str">
        <f>IFERROR(MID(VLOOKUP($B395,Seqs!$A:$B,2,0),U395,1),"")</f>
        <v>P</v>
      </c>
      <c r="U395" s="3">
        <v>86</v>
      </c>
      <c r="V395" s="3" t="str">
        <f>IFERROR(MID(VLOOKUP($B395,Seqs!$A:$B,2,0),W395,1),"")</f>
        <v>R</v>
      </c>
      <c r="W395" s="3">
        <v>121</v>
      </c>
      <c r="X395" s="3" t="str">
        <f>IFERROR(MID(VLOOKUP($B395,Seqs!$A:$B,2,0),Y395,1),"")</f>
        <v>P</v>
      </c>
      <c r="Y395" s="3">
        <v>122</v>
      </c>
      <c r="Z395" s="3" t="str">
        <f>IFERROR(MID(VLOOKUP($B395,Seqs!$A:$B,2,0),AA395,1),"")</f>
        <v>N</v>
      </c>
      <c r="AA395" s="3">
        <v>129</v>
      </c>
      <c r="AB395" s="3" t="str">
        <f>IFERROR(MID(VLOOKUP($B395,Seqs!$A:$B,2,0),AC395,1),"")</f>
        <v>T</v>
      </c>
      <c r="AC395" s="3">
        <v>130</v>
      </c>
      <c r="AD395" s="3" t="str">
        <f>IFERROR(MID(VLOOKUP($B395,Seqs!$A:$B,2,0),AE395,1),"")</f>
        <v>L</v>
      </c>
      <c r="AE395" s="3">
        <v>155</v>
      </c>
      <c r="AF395" s="3" t="str">
        <f>IFERROR(MID(VLOOKUP($B395,Seqs!$A:$B,2,0),AG395,1),"")</f>
        <v>C</v>
      </c>
      <c r="AG395" s="3">
        <v>173</v>
      </c>
      <c r="AH395" s="3" t="str">
        <f>IFERROR(MID(VLOOKUP($B395,Seqs!$A:$B,2,0),AI395,1),"")</f>
        <v>E</v>
      </c>
      <c r="AI395" s="3">
        <v>175</v>
      </c>
      <c r="AJ395" s="3" t="str">
        <f>IFERROR(MID(VLOOKUP($B395,Seqs!$A:$B,2,0),AK395,1),"")</f>
        <v>S</v>
      </c>
      <c r="AK395" s="3">
        <v>181</v>
      </c>
      <c r="AL395" s="3" t="str">
        <f>IFERROR(MID(VLOOKUP($B395,Seqs!$A:$B,2,0),AM395,1),"")</f>
        <v>Q</v>
      </c>
      <c r="AM395" s="3">
        <v>216</v>
      </c>
      <c r="AN395" s="3" t="str">
        <f>IFERROR(MID(VLOOKUP($B395,Seqs!$A:$B,2,0),AO395,1),"")</f>
        <v>Q</v>
      </c>
      <c r="AO395" s="3">
        <v>221</v>
      </c>
      <c r="AP395" s="3" t="str">
        <f>IFERROR(MID(VLOOKUP($B395,Seqs!$A:$B,2,0),AQ395,1),"")</f>
        <v>G</v>
      </c>
      <c r="AQ395" s="3">
        <v>261</v>
      </c>
      <c r="AR395" s="3" t="str">
        <f>IFERROR(MID(VLOOKUP($B395,Seqs!$A:$B,2,0),AS395,1),"")</f>
        <v>D</v>
      </c>
      <c r="AS395" s="3">
        <v>264</v>
      </c>
      <c r="AT395" s="3" t="str">
        <f>IFERROR(MID(VLOOKUP($B395,Seqs!$A:$B,2,0),AU395,1),"")</f>
        <v>K</v>
      </c>
      <c r="AU395" s="3">
        <v>299</v>
      </c>
      <c r="AV395" s="3" t="str">
        <f>IFERROR(MID(VLOOKUP($B395,Seqs!$A:$B,2,0),AW395,1),"")</f>
        <v>F</v>
      </c>
      <c r="AW395" s="3">
        <v>300</v>
      </c>
      <c r="AX395" s="3" t="str">
        <f>IFERROR(MID(VLOOKUP($B395,Seqs!$A:$B,2,0),AY395,1),"")</f>
        <v>S</v>
      </c>
      <c r="AY395" s="3">
        <v>313</v>
      </c>
      <c r="AZ395" s="77" t="str">
        <f>VLOOKUP(B395,Classification!A:D,2,0)</f>
        <v>A</v>
      </c>
      <c r="BA395" s="94" t="str">
        <f>VLOOKUP(B395,Classification!A:D,4,0)</f>
        <v>Platelet-activatingfactor</v>
      </c>
      <c r="BB395" s="27" t="b">
        <f>AND(E395&lt;G395,OR(G395&lt;I395,I395="-"),OR(I395&lt;K395,I395="-"),OR(K395&lt;M395,K395="-"),M395&lt;O395,OR(O395&lt;Q395,Q395="-"),OR(Q395&lt;S395,Q395="-"),OR(S395&lt;U395,S395="-"),U395&lt;W395,OR(W395&lt;Y395,Y395="-"),OR(Y395&lt;AA395,Y395="-"),OR(AA395&lt;AC395,AA395="-"),AC395&lt;AE395,OR(AE395&lt;AG395,AG395="-"),OR(AG395&lt;AI395,AG395="-"),OR(AI395&lt;AK395,AI395="-"),AK395&lt;AM395,AM395&lt;AO395,AO395&lt;AQ395,AQ395&lt;AS395,AS395&lt;AU395,OR(AU395&lt;AW395,AW395="-"),OR(AW395&lt;AY395,AW395="-"))</f>
        <v>1</v>
      </c>
      <c r="BC395" s="23">
        <f>_xlfn.AGGREGATE(9,6,CH395:CS395)-_xlfn.AGGREGATE(9,6,BV395:CG395)+12</f>
        <v>272</v>
      </c>
      <c r="BD395" s="2" t="s">
        <v>23</v>
      </c>
      <c r="BE395" s="3" t="s">
        <v>23</v>
      </c>
      <c r="BF395" s="118" t="s">
        <v>23</v>
      </c>
      <c r="BG395" s="49" t="s">
        <v>1373</v>
      </c>
      <c r="BH395" s="49" t="s">
        <v>1373</v>
      </c>
      <c r="BI395" s="1"/>
      <c r="BJ395" s="70" t="s">
        <v>1283</v>
      </c>
      <c r="BK395" s="57" t="s">
        <v>1283</v>
      </c>
      <c r="BL395" s="57" t="s">
        <v>1283</v>
      </c>
      <c r="BM395" s="57" t="s">
        <v>1283</v>
      </c>
      <c r="BN395" s="57" t="s">
        <v>1283</v>
      </c>
      <c r="BO395" s="57" t="s">
        <v>1283</v>
      </c>
      <c r="BP395" s="57" t="s">
        <v>1283</v>
      </c>
      <c r="BQ395" s="57" t="s">
        <v>1283</v>
      </c>
      <c r="BR395" s="57" t="s">
        <v>1283</v>
      </c>
      <c r="BS395" s="57" t="s">
        <v>1283</v>
      </c>
      <c r="BT395" s="57" t="s">
        <v>1283</v>
      </c>
      <c r="BU395" s="57" t="s">
        <v>1283</v>
      </c>
      <c r="BV395" s="70">
        <f>E395</f>
        <v>10</v>
      </c>
      <c r="BW395" s="71" t="str">
        <f>I395</f>
        <v>-</v>
      </c>
      <c r="BX395" s="72">
        <f>M395</f>
        <v>49</v>
      </c>
      <c r="BY395" s="71">
        <f>Q395</f>
        <v>82</v>
      </c>
      <c r="BZ395" s="72">
        <f>U395</f>
        <v>86</v>
      </c>
      <c r="CA395" s="71">
        <f>Y395</f>
        <v>122</v>
      </c>
      <c r="CB395" s="72">
        <f>AC395</f>
        <v>130</v>
      </c>
      <c r="CC395" s="71">
        <f>AG395</f>
        <v>173</v>
      </c>
      <c r="CD395" s="72">
        <f>AK395</f>
        <v>181</v>
      </c>
      <c r="CE395" s="71">
        <f>AO395</f>
        <v>221</v>
      </c>
      <c r="CF395" s="72">
        <f>AS395</f>
        <v>264</v>
      </c>
      <c r="CG395" s="71">
        <f>AW395</f>
        <v>300</v>
      </c>
      <c r="CH395" s="70">
        <f>G395</f>
        <v>44</v>
      </c>
      <c r="CI395" s="71" t="str">
        <f>K395</f>
        <v>-</v>
      </c>
      <c r="CJ395" s="72">
        <f>O395</f>
        <v>80</v>
      </c>
      <c r="CK395" s="72">
        <f>S395</f>
        <v>85</v>
      </c>
      <c r="CL395" s="72">
        <f>W395</f>
        <v>121</v>
      </c>
      <c r="CM395" s="72">
        <f>AA395</f>
        <v>129</v>
      </c>
      <c r="CN395" s="72">
        <f>AE395</f>
        <v>155</v>
      </c>
      <c r="CO395" s="72">
        <f>AI395</f>
        <v>175</v>
      </c>
      <c r="CP395" s="72">
        <f>AM395</f>
        <v>216</v>
      </c>
      <c r="CQ395" s="72">
        <f>AQ395</f>
        <v>261</v>
      </c>
      <c r="CR395" s="72">
        <f>AU395</f>
        <v>299</v>
      </c>
      <c r="CS395" s="72">
        <f>AY395</f>
        <v>313</v>
      </c>
      <c r="CT395" s="23" t="e">
        <f>M395-K395</f>
        <v>#VALUE!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29" x14ac:dyDescent="0.2">
      <c r="A396" s="3" t="str">
        <f>CONCATENATE(B396,"_",C396)</f>
        <v>ptafr_human_5ZKP</v>
      </c>
      <c r="B396" s="3" t="s">
        <v>370</v>
      </c>
      <c r="C396" s="3" t="s">
        <v>1501</v>
      </c>
      <c r="D396" s="3" t="str">
        <f>IFERROR(MID(VLOOKUP($B396,Seqs!$A:$B,2,0),E396,1),"")</f>
        <v>S</v>
      </c>
      <c r="E396" s="3">
        <v>11</v>
      </c>
      <c r="F396" s="3" t="str">
        <f>IFERROR(MID(VLOOKUP($B396,Seqs!$A:$B,2,0),G396,1),"")</f>
        <v>Y</v>
      </c>
      <c r="G396" s="3">
        <v>44</v>
      </c>
      <c r="H396" s="3" t="str">
        <f>IFERROR(MID(VLOOKUP($B396,Seqs!$A:$B,2,0),I396,1),"")</f>
        <v/>
      </c>
      <c r="I396" s="23" t="s">
        <v>23</v>
      </c>
      <c r="J396" s="3" t="str">
        <f>IFERROR(MID(VLOOKUP($B396,Seqs!$A:$B,2,0),K396,1),"")</f>
        <v/>
      </c>
      <c r="K396" s="23" t="s">
        <v>23</v>
      </c>
      <c r="L396" s="3" t="str">
        <f>IFERROR(MID(VLOOKUP($B396,Seqs!$A:$B,2,0),M396,1),"")</f>
        <v>F</v>
      </c>
      <c r="M396" s="3">
        <v>49</v>
      </c>
      <c r="N396" s="3" t="str">
        <f>IFERROR(MID(VLOOKUP($B396,Seqs!$A:$B,2,0),O396,1),"")</f>
        <v>Q</v>
      </c>
      <c r="O396" s="3">
        <v>80</v>
      </c>
      <c r="P396" s="3" t="str">
        <f>IFERROR(MID(VLOOKUP($B396,Seqs!$A:$B,2,0),Q396,1),"")</f>
        <v>N</v>
      </c>
      <c r="Q396" s="3">
        <v>82</v>
      </c>
      <c r="R396" s="3" t="str">
        <f>IFERROR(MID(VLOOKUP($B396,Seqs!$A:$B,2,0),S396,1),"")</f>
        <v>L</v>
      </c>
      <c r="S396" s="3">
        <v>85</v>
      </c>
      <c r="T396" s="3" t="str">
        <f>IFERROR(MID(VLOOKUP($B396,Seqs!$A:$B,2,0),U396,1),"")</f>
        <v>P</v>
      </c>
      <c r="U396" s="3">
        <v>86</v>
      </c>
      <c r="V396" s="3" t="str">
        <f>IFERROR(MID(VLOOKUP($B396,Seqs!$A:$B,2,0),W396,1),"")</f>
        <v>T</v>
      </c>
      <c r="W396" s="3">
        <v>120</v>
      </c>
      <c r="X396" s="3" t="str">
        <f>IFERROR(MID(VLOOKUP($B396,Seqs!$A:$B,2,0),Y396,1),"")</f>
        <v/>
      </c>
      <c r="Y396" s="3" t="s">
        <v>23</v>
      </c>
      <c r="Z396" s="3" t="str">
        <f>IFERROR(MID(VLOOKUP($B396,Seqs!$A:$B,2,0),AA396,1),"")</f>
        <v/>
      </c>
      <c r="AA396" s="3" t="s">
        <v>23</v>
      </c>
      <c r="AB396" s="3" t="str">
        <f>IFERROR(MID(VLOOKUP($B396,Seqs!$A:$B,2,0),AC396,1),"")</f>
        <v>I</v>
      </c>
      <c r="AC396" s="3">
        <v>141</v>
      </c>
      <c r="AD396" s="3" t="str">
        <f>IFERROR(MID(VLOOKUP($B396,Seqs!$A:$B,2,0),AE396,1),"")</f>
        <v>L</v>
      </c>
      <c r="AE396" s="3">
        <v>155</v>
      </c>
      <c r="AF396" s="3" t="str">
        <f>IFERROR(MID(VLOOKUP($B396,Seqs!$A:$B,2,0),AG396,1),"")</f>
        <v>C</v>
      </c>
      <c r="AG396" s="3">
        <v>173</v>
      </c>
      <c r="AH396" s="3" t="str">
        <f>IFERROR(MID(VLOOKUP($B396,Seqs!$A:$B,2,0),AI396,1),"")</f>
        <v>E</v>
      </c>
      <c r="AI396" s="3">
        <v>175</v>
      </c>
      <c r="AJ396" s="3" t="str">
        <f>IFERROR(MID(VLOOKUP($B396,Seqs!$A:$B,2,0),AK396,1),"")</f>
        <v>P</v>
      </c>
      <c r="AK396" s="3">
        <v>183</v>
      </c>
      <c r="AL396" s="3" t="str">
        <f>IFERROR(MID(VLOOKUP($B396,Seqs!$A:$B,2,0),AM396,1),"")</f>
        <v>L</v>
      </c>
      <c r="AM396" s="3">
        <v>214</v>
      </c>
      <c r="AN396" s="3" t="str">
        <f>IFERROR(MID(VLOOKUP($B396,Seqs!$A:$B,2,0),AO396,1),"")</f>
        <v>A</v>
      </c>
      <c r="AO396" s="3">
        <v>224</v>
      </c>
      <c r="AP396" s="3" t="str">
        <f>IFERROR(MID(VLOOKUP($B396,Seqs!$A:$B,2,0),AQ396,1),"")</f>
        <v>G</v>
      </c>
      <c r="AQ396" s="3">
        <v>261</v>
      </c>
      <c r="AR396" s="3" t="str">
        <f>IFERROR(MID(VLOOKUP($B396,Seqs!$A:$B,2,0),AS396,1),"")</f>
        <v>D</v>
      </c>
      <c r="AS396" s="3">
        <v>264</v>
      </c>
      <c r="AT396" s="3" t="str">
        <f>IFERROR(MID(VLOOKUP($B396,Seqs!$A:$B,2,0),AU396,1),"")</f>
        <v>K</v>
      </c>
      <c r="AU396" s="3">
        <v>299</v>
      </c>
      <c r="AV396" s="3" t="str">
        <f>IFERROR(MID(VLOOKUP($B396,Seqs!$A:$B,2,0),AW396,1),"")</f>
        <v>F</v>
      </c>
      <c r="AW396" s="3">
        <v>300</v>
      </c>
      <c r="AX396" s="3" t="str">
        <f>IFERROR(MID(VLOOKUP($B396,Seqs!$A:$B,2,0),AY396,1),"")</f>
        <v>S</v>
      </c>
      <c r="AY396" s="3">
        <v>313</v>
      </c>
      <c r="AZ396" s="77" t="str">
        <f>VLOOKUP(B396,Classification!A:D,2,0)</f>
        <v>A</v>
      </c>
      <c r="BA396" s="94" t="str">
        <f>VLOOKUP(B396,Classification!A:D,4,0)</f>
        <v>Platelet-activatingfactor</v>
      </c>
      <c r="BB396" s="27" t="b">
        <f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23">
        <f>_xlfn.AGGREGATE(9,6,CH396:CS396)-_xlfn.AGGREGATE(9,6,BV396:CG396)+12</f>
        <v>245</v>
      </c>
      <c r="BD396" s="2" t="s">
        <v>1371</v>
      </c>
      <c r="BE396" s="3" t="s">
        <v>1287</v>
      </c>
      <c r="BF396" s="118">
        <v>2.81</v>
      </c>
      <c r="BG396" s="49" t="s">
        <v>1</v>
      </c>
      <c r="BH396" s="49" t="s">
        <v>1</v>
      </c>
      <c r="BI396" s="1"/>
      <c r="BJ396" s="70" t="s">
        <v>1283</v>
      </c>
      <c r="BK396" s="57" t="s">
        <v>1283</v>
      </c>
      <c r="BL396" s="57" t="s">
        <v>1283</v>
      </c>
      <c r="BM396" s="57" t="s">
        <v>1283</v>
      </c>
      <c r="BN396" s="57" t="s">
        <v>1283</v>
      </c>
      <c r="BO396" s="57" t="s">
        <v>1283</v>
      </c>
      <c r="BP396" s="57" t="s">
        <v>1283</v>
      </c>
      <c r="BQ396" s="57" t="s">
        <v>1283</v>
      </c>
      <c r="BR396" s="57" t="s">
        <v>1283</v>
      </c>
      <c r="BS396" s="57" t="s">
        <v>1283</v>
      </c>
      <c r="BT396" s="57" t="s">
        <v>1283</v>
      </c>
      <c r="BU396" s="57" t="s">
        <v>1283</v>
      </c>
      <c r="BV396" s="70">
        <f>E396</f>
        <v>11</v>
      </c>
      <c r="BW396" s="71" t="str">
        <f>I396</f>
        <v>-</v>
      </c>
      <c r="BX396" s="72">
        <f>M396</f>
        <v>49</v>
      </c>
      <c r="BY396" s="71">
        <f>Q396</f>
        <v>82</v>
      </c>
      <c r="BZ396" s="72">
        <f>U396</f>
        <v>86</v>
      </c>
      <c r="CA396" s="71" t="str">
        <f>Y396</f>
        <v>-</v>
      </c>
      <c r="CB396" s="72">
        <f>AC396</f>
        <v>141</v>
      </c>
      <c r="CC396" s="71">
        <f>AG396</f>
        <v>173</v>
      </c>
      <c r="CD396" s="72">
        <f>AK396</f>
        <v>183</v>
      </c>
      <c r="CE396" s="71">
        <f>AO396</f>
        <v>224</v>
      </c>
      <c r="CF396" s="72">
        <f>AS396</f>
        <v>264</v>
      </c>
      <c r="CG396" s="71">
        <f>AW396</f>
        <v>300</v>
      </c>
      <c r="CH396" s="70">
        <f>G396</f>
        <v>44</v>
      </c>
      <c r="CI396" s="71" t="str">
        <f>K396</f>
        <v>-</v>
      </c>
      <c r="CJ396" s="72">
        <f>O396</f>
        <v>80</v>
      </c>
      <c r="CK396" s="72">
        <f>S396</f>
        <v>85</v>
      </c>
      <c r="CL396" s="72">
        <f>W396</f>
        <v>120</v>
      </c>
      <c r="CM396" s="72" t="str">
        <f>AA396</f>
        <v>-</v>
      </c>
      <c r="CN396" s="72">
        <f>AE396</f>
        <v>155</v>
      </c>
      <c r="CO396" s="72">
        <f>AI396</f>
        <v>175</v>
      </c>
      <c r="CP396" s="72">
        <f>AM396</f>
        <v>214</v>
      </c>
      <c r="CQ396" s="72">
        <f>AQ396</f>
        <v>261</v>
      </c>
      <c r="CR396" s="72">
        <f>AU396</f>
        <v>299</v>
      </c>
      <c r="CS396" s="72">
        <f>AY396</f>
        <v>313</v>
      </c>
      <c r="CT396" s="23" t="e">
        <f>M396-K396</f>
        <v>#VALUE!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29" x14ac:dyDescent="0.2">
      <c r="A397" s="3" t="str">
        <f>CONCATENATE(B397,"_",C397)</f>
        <v>ptafr_human_5ZKQ</v>
      </c>
      <c r="B397" s="3" t="s">
        <v>370</v>
      </c>
      <c r="C397" s="3" t="s">
        <v>1502</v>
      </c>
      <c r="D397" s="3" t="str">
        <f>IFERROR(MID(VLOOKUP($B397,Seqs!$A:$B,2,0),E397,1),"")</f>
        <v>D</v>
      </c>
      <c r="E397" s="3">
        <v>10</v>
      </c>
      <c r="F397" s="3" t="str">
        <f>IFERROR(MID(VLOOKUP($B397,Seqs!$A:$B,2,0),G397,1),"")</f>
        <v>L</v>
      </c>
      <c r="G397" s="3">
        <v>43</v>
      </c>
      <c r="H397" s="3" t="str">
        <f>IFERROR(MID(VLOOKUP($B397,Seqs!$A:$B,2,0),I397,1),"")</f>
        <v/>
      </c>
      <c r="I397" s="23" t="s">
        <v>23</v>
      </c>
      <c r="J397" s="3" t="str">
        <f>IFERROR(MID(VLOOKUP($B397,Seqs!$A:$B,2,0),K397,1),"")</f>
        <v/>
      </c>
      <c r="K397" s="23" t="s">
        <v>23</v>
      </c>
      <c r="L397" s="3" t="str">
        <f>IFERROR(MID(VLOOKUP($B397,Seqs!$A:$B,2,0),M397,1),"")</f>
        <v>F</v>
      </c>
      <c r="M397" s="3">
        <v>49</v>
      </c>
      <c r="N397" s="3" t="str">
        <f>IFERROR(MID(VLOOKUP($B397,Seqs!$A:$B,2,0),O397,1),"")</f>
        <v>Q</v>
      </c>
      <c r="O397" s="3">
        <v>80</v>
      </c>
      <c r="P397" s="3" t="str">
        <f>IFERROR(MID(VLOOKUP($B397,Seqs!$A:$B,2,0),Q397,1),"")</f>
        <v>N</v>
      </c>
      <c r="Q397" s="3">
        <v>82</v>
      </c>
      <c r="R397" s="3" t="str">
        <f>IFERROR(MID(VLOOKUP($B397,Seqs!$A:$B,2,0),S397,1),"")</f>
        <v>L</v>
      </c>
      <c r="S397" s="3">
        <v>85</v>
      </c>
      <c r="T397" s="3" t="str">
        <f>IFERROR(MID(VLOOKUP($B397,Seqs!$A:$B,2,0),U397,1),"")</f>
        <v>P</v>
      </c>
      <c r="U397" s="3">
        <v>86</v>
      </c>
      <c r="V397" s="3" t="str">
        <f>IFERROR(MID(VLOOKUP($B397,Seqs!$A:$B,2,0),W397,1),"")</f>
        <v>R</v>
      </c>
      <c r="W397" s="3">
        <v>121</v>
      </c>
      <c r="X397" s="3" t="str">
        <f>IFERROR(MID(VLOOKUP($B397,Seqs!$A:$B,2,0),Y397,1),"")</f>
        <v/>
      </c>
      <c r="Y397" s="3" t="s">
        <v>23</v>
      </c>
      <c r="Z397" s="3" t="str">
        <f>IFERROR(MID(VLOOKUP($B397,Seqs!$A:$B,2,0),AA397,1),"")</f>
        <v/>
      </c>
      <c r="AA397" s="3" t="s">
        <v>23</v>
      </c>
      <c r="AB397" s="3" t="str">
        <f>IFERROR(MID(VLOOKUP($B397,Seqs!$A:$B,2,0),AC397,1),"")</f>
        <v>T</v>
      </c>
      <c r="AC397" s="3">
        <v>130</v>
      </c>
      <c r="AD397" s="3" t="str">
        <f>IFERROR(MID(VLOOKUP($B397,Seqs!$A:$B,2,0),AE397,1),"")</f>
        <v>I</v>
      </c>
      <c r="AE397" s="3">
        <v>154</v>
      </c>
      <c r="AF397" s="3" t="str">
        <f>IFERROR(MID(VLOOKUP($B397,Seqs!$A:$B,2,0),AG397,1),"")</f>
        <v>C</v>
      </c>
      <c r="AG397" s="3">
        <v>173</v>
      </c>
      <c r="AH397" s="3" t="str">
        <f>IFERROR(MID(VLOOKUP($B397,Seqs!$A:$B,2,0),AI397,1),"")</f>
        <v>E</v>
      </c>
      <c r="AI397" s="3">
        <v>175</v>
      </c>
      <c r="AJ397" s="3" t="str">
        <f>IFERROR(MID(VLOOKUP($B397,Seqs!$A:$B,2,0),AK397,1),"")</f>
        <v>S</v>
      </c>
      <c r="AK397" s="3">
        <v>181</v>
      </c>
      <c r="AL397" s="3" t="str">
        <f>IFERROR(MID(VLOOKUP($B397,Seqs!$A:$B,2,0),AM397,1),"")</f>
        <v>M</v>
      </c>
      <c r="AM397" s="3">
        <v>215</v>
      </c>
      <c r="AN397" s="3" t="str">
        <f>IFERROR(MID(VLOOKUP($B397,Seqs!$A:$B,2,0),AO397,1),"")</f>
        <v>K</v>
      </c>
      <c r="AO397" s="3">
        <v>227</v>
      </c>
      <c r="AP397" s="3" t="str">
        <f>IFERROR(MID(VLOOKUP($B397,Seqs!$A:$B,2,0),AQ397,1),"")</f>
        <v>G</v>
      </c>
      <c r="AQ397" s="3">
        <v>261</v>
      </c>
      <c r="AR397" s="3" t="str">
        <f>IFERROR(MID(VLOOKUP($B397,Seqs!$A:$B,2,0),AS397,1),"")</f>
        <v>D</v>
      </c>
      <c r="AS397" s="3">
        <v>264</v>
      </c>
      <c r="AT397" s="3" t="str">
        <f>IFERROR(MID(VLOOKUP($B397,Seqs!$A:$B,2,0),AU397,1),"")</f>
        <v>T</v>
      </c>
      <c r="AU397" s="3">
        <v>297</v>
      </c>
      <c r="AV397" s="3" t="str">
        <f>IFERROR(MID(VLOOKUP($B397,Seqs!$A:$B,2,0),AW397,1),"")</f>
        <v/>
      </c>
      <c r="AW397" s="3" t="s">
        <v>23</v>
      </c>
      <c r="AX397" s="3" t="str">
        <f>IFERROR(MID(VLOOKUP($B397,Seqs!$A:$B,2,0),AY397,1),"")</f>
        <v/>
      </c>
      <c r="AY397" s="3" t="s">
        <v>23</v>
      </c>
      <c r="AZ397" s="77" t="str">
        <f>VLOOKUP(B397,Classification!A:D,2,0)</f>
        <v>A</v>
      </c>
      <c r="BA397" s="94" t="str">
        <f>VLOOKUP(B397,Classification!A:D,4,0)</f>
        <v>Platelet-activatingfactor</v>
      </c>
      <c r="BB397" s="27" t="b">
        <f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>_xlfn.AGGREGATE(9,6,CH397:CS397)-_xlfn.AGGREGATE(9,6,BV397:CG397)+12</f>
        <v>241</v>
      </c>
      <c r="BD397" s="2" t="s">
        <v>1425</v>
      </c>
      <c r="BE397" s="3" t="s">
        <v>1424</v>
      </c>
      <c r="BF397" s="118">
        <v>2.9</v>
      </c>
      <c r="BG397" s="49" t="s">
        <v>1277</v>
      </c>
      <c r="BH397" s="49" t="s">
        <v>1277</v>
      </c>
      <c r="BI397" s="1"/>
      <c r="BJ397" s="70" t="s">
        <v>1283</v>
      </c>
      <c r="BK397" s="57" t="s">
        <v>1283</v>
      </c>
      <c r="BL397" s="57" t="s">
        <v>1283</v>
      </c>
      <c r="BM397" s="57" t="s">
        <v>1283</v>
      </c>
      <c r="BN397" s="57" t="s">
        <v>1283</v>
      </c>
      <c r="BO397" s="57" t="s">
        <v>1283</v>
      </c>
      <c r="BP397" s="57" t="s">
        <v>1283</v>
      </c>
      <c r="BQ397" s="57" t="s">
        <v>1283</v>
      </c>
      <c r="BR397" s="57" t="s">
        <v>1283</v>
      </c>
      <c r="BS397" s="57" t="s">
        <v>1283</v>
      </c>
      <c r="BT397" s="57" t="s">
        <v>1283</v>
      </c>
      <c r="BU397" s="57" t="s">
        <v>1283</v>
      </c>
      <c r="BV397" s="70">
        <f>E397</f>
        <v>10</v>
      </c>
      <c r="BW397" s="71" t="str">
        <f>I397</f>
        <v>-</v>
      </c>
      <c r="BX397" s="72">
        <f>M397</f>
        <v>49</v>
      </c>
      <c r="BY397" s="71">
        <f>Q397</f>
        <v>82</v>
      </c>
      <c r="BZ397" s="72">
        <f>U397</f>
        <v>86</v>
      </c>
      <c r="CA397" s="71" t="str">
        <f>Y397</f>
        <v>-</v>
      </c>
      <c r="CB397" s="72">
        <f>AC397</f>
        <v>130</v>
      </c>
      <c r="CC397" s="71">
        <f>AG397</f>
        <v>173</v>
      </c>
      <c r="CD397" s="72">
        <f>AK397</f>
        <v>181</v>
      </c>
      <c r="CE397" s="71">
        <f>AO397</f>
        <v>227</v>
      </c>
      <c r="CF397" s="72">
        <f>AS397</f>
        <v>264</v>
      </c>
      <c r="CG397" s="71" t="str">
        <f>AW397</f>
        <v>-</v>
      </c>
      <c r="CH397" s="70">
        <f>G397</f>
        <v>43</v>
      </c>
      <c r="CI397" s="71" t="str">
        <f>K397</f>
        <v>-</v>
      </c>
      <c r="CJ397" s="72">
        <f>O397</f>
        <v>80</v>
      </c>
      <c r="CK397" s="72">
        <f>S397</f>
        <v>85</v>
      </c>
      <c r="CL397" s="72">
        <f>W397</f>
        <v>121</v>
      </c>
      <c r="CM397" s="72" t="str">
        <f>AA397</f>
        <v>-</v>
      </c>
      <c r="CN397" s="72">
        <f>AE397</f>
        <v>154</v>
      </c>
      <c r="CO397" s="72">
        <f>AI397</f>
        <v>175</v>
      </c>
      <c r="CP397" s="72">
        <f>AM397</f>
        <v>215</v>
      </c>
      <c r="CQ397" s="72">
        <f>AQ397</f>
        <v>261</v>
      </c>
      <c r="CR397" s="72">
        <f>AU397</f>
        <v>297</v>
      </c>
      <c r="CS397" s="72" t="str">
        <f>AY397</f>
        <v>-</v>
      </c>
      <c r="CT397" s="23" t="e">
        <f>M397-K397</f>
        <v>#VALUE!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29" x14ac:dyDescent="0.2">
      <c r="A398" s="3" t="str">
        <f t="shared" si="3439"/>
        <v>q08bg4_danre__wt</v>
      </c>
      <c r="B398" s="3" t="s">
        <v>1436</v>
      </c>
      <c r="C398" s="3" t="s">
        <v>100</v>
      </c>
      <c r="D398" s="3" t="str">
        <f>IFERROR(MID(VLOOKUP($B398,Seqs!$A:$B,2,0),E398,1),"")</f>
        <v>K</v>
      </c>
      <c r="E398" s="3">
        <v>26</v>
      </c>
      <c r="F398" s="3" t="str">
        <f>IFERROR(MID(VLOOKUP($B398,Seqs!$A:$B,2,0),G398,1),"")</f>
        <v>S</v>
      </c>
      <c r="G398" s="3">
        <v>55</v>
      </c>
      <c r="H398" s="3" t="str">
        <f>IFERROR(MID(VLOOKUP($B398,Seqs!$A:$B,2,0),I398,1),"")</f>
        <v>L</v>
      </c>
      <c r="I398" s="23">
        <v>56</v>
      </c>
      <c r="J398" s="3" t="str">
        <f>IFERROR(MID(VLOOKUP($B398,Seqs!$A:$B,2,0),K398,1),"")</f>
        <v>R</v>
      </c>
      <c r="K398" s="23">
        <v>59</v>
      </c>
      <c r="L398" s="3" t="str">
        <f>IFERROR(MID(VLOOKUP($B398,Seqs!$A:$B,2,0),M398,1),"")</f>
        <v>N</v>
      </c>
      <c r="M398" s="3">
        <v>60</v>
      </c>
      <c r="N398" s="3" t="str">
        <f>IFERROR(MID(VLOOKUP($B398,Seqs!$A:$B,2,0),O398,1),"")</f>
        <v>Q</v>
      </c>
      <c r="O398" s="3">
        <v>89</v>
      </c>
      <c r="P398" s="3" t="str">
        <f>IFERROR(MID(VLOOKUP($B398,Seqs!$A:$B,2,0),Q398,1),"")</f>
        <v>N</v>
      </c>
      <c r="Q398" s="3">
        <v>91</v>
      </c>
      <c r="R398" s="3" t="str">
        <f>IFERROR(MID(VLOOKUP($B398,Seqs!$A:$B,2,0),S398,1),"")</f>
        <v>F</v>
      </c>
      <c r="S398" s="3">
        <v>94</v>
      </c>
      <c r="T398" s="3" t="str">
        <f>IFERROR(MID(VLOOKUP($B398,Seqs!$A:$B,2,0),U398,1),"")</f>
        <v>G</v>
      </c>
      <c r="U398" s="3">
        <v>95</v>
      </c>
      <c r="V398" s="3" t="str">
        <f>IFERROR(MID(VLOOKUP($B398,Seqs!$A:$B,2,0),W398,1),"")</f>
        <v>Y</v>
      </c>
      <c r="W398" s="3">
        <v>130</v>
      </c>
      <c r="X398" s="3" t="str">
        <f>IFERROR(MID(VLOOKUP($B398,Seqs!$A:$B,2,0),Y398,1),"")</f>
        <v>P</v>
      </c>
      <c r="Y398" s="3">
        <v>131</v>
      </c>
      <c r="Z398" s="3" t="str">
        <f>IFERROR(MID(VLOOKUP($B398,Seqs!$A:$B,2,0),AA398,1),"")</f>
        <v>R</v>
      </c>
      <c r="AA398" s="3">
        <v>138</v>
      </c>
      <c r="AB398" s="3" t="str">
        <f>IFERROR(MID(VLOOKUP($B398,Seqs!$A:$B,2,0),AC398,1),"")</f>
        <v>T</v>
      </c>
      <c r="AC398" s="3">
        <v>139</v>
      </c>
      <c r="AD398" s="3" t="str">
        <f>IFERROR(MID(VLOOKUP($B398,Seqs!$A:$B,2,0),AE398,1),"")</f>
        <v>N</v>
      </c>
      <c r="AE398" s="3">
        <v>166</v>
      </c>
      <c r="AF398" s="3" t="str">
        <f>IFERROR(MID(VLOOKUP($B398,Seqs!$A:$B,2,0),AG398,1),"")</f>
        <v>C</v>
      </c>
      <c r="AG398" s="3">
        <v>178</v>
      </c>
      <c r="AH398" s="3" t="str">
        <f>IFERROR(MID(VLOOKUP($B398,Seqs!$A:$B,2,0),AI398,1),"")</f>
        <v>E</v>
      </c>
      <c r="AI398" s="3">
        <v>180</v>
      </c>
      <c r="AJ398" s="3" t="str">
        <f>IFERROR(MID(VLOOKUP($B398,Seqs!$A:$B,2,0),AK398,1),"")</f>
        <v>W</v>
      </c>
      <c r="AK398" s="3">
        <v>187</v>
      </c>
      <c r="AL398" s="3" t="str">
        <f>IFERROR(MID(VLOOKUP($B398,Seqs!$A:$B,2,0),AM398,1),"")</f>
        <v>P</v>
      </c>
      <c r="AM398" s="3">
        <v>224</v>
      </c>
      <c r="AN398" s="3" t="str">
        <f>IFERROR(MID(VLOOKUP($B398,Seqs!$A:$B,2,0),AO398,1),"")</f>
        <v>R</v>
      </c>
      <c r="AO398" s="3">
        <v>229</v>
      </c>
      <c r="AP398" s="3" t="str">
        <f>IFERROR(MID(VLOOKUP($B398,Seqs!$A:$B,2,0),AQ398,1),"")</f>
        <v>N</v>
      </c>
      <c r="AQ398" s="3">
        <v>269</v>
      </c>
      <c r="AR398" s="3" t="str">
        <f>IFERROR(MID(VLOOKUP($B398,Seqs!$A:$B,2,0),AS398,1),"")</f>
        <v>G</v>
      </c>
      <c r="AS398" s="3">
        <v>273</v>
      </c>
      <c r="AT398" s="3" t="str">
        <f>IFERROR(MID(VLOOKUP($B398,Seqs!$A:$B,2,0),AU398,1),"")</f>
        <v>T</v>
      </c>
      <c r="AU398" s="3">
        <v>305</v>
      </c>
      <c r="AV398" s="3" t="str">
        <f>IFERROR(MID(VLOOKUP($B398,Seqs!$A:$B,2,0),AW398,1),"")</f>
        <v>S</v>
      </c>
      <c r="AW398" s="3">
        <v>306</v>
      </c>
      <c r="AX398" s="3" t="str">
        <f>IFERROR(MID(VLOOKUP($B398,Seqs!$A:$B,2,0),AY398,1),"")</f>
        <v>G</v>
      </c>
      <c r="AY398" s="3">
        <v>320</v>
      </c>
      <c r="AZ398" s="77" t="str">
        <f>VLOOKUP(B398,Classification!A:D,2,0)</f>
        <v>A</v>
      </c>
      <c r="BA398" s="94" t="str">
        <f>VLOOKUP(B398,Classification!A:D,4,0)</f>
        <v>Lysophospholipid(LPA)</v>
      </c>
      <c r="BB398" s="27" t="b">
        <f t="shared" si="3440"/>
        <v>1</v>
      </c>
      <c r="BC398" s="23">
        <f t="shared" si="3441"/>
        <v>270</v>
      </c>
      <c r="BD398" s="2" t="s">
        <v>23</v>
      </c>
      <c r="BE398" s="3" t="s">
        <v>23</v>
      </c>
      <c r="BF398" s="118" t="s">
        <v>23</v>
      </c>
      <c r="BG398" s="49" t="s">
        <v>1</v>
      </c>
      <c r="BH398" s="49" t="s">
        <v>1373</v>
      </c>
      <c r="BI398" s="1"/>
      <c r="BJ398" s="70" t="s">
        <v>1283</v>
      </c>
      <c r="BK398" s="57" t="s">
        <v>1283</v>
      </c>
      <c r="BL398" s="57" t="s">
        <v>1283</v>
      </c>
      <c r="BM398" s="57" t="s">
        <v>1283</v>
      </c>
      <c r="BN398" s="57" t="s">
        <v>1283</v>
      </c>
      <c r="BO398" s="57" t="s">
        <v>1283</v>
      </c>
      <c r="BP398" s="57" t="s">
        <v>1283</v>
      </c>
      <c r="BQ398" s="57" t="s">
        <v>1283</v>
      </c>
      <c r="BR398" s="57" t="s">
        <v>1283</v>
      </c>
      <c r="BS398" s="57" t="s">
        <v>1283</v>
      </c>
      <c r="BT398" s="57" t="s">
        <v>1283</v>
      </c>
      <c r="BU398" s="57" t="s">
        <v>1283</v>
      </c>
      <c r="BV398" s="70">
        <f t="shared" si="3442"/>
        <v>26</v>
      </c>
      <c r="BW398" s="71">
        <f t="shared" si="3443"/>
        <v>56</v>
      </c>
      <c r="BX398" s="72">
        <f t="shared" si="3444"/>
        <v>60</v>
      </c>
      <c r="BY398" s="71">
        <f t="shared" si="3445"/>
        <v>91</v>
      </c>
      <c r="BZ398" s="72">
        <f t="shared" si="3446"/>
        <v>95</v>
      </c>
      <c r="CA398" s="71">
        <f t="shared" si="3447"/>
        <v>131</v>
      </c>
      <c r="CB398" s="72">
        <f t="shared" si="3448"/>
        <v>139</v>
      </c>
      <c r="CC398" s="71">
        <f t="shared" si="3449"/>
        <v>178</v>
      </c>
      <c r="CD398" s="72">
        <f t="shared" si="3450"/>
        <v>187</v>
      </c>
      <c r="CE398" s="71">
        <f t="shared" si="3451"/>
        <v>229</v>
      </c>
      <c r="CF398" s="72">
        <f t="shared" si="3452"/>
        <v>273</v>
      </c>
      <c r="CG398" s="71">
        <f t="shared" si="3453"/>
        <v>306</v>
      </c>
      <c r="CH398" s="70">
        <f t="shared" si="3454"/>
        <v>55</v>
      </c>
      <c r="CI398" s="71">
        <f t="shared" si="3455"/>
        <v>59</v>
      </c>
      <c r="CJ398" s="72">
        <f t="shared" si="3456"/>
        <v>89</v>
      </c>
      <c r="CK398" s="72">
        <f t="shared" si="3457"/>
        <v>94</v>
      </c>
      <c r="CL398" s="72">
        <f t="shared" si="3458"/>
        <v>130</v>
      </c>
      <c r="CM398" s="72">
        <f t="shared" si="3459"/>
        <v>138</v>
      </c>
      <c r="CN398" s="72">
        <f t="shared" si="3460"/>
        <v>166</v>
      </c>
      <c r="CO398" s="72">
        <f t="shared" si="3461"/>
        <v>180</v>
      </c>
      <c r="CP398" s="72">
        <f t="shared" si="3462"/>
        <v>224</v>
      </c>
      <c r="CQ398" s="72">
        <f t="shared" si="3463"/>
        <v>269</v>
      </c>
      <c r="CR398" s="72">
        <f t="shared" si="3464"/>
        <v>305</v>
      </c>
      <c r="CS398" s="72">
        <f t="shared" si="3465"/>
        <v>320</v>
      </c>
      <c r="CT398" s="23">
        <f t="shared" si="3466"/>
        <v>1</v>
      </c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</row>
    <row r="399" spans="1:1029" x14ac:dyDescent="0.2">
      <c r="A399" s="3" t="str">
        <f t="shared" si="3439"/>
        <v>q08bg4_danre_5XSZ</v>
      </c>
      <c r="B399" s="3" t="s">
        <v>1436</v>
      </c>
      <c r="C399" s="3" t="s">
        <v>1438</v>
      </c>
      <c r="D399" s="3" t="str">
        <f>IFERROR(MID(VLOOKUP($B399,Seqs!$A:$B,2,0),E399,1),"")</f>
        <v>K</v>
      </c>
      <c r="E399" s="3">
        <v>26</v>
      </c>
      <c r="F399" s="3" t="str">
        <f>IFERROR(MID(VLOOKUP($B399,Seqs!$A:$B,2,0),G399,1),"")</f>
        <v>S</v>
      </c>
      <c r="G399" s="3">
        <v>55</v>
      </c>
      <c r="H399" s="3" t="str">
        <f>IFERROR(MID(VLOOKUP($B399,Seqs!$A:$B,2,0),I399,1),"")</f>
        <v/>
      </c>
      <c r="I399" s="23" t="s">
        <v>23</v>
      </c>
      <c r="J399" s="3" t="str">
        <f>IFERROR(MID(VLOOKUP($B399,Seqs!$A:$B,2,0),K399,1),"")</f>
        <v/>
      </c>
      <c r="K399" s="23" t="s">
        <v>23</v>
      </c>
      <c r="L399" s="3" t="str">
        <f>IFERROR(MID(VLOOKUP($B399,Seqs!$A:$B,2,0),M399,1),"")</f>
        <v>N</v>
      </c>
      <c r="M399" s="3">
        <v>60</v>
      </c>
      <c r="N399" s="3" t="str">
        <f>IFERROR(MID(VLOOKUP($B399,Seqs!$A:$B,2,0),O399,1),"")</f>
        <v>Q</v>
      </c>
      <c r="O399" s="3">
        <v>89</v>
      </c>
      <c r="P399" s="3" t="str">
        <f>IFERROR(MID(VLOOKUP($B399,Seqs!$A:$B,2,0),Q399,1),"")</f>
        <v>N</v>
      </c>
      <c r="Q399" s="3">
        <v>91</v>
      </c>
      <c r="R399" s="3" t="str">
        <f>IFERROR(MID(VLOOKUP($B399,Seqs!$A:$B,2,0),S399,1),"")</f>
        <v>F</v>
      </c>
      <c r="S399" s="3">
        <v>94</v>
      </c>
      <c r="T399" s="3" t="str">
        <f>IFERROR(MID(VLOOKUP($B399,Seqs!$A:$B,2,0),U399,1),"")</f>
        <v>G</v>
      </c>
      <c r="U399" s="3">
        <v>95</v>
      </c>
      <c r="V399" s="3" t="str">
        <f>IFERROR(MID(VLOOKUP($B399,Seqs!$A:$B,2,0),W399,1),"")</f>
        <v>Y</v>
      </c>
      <c r="W399" s="3">
        <v>130</v>
      </c>
      <c r="X399" s="3" t="str">
        <f>IFERROR(MID(VLOOKUP($B399,Seqs!$A:$B,2,0),Y399,1),"")</f>
        <v>P</v>
      </c>
      <c r="Y399" s="3">
        <v>131</v>
      </c>
      <c r="Z399" s="3" t="str">
        <f>IFERROR(MID(VLOOKUP($B399,Seqs!$A:$B,2,0),AA399,1),"")</f>
        <v>R</v>
      </c>
      <c r="AA399" s="3">
        <v>138</v>
      </c>
      <c r="AB399" s="3" t="str">
        <f>IFERROR(MID(VLOOKUP($B399,Seqs!$A:$B,2,0),AC399,1),"")</f>
        <v>T</v>
      </c>
      <c r="AC399" s="3">
        <v>139</v>
      </c>
      <c r="AD399" s="3" t="str">
        <f>IFERROR(MID(VLOOKUP($B399,Seqs!$A:$B,2,0),AE399,1),"")</f>
        <v>N</v>
      </c>
      <c r="AE399" s="3">
        <v>166</v>
      </c>
      <c r="AF399" s="3" t="str">
        <f>IFERROR(MID(VLOOKUP($B399,Seqs!$A:$B,2,0),AG399,1),"")</f>
        <v>C</v>
      </c>
      <c r="AG399" s="3">
        <v>178</v>
      </c>
      <c r="AH399" s="3" t="str">
        <f>IFERROR(MID(VLOOKUP($B399,Seqs!$A:$B,2,0),AI399,1),"")</f>
        <v>F</v>
      </c>
      <c r="AI399" s="3">
        <v>179</v>
      </c>
      <c r="AJ399" s="3" t="str">
        <f>IFERROR(MID(VLOOKUP($B399,Seqs!$A:$B,2,0),AK399,1),"")</f>
        <v>W</v>
      </c>
      <c r="AK399" s="3">
        <v>187</v>
      </c>
      <c r="AL399" s="3" t="str">
        <f>IFERROR(MID(VLOOKUP($B399,Seqs!$A:$B,2,0),AM399,1),"")</f>
        <v>R</v>
      </c>
      <c r="AM399" s="3">
        <v>223</v>
      </c>
      <c r="AN399" s="3" t="str">
        <f>IFERROR(MID(VLOOKUP($B399,Seqs!$A:$B,2,0),AO399,1),"")</f>
        <v>N</v>
      </c>
      <c r="AO399" s="3">
        <v>234</v>
      </c>
      <c r="AP399" s="3" t="str">
        <f>IFERROR(MID(VLOOKUP($B399,Seqs!$A:$B,2,0),AQ399,1),"")</f>
        <v>N</v>
      </c>
      <c r="AQ399" s="3">
        <v>269</v>
      </c>
      <c r="AR399" s="3" t="str">
        <f>IFERROR(MID(VLOOKUP($B399,Seqs!$A:$B,2,0),AS399,1),"")</f>
        <v>G</v>
      </c>
      <c r="AS399" s="3">
        <v>273</v>
      </c>
      <c r="AT399" s="3" t="str">
        <f>IFERROR(MID(VLOOKUP($B399,Seqs!$A:$B,2,0),AU399,1),"")</f>
        <v>T</v>
      </c>
      <c r="AU399" s="3">
        <v>308</v>
      </c>
      <c r="AV399" s="3" t="str">
        <f>IFERROR(MID(VLOOKUP($B399,Seqs!$A:$B,2,0),AW399,1),"")</f>
        <v/>
      </c>
      <c r="AW399" s="3" t="s">
        <v>23</v>
      </c>
      <c r="AX399" s="3" t="str">
        <f>IFERROR(MID(VLOOKUP($B399,Seqs!$A:$B,2,0),AY399,1),"")</f>
        <v/>
      </c>
      <c r="AY399" s="3" t="s">
        <v>23</v>
      </c>
      <c r="AZ399" s="77" t="str">
        <f>VLOOKUP(B399,Classification!A:D,2,0)</f>
        <v>A</v>
      </c>
      <c r="BA399" s="94" t="str">
        <f>VLOOKUP(B399,Classification!A:D,4,0)</f>
        <v>Lysophospholipid(LPA)</v>
      </c>
      <c r="BB399" s="27" t="b">
        <f t="shared" si="3440"/>
        <v>1</v>
      </c>
      <c r="BC399" s="23">
        <f t="shared" si="3441"/>
        <v>249</v>
      </c>
      <c r="BD399" s="2" t="s">
        <v>1371</v>
      </c>
      <c r="BE399" s="3" t="s">
        <v>1287</v>
      </c>
      <c r="BF399" s="118">
        <v>3.2</v>
      </c>
      <c r="BG399" s="49" t="s">
        <v>1</v>
      </c>
      <c r="BH399" s="49" t="s">
        <v>1373</v>
      </c>
      <c r="BI399" s="1"/>
      <c r="BJ399" s="70" t="s">
        <v>1283</v>
      </c>
      <c r="BK399" s="57" t="s">
        <v>1283</v>
      </c>
      <c r="BL399" s="57" t="s">
        <v>1283</v>
      </c>
      <c r="BM399" s="57" t="s">
        <v>1283</v>
      </c>
      <c r="BN399" s="57" t="s">
        <v>1283</v>
      </c>
      <c r="BO399" s="57" t="s">
        <v>1283</v>
      </c>
      <c r="BP399" s="57" t="s">
        <v>1283</v>
      </c>
      <c r="BQ399" s="57" t="s">
        <v>1283</v>
      </c>
      <c r="BR399" s="57" t="s">
        <v>1283</v>
      </c>
      <c r="BS399" s="57" t="s">
        <v>1283</v>
      </c>
      <c r="BT399" s="57" t="s">
        <v>1283</v>
      </c>
      <c r="BU399" s="57" t="s">
        <v>1283</v>
      </c>
      <c r="BV399" s="70">
        <f t="shared" si="3442"/>
        <v>26</v>
      </c>
      <c r="BW399" s="71" t="str">
        <f t="shared" si="3443"/>
        <v>-</v>
      </c>
      <c r="BX399" s="72">
        <f t="shared" si="3444"/>
        <v>60</v>
      </c>
      <c r="BY399" s="71">
        <f t="shared" si="3445"/>
        <v>91</v>
      </c>
      <c r="BZ399" s="72">
        <f t="shared" si="3446"/>
        <v>95</v>
      </c>
      <c r="CA399" s="71">
        <f t="shared" si="3447"/>
        <v>131</v>
      </c>
      <c r="CB399" s="72">
        <f t="shared" si="3448"/>
        <v>139</v>
      </c>
      <c r="CC399" s="71">
        <f t="shared" si="3449"/>
        <v>178</v>
      </c>
      <c r="CD399" s="72">
        <f t="shared" si="3450"/>
        <v>187</v>
      </c>
      <c r="CE399" s="71">
        <f t="shared" si="3451"/>
        <v>234</v>
      </c>
      <c r="CF399" s="72">
        <f t="shared" si="3452"/>
        <v>273</v>
      </c>
      <c r="CG399" s="71" t="str">
        <f t="shared" si="3453"/>
        <v>-</v>
      </c>
      <c r="CH399" s="70">
        <f t="shared" si="3454"/>
        <v>55</v>
      </c>
      <c r="CI399" s="71" t="str">
        <f t="shared" si="3455"/>
        <v>-</v>
      </c>
      <c r="CJ399" s="72">
        <f t="shared" si="3456"/>
        <v>89</v>
      </c>
      <c r="CK399" s="72">
        <f t="shared" si="3457"/>
        <v>94</v>
      </c>
      <c r="CL399" s="72">
        <f t="shared" si="3458"/>
        <v>130</v>
      </c>
      <c r="CM399" s="72">
        <f t="shared" si="3459"/>
        <v>138</v>
      </c>
      <c r="CN399" s="72">
        <f t="shared" si="3460"/>
        <v>166</v>
      </c>
      <c r="CO399" s="72">
        <f t="shared" si="3461"/>
        <v>179</v>
      </c>
      <c r="CP399" s="72">
        <f t="shared" si="3462"/>
        <v>223</v>
      </c>
      <c r="CQ399" s="72">
        <f t="shared" si="3463"/>
        <v>269</v>
      </c>
      <c r="CR399" s="72">
        <f t="shared" si="3464"/>
        <v>308</v>
      </c>
      <c r="CS399" s="72" t="str">
        <f t="shared" si="3465"/>
        <v>-</v>
      </c>
      <c r="CT399" s="23" t="e">
        <f t="shared" si="3466"/>
        <v>#VALUE!</v>
      </c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</row>
    <row r="400" spans="1:1029" x14ac:dyDescent="0.2">
      <c r="A400" s="3" t="str">
        <f t="shared" si="3439"/>
        <v>q9wtk1_cavpo__wt</v>
      </c>
      <c r="B400" s="3" t="s">
        <v>1447</v>
      </c>
      <c r="C400" s="3" t="s">
        <v>100</v>
      </c>
      <c r="D400" s="3" t="str">
        <f>IFERROR(MID(VLOOKUP($B400,Seqs!$A:$B,2,0),E400,1),"")</f>
        <v>T</v>
      </c>
      <c r="E400" s="3">
        <v>17</v>
      </c>
      <c r="F400" s="3" t="str">
        <f>IFERROR(MID(VLOOKUP($B400,Seqs!$A:$B,2,0),G400,1),"")</f>
        <v>R</v>
      </c>
      <c r="G400" s="3">
        <v>48</v>
      </c>
      <c r="H400" s="3" t="str">
        <f>IFERROR(MID(VLOOKUP($B400,Seqs!$A:$B,2,0),I400,1),"")</f>
        <v>M</v>
      </c>
      <c r="I400" s="23">
        <v>49</v>
      </c>
      <c r="J400" s="3" t="str">
        <f>IFERROR(MID(VLOOKUP($B400,Seqs!$A:$B,2,0),K400,1),"")</f>
        <v>R</v>
      </c>
      <c r="K400" s="23">
        <v>52</v>
      </c>
      <c r="L400" s="3" t="str">
        <f>IFERROR(MID(VLOOKUP($B400,Seqs!$A:$B,2,0),M400,1),"")</f>
        <v>S</v>
      </c>
      <c r="M400" s="3">
        <v>53</v>
      </c>
      <c r="N400" s="3" t="str">
        <f>IFERROR(MID(VLOOKUP($B400,Seqs!$A:$B,2,0),O400,1),"")</f>
        <v>H</v>
      </c>
      <c r="O400" s="3">
        <v>83</v>
      </c>
      <c r="P400" s="3" t="str">
        <f>IFERROR(MID(VLOOKUP($B400,Seqs!$A:$B,2,0),Q400,1),"")</f>
        <v>T</v>
      </c>
      <c r="Q400" s="3">
        <v>84</v>
      </c>
      <c r="R400" s="3" t="str">
        <f>IFERROR(MID(VLOOKUP($B400,Seqs!$A:$B,2,0),S400,1),"")</f>
        <v>F</v>
      </c>
      <c r="S400" s="3">
        <v>87</v>
      </c>
      <c r="T400" s="3" t="str">
        <f>IFERROR(MID(VLOOKUP($B400,Seqs!$A:$B,2,0),U400,1),"")</f>
        <v>K</v>
      </c>
      <c r="U400" s="3">
        <v>88</v>
      </c>
      <c r="V400" s="3" t="str">
        <f>IFERROR(MID(VLOOKUP($B400,Seqs!$A:$B,2,0),W400,1),"")</f>
        <v>S</v>
      </c>
      <c r="W400" s="3">
        <v>123</v>
      </c>
      <c r="X400" s="3" t="str">
        <f>IFERROR(MID(VLOOKUP($B400,Seqs!$A:$B,2,0),Y400,1),"")</f>
        <v>P</v>
      </c>
      <c r="Y400" s="3">
        <v>124</v>
      </c>
      <c r="Z400" s="3" t="str">
        <f>IFERROR(MID(VLOOKUP($B400,Seqs!$A:$B,2,0),AA400,1),"")</f>
        <v>R</v>
      </c>
      <c r="AA400" s="3">
        <v>131</v>
      </c>
      <c r="AB400" s="3" t="str">
        <f>IFERROR(MID(VLOOKUP($B400,Seqs!$A:$B,2,0),AC400,1),"")</f>
        <v>T</v>
      </c>
      <c r="AC400" s="3">
        <v>132</v>
      </c>
      <c r="AD400" s="3" t="str">
        <f>IFERROR(MID(VLOOKUP($B400,Seqs!$A:$B,2,0),AE400,1),"")</f>
        <v>R</v>
      </c>
      <c r="AE400" s="3">
        <v>158</v>
      </c>
      <c r="AF400" s="3" t="str">
        <f>IFERROR(MID(VLOOKUP($B400,Seqs!$A:$B,2,0),AG400,1),"")</f>
        <v>C</v>
      </c>
      <c r="AG400" s="3">
        <v>170</v>
      </c>
      <c r="AH400" s="3" t="str">
        <f>IFERROR(MID(VLOOKUP($B400,Seqs!$A:$B,2,0),AI400,1),"")</f>
        <v>A</v>
      </c>
      <c r="AI400" s="3">
        <v>172</v>
      </c>
      <c r="AJ400" s="3" t="str">
        <f>IFERROR(MID(VLOOKUP($B400,Seqs!$A:$B,2,0),AK400,1),"")</f>
        <v>S</v>
      </c>
      <c r="AK400" s="3">
        <v>176</v>
      </c>
      <c r="AL400" s="3" t="str">
        <f>IFERROR(MID(VLOOKUP($B400,Seqs!$A:$B,2,0),AM400,1),"")</f>
        <v>R</v>
      </c>
      <c r="AM400" s="3">
        <v>213</v>
      </c>
      <c r="AN400" s="3" t="str">
        <f>IFERROR(MID(VLOOKUP($B400,Seqs!$A:$B,2,0),AO400,1),"")</f>
        <v>R</v>
      </c>
      <c r="AO400" s="3">
        <v>218</v>
      </c>
      <c r="AP400" s="3" t="str">
        <f>IFERROR(MID(VLOOKUP($B400,Seqs!$A:$B,2,0),AQ400,1),"")</f>
        <v>A</v>
      </c>
      <c r="AQ400" s="3">
        <v>252</v>
      </c>
      <c r="AR400" s="3" t="str">
        <f>IFERROR(MID(VLOOKUP($B400,Seqs!$A:$B,2,0),AS400,1),"")</f>
        <v>L</v>
      </c>
      <c r="AS400" s="3">
        <v>255</v>
      </c>
      <c r="AT400" s="3" t="str">
        <f>IFERROR(MID(VLOOKUP($B400,Seqs!$A:$B,2,0),AU400,1),"")</f>
        <v>A</v>
      </c>
      <c r="AU400" s="3">
        <v>287</v>
      </c>
      <c r="AV400" s="3" t="str">
        <f>IFERROR(MID(VLOOKUP($B400,Seqs!$A:$B,2,0),AW400,1),"")</f>
        <v>G</v>
      </c>
      <c r="AW400" s="3">
        <v>288</v>
      </c>
      <c r="AX400" s="3" t="str">
        <f>IFERROR(MID(VLOOKUP($B400,Seqs!$A:$B,2,0),AY400,1),"")</f>
        <v>K</v>
      </c>
      <c r="AY400" s="3">
        <v>302</v>
      </c>
      <c r="AZ400" s="77" t="str">
        <f>VLOOKUP(B400,Classification!A:D,2,0)</f>
        <v>A</v>
      </c>
      <c r="BA400" s="94" t="str">
        <f>VLOOKUP(B400,Classification!A:D,4,0)</f>
        <v>Leukotriene</v>
      </c>
      <c r="BB400" s="27" t="b">
        <f t="shared" si="3440"/>
        <v>1</v>
      </c>
      <c r="BC400" s="23">
        <f t="shared" si="3441"/>
        <v>266</v>
      </c>
      <c r="BD400" s="2" t="s">
        <v>23</v>
      </c>
      <c r="BE400" s="3" t="s">
        <v>23</v>
      </c>
      <c r="BF400" s="118" t="s">
        <v>23</v>
      </c>
      <c r="BG400" s="49" t="s">
        <v>1</v>
      </c>
      <c r="BH400" s="49" t="s">
        <v>1</v>
      </c>
      <c r="BI400" s="1"/>
      <c r="BJ400" s="70" t="s">
        <v>1283</v>
      </c>
      <c r="BK400" s="57" t="s">
        <v>1283</v>
      </c>
      <c r="BL400" s="57" t="s">
        <v>1283</v>
      </c>
      <c r="BM400" s="57" t="s">
        <v>1283</v>
      </c>
      <c r="BN400" s="57" t="s">
        <v>1283</v>
      </c>
      <c r="BO400" s="57" t="s">
        <v>1283</v>
      </c>
      <c r="BP400" s="57" t="s">
        <v>1283</v>
      </c>
      <c r="BQ400" s="57" t="s">
        <v>1283</v>
      </c>
      <c r="BR400" s="57" t="s">
        <v>1283</v>
      </c>
      <c r="BS400" s="57" t="s">
        <v>1283</v>
      </c>
      <c r="BT400" s="57" t="s">
        <v>1283</v>
      </c>
      <c r="BU400" s="57" t="s">
        <v>1283</v>
      </c>
      <c r="BV400" s="70">
        <f t="shared" si="3442"/>
        <v>17</v>
      </c>
      <c r="BW400" s="71">
        <f t="shared" si="3443"/>
        <v>49</v>
      </c>
      <c r="BX400" s="72">
        <f t="shared" si="3444"/>
        <v>53</v>
      </c>
      <c r="BY400" s="71">
        <f t="shared" si="3445"/>
        <v>84</v>
      </c>
      <c r="BZ400" s="72">
        <f t="shared" si="3446"/>
        <v>88</v>
      </c>
      <c r="CA400" s="71">
        <f t="shared" si="3447"/>
        <v>124</v>
      </c>
      <c r="CB400" s="72">
        <f t="shared" si="3448"/>
        <v>132</v>
      </c>
      <c r="CC400" s="71">
        <f t="shared" si="3449"/>
        <v>170</v>
      </c>
      <c r="CD400" s="72">
        <f t="shared" si="3450"/>
        <v>176</v>
      </c>
      <c r="CE400" s="71">
        <f t="shared" si="3451"/>
        <v>218</v>
      </c>
      <c r="CF400" s="72">
        <f t="shared" si="3452"/>
        <v>255</v>
      </c>
      <c r="CG400" s="71">
        <f t="shared" si="3453"/>
        <v>288</v>
      </c>
      <c r="CH400" s="70">
        <f t="shared" si="3454"/>
        <v>48</v>
      </c>
      <c r="CI400" s="71">
        <f t="shared" si="3455"/>
        <v>52</v>
      </c>
      <c r="CJ400" s="72">
        <f t="shared" si="3456"/>
        <v>83</v>
      </c>
      <c r="CK400" s="72">
        <f t="shared" si="3457"/>
        <v>87</v>
      </c>
      <c r="CL400" s="72">
        <f t="shared" si="3458"/>
        <v>123</v>
      </c>
      <c r="CM400" s="72">
        <f t="shared" si="3459"/>
        <v>131</v>
      </c>
      <c r="CN400" s="72">
        <f t="shared" si="3460"/>
        <v>158</v>
      </c>
      <c r="CO400" s="72">
        <f t="shared" si="3461"/>
        <v>172</v>
      </c>
      <c r="CP400" s="72">
        <f t="shared" si="3462"/>
        <v>213</v>
      </c>
      <c r="CQ400" s="72">
        <f t="shared" si="3463"/>
        <v>252</v>
      </c>
      <c r="CR400" s="72">
        <f t="shared" si="3464"/>
        <v>287</v>
      </c>
      <c r="CS400" s="72">
        <f t="shared" si="3465"/>
        <v>302</v>
      </c>
      <c r="CT400" s="23">
        <f t="shared" si="3466"/>
        <v>1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30" x14ac:dyDescent="0.2">
      <c r="A401" s="3" t="str">
        <f t="shared" si="3439"/>
        <v>q9wtk1_cavpo_5X33</v>
      </c>
      <c r="B401" s="3" t="s">
        <v>1447</v>
      </c>
      <c r="C401" s="3" t="s">
        <v>1448</v>
      </c>
      <c r="D401" s="3" t="str">
        <f>IFERROR(MID(VLOOKUP($B401,Seqs!$A:$B,2,0),E401,1),"")</f>
        <v>T</v>
      </c>
      <c r="E401" s="3">
        <v>17</v>
      </c>
      <c r="F401" s="3" t="str">
        <f>IFERROR(MID(VLOOKUP($B401,Seqs!$A:$B,2,0),G401,1),"")</f>
        <v>R</v>
      </c>
      <c r="G401" s="3">
        <v>48</v>
      </c>
      <c r="H401" s="3" t="str">
        <f>IFERROR(MID(VLOOKUP($B401,Seqs!$A:$B,2,0),I401,1),"")</f>
        <v/>
      </c>
      <c r="I401" s="23" t="s">
        <v>23</v>
      </c>
      <c r="J401" s="3" t="str">
        <f>IFERROR(MID(VLOOKUP($B401,Seqs!$A:$B,2,0),K401,1),"")</f>
        <v/>
      </c>
      <c r="K401" s="23" t="s">
        <v>23</v>
      </c>
      <c r="L401" s="3" t="str">
        <f>IFERROR(MID(VLOOKUP($B401,Seqs!$A:$B,2,0),M401,1),"")</f>
        <v>S</v>
      </c>
      <c r="M401" s="3">
        <v>53</v>
      </c>
      <c r="N401" s="3" t="str">
        <f>IFERROR(MID(VLOOKUP($B401,Seqs!$A:$B,2,0),O401,1),"")</f>
        <v>H</v>
      </c>
      <c r="O401" s="3">
        <v>83</v>
      </c>
      <c r="P401" s="3" t="str">
        <f>IFERROR(MID(VLOOKUP($B401,Seqs!$A:$B,2,0),Q401,1),"")</f>
        <v>T</v>
      </c>
      <c r="Q401" s="3">
        <v>84</v>
      </c>
      <c r="R401" s="3" t="str">
        <f>IFERROR(MID(VLOOKUP($B401,Seqs!$A:$B,2,0),S401,1),"")</f>
        <v>F</v>
      </c>
      <c r="S401" s="3">
        <v>87</v>
      </c>
      <c r="T401" s="3" t="str">
        <f>IFERROR(MID(VLOOKUP($B401,Seqs!$A:$B,2,0),U401,1),"")</f>
        <v>K</v>
      </c>
      <c r="U401" s="3">
        <v>88</v>
      </c>
      <c r="V401" s="3" t="str">
        <f>IFERROR(MID(VLOOKUP($B401,Seqs!$A:$B,2,0),W401,1),"")</f>
        <v>S</v>
      </c>
      <c r="W401" s="3">
        <v>123</v>
      </c>
      <c r="X401" s="3" t="str">
        <f>IFERROR(MID(VLOOKUP($B401,Seqs!$A:$B,2,0),Y401,1),"")</f>
        <v>P</v>
      </c>
      <c r="Y401" s="3">
        <v>124</v>
      </c>
      <c r="Z401" s="3" t="str">
        <f>IFERROR(MID(VLOOKUP($B401,Seqs!$A:$B,2,0),AA401,1),"")</f>
        <v>R</v>
      </c>
      <c r="AA401" s="3">
        <v>131</v>
      </c>
      <c r="AB401" s="3" t="str">
        <f>IFERROR(MID(VLOOKUP($B401,Seqs!$A:$B,2,0),AC401,1),"")</f>
        <v>T</v>
      </c>
      <c r="AC401" s="3">
        <v>132</v>
      </c>
      <c r="AD401" s="3" t="str">
        <f>IFERROR(MID(VLOOKUP($B401,Seqs!$A:$B,2,0),AE401,1),"")</f>
        <v>R</v>
      </c>
      <c r="AE401" s="3">
        <v>158</v>
      </c>
      <c r="AF401" s="3" t="str">
        <f>IFERROR(MID(VLOOKUP($B401,Seqs!$A:$B,2,0),AG401,1),"")</f>
        <v>C</v>
      </c>
      <c r="AG401" s="3">
        <v>170</v>
      </c>
      <c r="AH401" s="3" t="str">
        <f>IFERROR(MID(VLOOKUP($B401,Seqs!$A:$B,2,0),AI401,1),"")</f>
        <v>A</v>
      </c>
      <c r="AI401" s="3">
        <v>172</v>
      </c>
      <c r="AJ401" s="3" t="str">
        <f>IFERROR(MID(VLOOKUP($B401,Seqs!$A:$B,2,0),AK401,1),"")</f>
        <v>S</v>
      </c>
      <c r="AK401" s="3">
        <v>176</v>
      </c>
      <c r="AL401" s="3" t="str">
        <f>IFERROR(MID(VLOOKUP($B401,Seqs!$A:$B,2,0),AM401,1),"")</f>
        <v>R</v>
      </c>
      <c r="AM401" s="3">
        <v>213</v>
      </c>
      <c r="AN401" s="3" t="str">
        <f>IFERROR(MID(VLOOKUP($B401,Seqs!$A:$B,2,0),AO401,1),"")</f>
        <v>I</v>
      </c>
      <c r="AO401" s="3">
        <v>227</v>
      </c>
      <c r="AP401" s="3" t="str">
        <f>IFERROR(MID(VLOOKUP($B401,Seqs!$A:$B,2,0),AQ401,1),"")</f>
        <v>R</v>
      </c>
      <c r="AQ401" s="3">
        <v>249</v>
      </c>
      <c r="AR401" s="3" t="str">
        <f>IFERROR(MID(VLOOKUP($B401,Seqs!$A:$B,2,0),AS401,1),"")</f>
        <v>Q</v>
      </c>
      <c r="AS401" s="3">
        <v>261</v>
      </c>
      <c r="AT401" s="3" t="str">
        <f>IFERROR(MID(VLOOKUP($B401,Seqs!$A:$B,2,0),AU401,1),"")</f>
        <v>S</v>
      </c>
      <c r="AU401" s="3">
        <v>278</v>
      </c>
      <c r="AV401" s="3" t="str">
        <f>IFERROR(MID(VLOOKUP($B401,Seqs!$A:$B,2,0),AW401,1),"")</f>
        <v/>
      </c>
      <c r="AW401" s="3" t="s">
        <v>23</v>
      </c>
      <c r="AX401" s="3" t="str">
        <f>IFERROR(MID(VLOOKUP($B401,Seqs!$A:$B,2,0),AY401,1),"")</f>
        <v/>
      </c>
      <c r="AY401" s="3" t="s">
        <v>23</v>
      </c>
      <c r="AZ401" s="77" t="str">
        <f>VLOOKUP(B401,Classification!A:D,2,0)</f>
        <v>A</v>
      </c>
      <c r="BA401" s="94" t="str">
        <f>VLOOKUP(B401,Classification!A:D,4,0)</f>
        <v>Leukotriene</v>
      </c>
      <c r="BB401" s="27" t="b">
        <f t="shared" si="3440"/>
        <v>1</v>
      </c>
      <c r="BC401" s="23">
        <f t="shared" si="3441"/>
        <v>222</v>
      </c>
      <c r="BD401" s="2" t="s">
        <v>1372</v>
      </c>
      <c r="BE401" s="3" t="s">
        <v>1370</v>
      </c>
      <c r="BF401" s="118">
        <v>3.7</v>
      </c>
      <c r="BG401" s="49" t="s">
        <v>1</v>
      </c>
      <c r="BH401" s="49" t="s">
        <v>1373</v>
      </c>
      <c r="BI401" s="1"/>
      <c r="BJ401" s="70" t="s">
        <v>1283</v>
      </c>
      <c r="BK401" s="57" t="s">
        <v>1283</v>
      </c>
      <c r="BL401" s="57" t="s">
        <v>1283</v>
      </c>
      <c r="BM401" s="57" t="s">
        <v>1283</v>
      </c>
      <c r="BN401" s="57" t="s">
        <v>1283</v>
      </c>
      <c r="BO401" s="57" t="s">
        <v>1283</v>
      </c>
      <c r="BP401" s="57" t="s">
        <v>1283</v>
      </c>
      <c r="BQ401" s="57" t="s">
        <v>1283</v>
      </c>
      <c r="BR401" s="57" t="s">
        <v>1283</v>
      </c>
      <c r="BS401" s="57" t="s">
        <v>1283</v>
      </c>
      <c r="BT401" s="57" t="s">
        <v>1283</v>
      </c>
      <c r="BU401" s="57" t="s">
        <v>1283</v>
      </c>
      <c r="BV401" s="70">
        <f t="shared" si="3442"/>
        <v>17</v>
      </c>
      <c r="BW401" s="71" t="str">
        <f t="shared" si="3443"/>
        <v>-</v>
      </c>
      <c r="BX401" s="72">
        <f t="shared" si="3444"/>
        <v>53</v>
      </c>
      <c r="BY401" s="71">
        <f t="shared" si="3445"/>
        <v>84</v>
      </c>
      <c r="BZ401" s="72">
        <f t="shared" si="3446"/>
        <v>88</v>
      </c>
      <c r="CA401" s="71">
        <f t="shared" si="3447"/>
        <v>124</v>
      </c>
      <c r="CB401" s="72">
        <f t="shared" si="3448"/>
        <v>132</v>
      </c>
      <c r="CC401" s="71">
        <f t="shared" si="3449"/>
        <v>170</v>
      </c>
      <c r="CD401" s="72">
        <f t="shared" si="3450"/>
        <v>176</v>
      </c>
      <c r="CE401" s="71">
        <f t="shared" si="3451"/>
        <v>227</v>
      </c>
      <c r="CF401" s="72">
        <f t="shared" si="3452"/>
        <v>261</v>
      </c>
      <c r="CG401" s="71" t="str">
        <f t="shared" si="3453"/>
        <v>-</v>
      </c>
      <c r="CH401" s="70">
        <f t="shared" si="3454"/>
        <v>48</v>
      </c>
      <c r="CI401" s="71" t="str">
        <f t="shared" si="3455"/>
        <v>-</v>
      </c>
      <c r="CJ401" s="72">
        <f t="shared" si="3456"/>
        <v>83</v>
      </c>
      <c r="CK401" s="72">
        <f t="shared" si="3457"/>
        <v>87</v>
      </c>
      <c r="CL401" s="72">
        <f t="shared" si="3458"/>
        <v>123</v>
      </c>
      <c r="CM401" s="72">
        <f t="shared" si="3459"/>
        <v>131</v>
      </c>
      <c r="CN401" s="72">
        <f t="shared" si="3460"/>
        <v>158</v>
      </c>
      <c r="CO401" s="72">
        <f t="shared" si="3461"/>
        <v>172</v>
      </c>
      <c r="CP401" s="72">
        <f t="shared" si="3462"/>
        <v>213</v>
      </c>
      <c r="CQ401" s="72">
        <f t="shared" si="3463"/>
        <v>249</v>
      </c>
      <c r="CR401" s="72">
        <f t="shared" si="3464"/>
        <v>278</v>
      </c>
      <c r="CS401" s="72" t="str">
        <f t="shared" si="3465"/>
        <v>-</v>
      </c>
      <c r="CT401" s="23" t="e">
        <f t="shared" si="3466"/>
        <v>#VALUE!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30" x14ac:dyDescent="0.2">
      <c r="A402" s="3" t="str">
        <f t="shared" si="2821"/>
        <v>s1pr1_human__wt</v>
      </c>
      <c r="B402" s="3" t="s">
        <v>104</v>
      </c>
      <c r="C402" s="3" t="s">
        <v>100</v>
      </c>
      <c r="D402" s="3" t="str">
        <f>IFERROR(MID(VLOOKUP($B402,Seqs!$A:$B,2,0),E402,1),"")</f>
        <v>E</v>
      </c>
      <c r="E402" s="3">
        <v>42</v>
      </c>
      <c r="F402" s="3" t="str">
        <f>IFERROR(MID(VLOOKUP($B402,Seqs!$A:$B,2,0),G402,1),"")</f>
        <v>T</v>
      </c>
      <c r="G402" s="3">
        <v>73</v>
      </c>
      <c r="H402" s="3" t="str">
        <f>IFERROR(MID(VLOOKUP($B402,Seqs!$A:$B,2,0),I402,1),"")</f>
        <v>K</v>
      </c>
      <c r="I402" s="23">
        <v>74</v>
      </c>
      <c r="J402" s="3" t="str">
        <f>IFERROR(MID(VLOOKUP($B402,Seqs!$A:$B,2,0),K402,1),"")</f>
        <v>H</v>
      </c>
      <c r="K402" s="23">
        <v>77</v>
      </c>
      <c r="L402" s="3" t="str">
        <f>IFERROR(MID(VLOOKUP($B402,Seqs!$A:$B,2,0),M402,1),"")</f>
        <v>R</v>
      </c>
      <c r="M402" s="3">
        <v>78</v>
      </c>
      <c r="N402" s="3" t="str">
        <f>IFERROR(MID(VLOOKUP($B402,Seqs!$A:$B,2,0),O402,1),"")</f>
        <v>L</v>
      </c>
      <c r="O402" s="3">
        <v>104</v>
      </c>
      <c r="P402" s="3" t="str">
        <f>IFERROR(MID(VLOOKUP($B402,Seqs!$A:$B,2,0),Q402,1),"")</f>
        <v>G</v>
      </c>
      <c r="Q402" s="3">
        <v>106</v>
      </c>
      <c r="R402" s="3" t="str">
        <f>IFERROR(MID(VLOOKUP($B402,Seqs!$A:$B,2,0),S402,1),"")</f>
        <v>L</v>
      </c>
      <c r="S402" s="3">
        <v>112</v>
      </c>
      <c r="T402" s="3" t="str">
        <f>IFERROR(MID(VLOOKUP($B402,Seqs!$A:$B,2,0),U402,1),"")</f>
        <v>T</v>
      </c>
      <c r="U402" s="3">
        <v>113</v>
      </c>
      <c r="V402" s="3" t="str">
        <f>IFERROR(MID(VLOOKUP($B402,Seqs!$A:$B,2,0),W402,1),"")</f>
        <v>K</v>
      </c>
      <c r="W402" s="105">
        <v>148</v>
      </c>
      <c r="X402" s="3" t="str">
        <f>IFERROR(MID(VLOOKUP($B402,Seqs!$A:$B,2,0),Y402,1),"")</f>
        <v>M</v>
      </c>
      <c r="Y402" s="105">
        <v>149</v>
      </c>
      <c r="Z402" s="3" t="str">
        <f>IFERROR(MID(VLOOKUP($B402,Seqs!$A:$B,2,0),AA402,1),"")</f>
        <v>S</v>
      </c>
      <c r="AA402" s="105">
        <v>155</v>
      </c>
      <c r="AB402" s="3" t="str">
        <f>IFERROR(MID(VLOOKUP($B402,Seqs!$A:$B,2,0),AC402,1),"")</f>
        <v>N</v>
      </c>
      <c r="AC402" s="105">
        <v>156</v>
      </c>
      <c r="AD402" s="3" t="str">
        <f>IFERROR(MID(VLOOKUP($B402,Seqs!$A:$B,2,0),AE402,1),"")</f>
        <v>G</v>
      </c>
      <c r="AE402" s="3">
        <v>181</v>
      </c>
      <c r="AF402" s="3" t="str">
        <f>IFERROR(MID(VLOOKUP($B402,Seqs!$A:$B,2,0),AG402,1),"")</f>
        <v/>
      </c>
      <c r="AG402" s="3" t="s">
        <v>23</v>
      </c>
      <c r="AH402" s="3" t="str">
        <f>IFERROR(MID(VLOOKUP($B402,Seqs!$A:$B,2,0),AI402,1),"")</f>
        <v/>
      </c>
      <c r="AI402" s="3" t="s">
        <v>23</v>
      </c>
      <c r="AJ402" s="3" t="str">
        <f>IFERROR(MID(VLOOKUP($B402,Seqs!$A:$B,2,0),AK402,1),"")</f>
        <v>H</v>
      </c>
      <c r="AK402" s="3">
        <v>199</v>
      </c>
      <c r="AL402" s="3" t="str">
        <f>IFERROR(MID(VLOOKUP($B402,Seqs!$A:$B,2,0),AM402,1),"")</f>
        <v>T</v>
      </c>
      <c r="AM402" s="3">
        <v>236</v>
      </c>
      <c r="AN402" s="3" t="str">
        <f>IFERROR(MID(VLOOKUP($B402,Seqs!$A:$B,2,0),AO402,1),"")</f>
        <v>S</v>
      </c>
      <c r="AO402" s="3">
        <v>245</v>
      </c>
      <c r="AP402" s="3" t="str">
        <f>IFERROR(MID(VLOOKUP($B402,Seqs!$A:$B,2,0),AQ402,1),"")</f>
        <v>C</v>
      </c>
      <c r="AQ402" s="3">
        <v>282</v>
      </c>
      <c r="AR402" s="3" t="str">
        <f>IFERROR(MID(VLOOKUP($B402,Seqs!$A:$B,2,0),AS402,1),"")</f>
        <v>D</v>
      </c>
      <c r="AS402" s="3">
        <v>288</v>
      </c>
      <c r="AT402" s="3" t="str">
        <f>IFERROR(MID(VLOOKUP($B402,Seqs!$A:$B,2,0),AU402,1),"")</f>
        <v>T</v>
      </c>
      <c r="AU402" s="3">
        <v>314</v>
      </c>
      <c r="AV402" s="3" t="str">
        <f>IFERROR(MID(VLOOKUP($B402,Seqs!$A:$B,2,0),AW402,1),"")</f>
        <v>N</v>
      </c>
      <c r="AW402" s="3">
        <v>315</v>
      </c>
      <c r="AX402" s="3" t="str">
        <f>IFERROR(MID(VLOOKUP($B402,Seqs!$A:$B,2,0),AY402,1),"")</f>
        <v>S</v>
      </c>
      <c r="AY402" s="3">
        <v>327</v>
      </c>
      <c r="AZ402" s="77" t="str">
        <f>VLOOKUP(B402,Classification!A:D,2,0)</f>
        <v>A</v>
      </c>
      <c r="BA402" s="94" t="str">
        <f>VLOOKUP(B402,Classification!A:D,4,0)</f>
        <v>Lysophospholipid(S1P)</v>
      </c>
      <c r="BB402" s="27" t="b">
        <f t="shared" si="2822"/>
        <v>1</v>
      </c>
      <c r="BC402" s="23">
        <f t="shared" si="2795"/>
        <v>256</v>
      </c>
      <c r="BD402" s="56" t="s">
        <v>23</v>
      </c>
      <c r="BE402" s="3" t="s">
        <v>23</v>
      </c>
      <c r="BF402" s="118" t="s">
        <v>23</v>
      </c>
      <c r="BG402" s="49" t="s">
        <v>1368</v>
      </c>
      <c r="BH402" s="49" t="s">
        <v>1373</v>
      </c>
      <c r="BI402" s="1"/>
      <c r="BJ402" s="70" t="s">
        <v>1283</v>
      </c>
      <c r="BK402" s="57" t="s">
        <v>1283</v>
      </c>
      <c r="BL402" s="57" t="s">
        <v>1283</v>
      </c>
      <c r="BM402" s="57" t="s">
        <v>1283</v>
      </c>
      <c r="BN402" s="57" t="s">
        <v>1283</v>
      </c>
      <c r="BO402" s="57" t="s">
        <v>1283</v>
      </c>
      <c r="BP402" s="57" t="s">
        <v>1283</v>
      </c>
      <c r="BQ402" s="57" t="s">
        <v>1283</v>
      </c>
      <c r="BR402" s="57" t="s">
        <v>1283</v>
      </c>
      <c r="BS402" s="57" t="s">
        <v>1283</v>
      </c>
      <c r="BT402" s="57" t="s">
        <v>1283</v>
      </c>
      <c r="BU402" s="57" t="s">
        <v>1283</v>
      </c>
      <c r="BV402" s="70">
        <f t="shared" si="2796"/>
        <v>42</v>
      </c>
      <c r="BW402" s="71">
        <f t="shared" si="2797"/>
        <v>74</v>
      </c>
      <c r="BX402" s="72">
        <f t="shared" si="2798"/>
        <v>78</v>
      </c>
      <c r="BY402" s="71">
        <f t="shared" si="2799"/>
        <v>106</v>
      </c>
      <c r="BZ402" s="72">
        <f t="shared" si="2800"/>
        <v>113</v>
      </c>
      <c r="CA402" s="71">
        <f t="shared" si="2801"/>
        <v>149</v>
      </c>
      <c r="CB402" s="72">
        <f t="shared" si="2802"/>
        <v>156</v>
      </c>
      <c r="CC402" s="71" t="str">
        <f t="shared" si="2803"/>
        <v>-</v>
      </c>
      <c r="CD402" s="72">
        <f t="shared" si="2804"/>
        <v>199</v>
      </c>
      <c r="CE402" s="71">
        <f t="shared" si="2805"/>
        <v>245</v>
      </c>
      <c r="CF402" s="72">
        <f t="shared" si="2806"/>
        <v>288</v>
      </c>
      <c r="CG402" s="71">
        <f t="shared" si="2807"/>
        <v>315</v>
      </c>
      <c r="CH402" s="70">
        <f t="shared" si="2808"/>
        <v>73</v>
      </c>
      <c r="CI402" s="71">
        <f t="shared" si="2809"/>
        <v>77</v>
      </c>
      <c r="CJ402" s="72">
        <f t="shared" si="2810"/>
        <v>104</v>
      </c>
      <c r="CK402" s="72">
        <f t="shared" si="2811"/>
        <v>112</v>
      </c>
      <c r="CL402" s="72">
        <f t="shared" si="2812"/>
        <v>148</v>
      </c>
      <c r="CM402" s="72">
        <f t="shared" si="2813"/>
        <v>155</v>
      </c>
      <c r="CN402" s="72">
        <f t="shared" si="2814"/>
        <v>181</v>
      </c>
      <c r="CO402" s="72" t="str">
        <f t="shared" si="2815"/>
        <v>-</v>
      </c>
      <c r="CP402" s="72">
        <f t="shared" si="2816"/>
        <v>236</v>
      </c>
      <c r="CQ402" s="72">
        <f t="shared" si="2817"/>
        <v>282</v>
      </c>
      <c r="CR402" s="72">
        <f t="shared" si="2818"/>
        <v>314</v>
      </c>
      <c r="CS402" s="72">
        <f t="shared" si="2819"/>
        <v>327</v>
      </c>
      <c r="CT402" s="23">
        <f t="shared" si="2820"/>
        <v>1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30" x14ac:dyDescent="0.2">
      <c r="A403" s="3" t="str">
        <f t="shared" si="2821"/>
        <v>s1pr1_human_3V2Y</v>
      </c>
      <c r="B403" s="3" t="s">
        <v>104</v>
      </c>
      <c r="C403" s="3" t="s">
        <v>94</v>
      </c>
      <c r="D403" s="3" t="str">
        <f>IFERROR(MID(VLOOKUP($B403,Seqs!$A:$B,2,0),E403,1),"")</f>
        <v>E</v>
      </c>
      <c r="E403" s="3">
        <v>42</v>
      </c>
      <c r="F403" s="3" t="str">
        <f>IFERROR(MID(VLOOKUP($B403,Seqs!$A:$B,2,0),G403,1),"")</f>
        <v>T</v>
      </c>
      <c r="G403" s="3">
        <v>73</v>
      </c>
      <c r="H403" s="3" t="str">
        <f>IFERROR(MID(VLOOKUP($B403,Seqs!$A:$B,2,0),I403,1),"")</f>
        <v>K</v>
      </c>
      <c r="I403" s="23">
        <v>74</v>
      </c>
      <c r="J403" s="3" t="str">
        <f>IFERROR(MID(VLOOKUP($B403,Seqs!$A:$B,2,0),K403,1),"")</f>
        <v>H</v>
      </c>
      <c r="K403" s="23">
        <v>77</v>
      </c>
      <c r="L403" s="3" t="str">
        <f>IFERROR(MID(VLOOKUP($B403,Seqs!$A:$B,2,0),M403,1),"")</f>
        <v>R</v>
      </c>
      <c r="M403" s="3">
        <v>78</v>
      </c>
      <c r="N403" s="3" t="str">
        <f>IFERROR(MID(VLOOKUP($B403,Seqs!$A:$B,2,0),O403,1),"")</f>
        <v>L</v>
      </c>
      <c r="O403" s="3">
        <v>104</v>
      </c>
      <c r="P403" s="3" t="str">
        <f>IFERROR(MID(VLOOKUP($B403,Seqs!$A:$B,2,0),Q403,1),"")</f>
        <v>G</v>
      </c>
      <c r="Q403" s="3">
        <v>106</v>
      </c>
      <c r="R403" s="3" t="str">
        <f>IFERROR(MID(VLOOKUP($B403,Seqs!$A:$B,2,0),S403,1),"")</f>
        <v>L</v>
      </c>
      <c r="S403" s="3">
        <v>112</v>
      </c>
      <c r="T403" s="3" t="str">
        <f>IFERROR(MID(VLOOKUP($B403,Seqs!$A:$B,2,0),U403,1),"")</f>
        <v>T</v>
      </c>
      <c r="U403" s="3">
        <v>113</v>
      </c>
      <c r="V403" s="3" t="str">
        <f>IFERROR(MID(VLOOKUP($B403,Seqs!$A:$B,2,0),W403,1),"")</f>
        <v>T</v>
      </c>
      <c r="W403" s="105">
        <v>145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>N</v>
      </c>
      <c r="AC403" s="105">
        <v>156</v>
      </c>
      <c r="AD403" s="3" t="str">
        <f>IFERROR(MID(VLOOKUP($B403,Seqs!$A:$B,2,0),AE403,1),"")</f>
        <v>G</v>
      </c>
      <c r="AE403" s="3">
        <v>181</v>
      </c>
      <c r="AF403" s="3" t="str">
        <f>IFERROR(MID(VLOOKUP($B403,Seqs!$A:$B,2,0),AG403,1),"")</f>
        <v/>
      </c>
      <c r="AG403" s="3" t="s">
        <v>23</v>
      </c>
      <c r="AH403" s="3" t="str">
        <f>IFERROR(MID(VLOOKUP($B403,Seqs!$A:$B,2,0),AI403,1),"")</f>
        <v/>
      </c>
      <c r="AI403" s="3" t="s">
        <v>23</v>
      </c>
      <c r="AJ403" s="3" t="str">
        <f>IFERROR(MID(VLOOKUP($B403,Seqs!$A:$B,2,0),AK403,1),"")</f>
        <v>H</v>
      </c>
      <c r="AK403" s="3">
        <v>199</v>
      </c>
      <c r="AL403" s="3" t="str">
        <f>IFERROR(MID(VLOOKUP($B403,Seqs!$A:$B,2,0),AM403,1),"")</f>
        <v>R</v>
      </c>
      <c r="AM403" s="3">
        <v>231</v>
      </c>
      <c r="AN403" s="3" t="str">
        <f>IFERROR(MID(VLOOKUP($B403,Seqs!$A:$B,2,0),AO403,1),"")</f>
        <v>S</v>
      </c>
      <c r="AO403" s="3">
        <v>251</v>
      </c>
      <c r="AP403" s="3" t="str">
        <f>IFERROR(MID(VLOOKUP($B403,Seqs!$A:$B,2,0),AQ403,1),"")</f>
        <v>C</v>
      </c>
      <c r="AQ403" s="3">
        <v>282</v>
      </c>
      <c r="AR403" s="3" t="str">
        <f>IFERROR(MID(VLOOKUP($B403,Seqs!$A:$B,2,0),AS403,1),"")</f>
        <v>D</v>
      </c>
      <c r="AS403" s="3">
        <v>288</v>
      </c>
      <c r="AT403" s="3" t="str">
        <f>IFERROR(MID(VLOOKUP($B403,Seqs!$A:$B,2,0),AU403,1),"")</f>
        <v>T</v>
      </c>
      <c r="AU403" s="3">
        <v>314</v>
      </c>
      <c r="AV403" s="3" t="str">
        <f>IFERROR(MID(VLOOKUP($B403,Seqs!$A:$B,2,0),AW403,1),"")</f>
        <v>N</v>
      </c>
      <c r="AW403" s="3">
        <v>315</v>
      </c>
      <c r="AX403" s="3" t="str">
        <f>IFERROR(MID(VLOOKUP($B403,Seqs!$A:$B,2,0),AY403,1),"")</f>
        <v>I</v>
      </c>
      <c r="AY403" s="3">
        <v>323</v>
      </c>
      <c r="AZ403" s="77" t="str">
        <f>VLOOKUP(B403,Classification!A:D,2,0)</f>
        <v>A</v>
      </c>
      <c r="BA403" s="94" t="str">
        <f>VLOOKUP(B403,Classification!A:D,4,0)</f>
        <v>Lysophospholipid(S1P)</v>
      </c>
      <c r="BB403" s="27" t="b">
        <f t="shared" si="2822"/>
        <v>1</v>
      </c>
      <c r="BC403" s="23">
        <f t="shared" si="2795"/>
        <v>232</v>
      </c>
      <c r="BD403" s="2" t="s">
        <v>1372</v>
      </c>
      <c r="BE403" s="3" t="s">
        <v>1370</v>
      </c>
      <c r="BF403" s="118">
        <v>2.8</v>
      </c>
      <c r="BG403" s="49" t="s">
        <v>1373</v>
      </c>
      <c r="BH403" s="49" t="s">
        <v>1373</v>
      </c>
      <c r="BI403" s="1"/>
      <c r="BJ403" s="70" t="s">
        <v>1283</v>
      </c>
      <c r="BK403" s="57" t="s">
        <v>1283</v>
      </c>
      <c r="BL403" s="57" t="s">
        <v>1283</v>
      </c>
      <c r="BM403" s="57" t="s">
        <v>1283</v>
      </c>
      <c r="BN403" s="57" t="s">
        <v>1283</v>
      </c>
      <c r="BO403" s="57" t="s">
        <v>1283</v>
      </c>
      <c r="BP403" s="57" t="s">
        <v>1283</v>
      </c>
      <c r="BQ403" s="57" t="s">
        <v>1283</v>
      </c>
      <c r="BR403" s="57" t="s">
        <v>1283</v>
      </c>
      <c r="BS403" s="57" t="s">
        <v>1283</v>
      </c>
      <c r="BT403" s="57" t="s">
        <v>1283</v>
      </c>
      <c r="BU403" s="57" t="s">
        <v>1283</v>
      </c>
      <c r="BV403" s="70">
        <f t="shared" si="2796"/>
        <v>42</v>
      </c>
      <c r="BW403" s="71">
        <f t="shared" si="2797"/>
        <v>74</v>
      </c>
      <c r="BX403" s="72">
        <f t="shared" si="2798"/>
        <v>78</v>
      </c>
      <c r="BY403" s="71">
        <f t="shared" si="2799"/>
        <v>106</v>
      </c>
      <c r="BZ403" s="72">
        <f t="shared" si="2800"/>
        <v>113</v>
      </c>
      <c r="CA403" s="71" t="str">
        <f t="shared" si="2801"/>
        <v>-</v>
      </c>
      <c r="CB403" s="72">
        <f t="shared" si="2802"/>
        <v>156</v>
      </c>
      <c r="CC403" s="71" t="str">
        <f t="shared" si="2803"/>
        <v>-</v>
      </c>
      <c r="CD403" s="72">
        <f t="shared" si="2804"/>
        <v>199</v>
      </c>
      <c r="CE403" s="71">
        <f t="shared" si="2805"/>
        <v>251</v>
      </c>
      <c r="CF403" s="72">
        <f t="shared" si="2806"/>
        <v>288</v>
      </c>
      <c r="CG403" s="71">
        <f t="shared" si="2807"/>
        <v>315</v>
      </c>
      <c r="CH403" s="70">
        <f t="shared" si="2808"/>
        <v>73</v>
      </c>
      <c r="CI403" s="71">
        <f t="shared" si="2809"/>
        <v>77</v>
      </c>
      <c r="CJ403" s="72">
        <f t="shared" si="2810"/>
        <v>104</v>
      </c>
      <c r="CK403" s="72">
        <f t="shared" si="2811"/>
        <v>112</v>
      </c>
      <c r="CL403" s="72">
        <f t="shared" si="2812"/>
        <v>145</v>
      </c>
      <c r="CM403" s="72" t="str">
        <f t="shared" si="2813"/>
        <v>-</v>
      </c>
      <c r="CN403" s="72">
        <f t="shared" si="2814"/>
        <v>181</v>
      </c>
      <c r="CO403" s="72" t="str">
        <f t="shared" si="2815"/>
        <v>-</v>
      </c>
      <c r="CP403" s="72">
        <f t="shared" si="2816"/>
        <v>231</v>
      </c>
      <c r="CQ403" s="72">
        <f t="shared" si="2817"/>
        <v>282</v>
      </c>
      <c r="CR403" s="72">
        <f t="shared" si="2818"/>
        <v>314</v>
      </c>
      <c r="CS403" s="72">
        <f t="shared" si="2819"/>
        <v>323</v>
      </c>
      <c r="CT403" s="23">
        <f t="shared" si="2820"/>
        <v>1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30" x14ac:dyDescent="0.2">
      <c r="A404" s="3" t="str">
        <f t="shared" ref="A404:A405" si="3635">CONCATENATE(B404,"_",C404)</f>
        <v>sucr1_rat__wt</v>
      </c>
      <c r="B404" s="3" t="s">
        <v>1593</v>
      </c>
      <c r="C404" s="3" t="s">
        <v>100</v>
      </c>
      <c r="D404" s="3" t="str">
        <f>IFERROR(MID(VLOOKUP($B404,Seqs!$A:$B,2,0),E404,1),"")</f>
        <v>C</v>
      </c>
      <c r="E404" s="3">
        <v>7</v>
      </c>
      <c r="F404" s="3" t="str">
        <f>IFERROR(MID(VLOOKUP($B404,Seqs!$A:$B,2,0),G404,1),"")</f>
        <v>M</v>
      </c>
      <c r="G404" s="3">
        <v>48</v>
      </c>
      <c r="H404" s="3" t="str">
        <f>IFERROR(MID(VLOOKUP($B404,Seqs!$A:$B,2,0),I404,1),"")</f>
        <v/>
      </c>
      <c r="I404" s="23" t="s">
        <v>23</v>
      </c>
      <c r="J404" s="3" t="str">
        <f>IFERROR(MID(VLOOKUP($B404,Seqs!$A:$B,2,0),K404,1),"")</f>
        <v/>
      </c>
      <c r="K404" s="23" t="s">
        <v>23</v>
      </c>
      <c r="L404" s="3" t="str">
        <f>IFERROR(MID(VLOOKUP($B404,Seqs!$A:$B,2,0),M404,1),"")</f>
        <v>N</v>
      </c>
      <c r="M404" s="3">
        <v>52</v>
      </c>
      <c r="N404" s="3" t="str">
        <f>IFERROR(MID(VLOOKUP($B404,Seqs!$A:$B,2,0),O404,1),"")</f>
        <v>G</v>
      </c>
      <c r="O404" s="3">
        <v>82</v>
      </c>
      <c r="P404" s="3" t="str">
        <f>IFERROR(MID(VLOOKUP($B404,Seqs!$A:$B,2,0),Q404,1),"")</f>
        <v>N</v>
      </c>
      <c r="Q404" s="3">
        <v>83</v>
      </c>
      <c r="R404" s="3" t="str">
        <f>IFERROR(MID(VLOOKUP($B404,Seqs!$A:$B,2,0),S404,1),"")</f>
        <v>Y</v>
      </c>
      <c r="S404" s="3">
        <v>86</v>
      </c>
      <c r="T404" s="3" t="str">
        <f>IFERROR(MID(VLOOKUP($B404,Seqs!$A:$B,2,0),U404,1),"")</f>
        <v>G</v>
      </c>
      <c r="U404" s="3">
        <v>87</v>
      </c>
      <c r="V404" s="3" t="str">
        <f>IFERROR(MID(VLOOKUP($B404,Seqs!$A:$B,2,0),W404,1),"")</f>
        <v>F</v>
      </c>
      <c r="W404" s="3">
        <v>122</v>
      </c>
      <c r="X404" s="3" t="str">
        <f>IFERROR(MID(VLOOKUP($B404,Seqs!$A:$B,2,0),Y404,1),"")</f>
        <v>P</v>
      </c>
      <c r="Y404" s="3">
        <v>123</v>
      </c>
      <c r="Z404" s="3" t="str">
        <f>IFERROR(MID(VLOOKUP($B404,Seqs!$A:$B,2,0),AA404,1),"")</f>
        <v>Q</v>
      </c>
      <c r="AA404" s="3">
        <v>130</v>
      </c>
      <c r="AB404" s="3" t="str">
        <f>IFERROR(MID(VLOOKUP($B404,Seqs!$A:$B,2,0),AC404,1),"")</f>
        <v>K</v>
      </c>
      <c r="AC404" s="3">
        <v>131</v>
      </c>
      <c r="AD404" s="3" t="str">
        <f>IFERROR(MID(VLOOKUP($B404,Seqs!$A:$B,2,0),AE404,1),"")</f>
        <v>T</v>
      </c>
      <c r="AE404" s="3">
        <v>160</v>
      </c>
      <c r="AF404" s="3" t="str">
        <f>IFERROR(MID(VLOOKUP($B404,Seqs!$A:$B,2,0),AG404,1),"")</f>
        <v>C</v>
      </c>
      <c r="AG404" s="3">
        <v>168</v>
      </c>
      <c r="AH404" s="3" t="str">
        <f>IFERROR(MID(VLOOKUP($B404,Seqs!$A:$B,2,0),AI404,1),"")</f>
        <v>D</v>
      </c>
      <c r="AI404" s="3">
        <v>170</v>
      </c>
      <c r="AJ404" s="3" t="str">
        <f>IFERROR(MID(VLOOKUP($B404,Seqs!$A:$B,2,0),AK404,1),"")</f>
        <v>N</v>
      </c>
      <c r="AK404" s="3">
        <v>176</v>
      </c>
      <c r="AL404" s="3" t="str">
        <f>IFERROR(MID(VLOOKUP($B404,Seqs!$A:$B,2,0),AM404,1),"")</f>
        <v>R</v>
      </c>
      <c r="AM404" s="3">
        <v>213</v>
      </c>
      <c r="AN404" s="3" t="str">
        <f>IFERROR(MID(VLOOKUP($B404,Seqs!$A:$B,2,0),AO404,1),"")</f>
        <v>Q</v>
      </c>
      <c r="AO404" s="3">
        <v>217</v>
      </c>
      <c r="AP404" s="3" t="str">
        <f>IFERROR(MID(VLOOKUP($B404,Seqs!$A:$B,2,0),AQ404,1),"")</f>
        <v>L</v>
      </c>
      <c r="AQ404" s="3">
        <v>256</v>
      </c>
      <c r="AR404" s="3" t="str">
        <f>IFERROR(MID(VLOOKUP($B404,Seqs!$A:$B,2,0),AS404,1),"")</f>
        <v>C</v>
      </c>
      <c r="AS404" s="3">
        <v>263</v>
      </c>
      <c r="AT404" s="3" t="str">
        <f>IFERROR(MID(VLOOKUP($B404,Seqs!$A:$B,2,0),AU404,1),"")</f>
        <v>V</v>
      </c>
      <c r="AU404" s="3">
        <v>293</v>
      </c>
      <c r="AV404" s="3" t="str">
        <f>IFERROR(MID(VLOOKUP($B404,Seqs!$A:$B,2,0),AW404,1),"")</f>
        <v>G</v>
      </c>
      <c r="AW404" s="3">
        <v>294</v>
      </c>
      <c r="AX404" s="3" t="str">
        <f>IFERROR(MID(VLOOKUP($B404,Seqs!$A:$B,2,0),AY404,1),"")</f>
        <v>L</v>
      </c>
      <c r="AY404" s="3">
        <v>312</v>
      </c>
      <c r="AZ404" s="77" t="str">
        <f>VLOOKUP(B404,Classification!A:D,2,0)</f>
        <v>A</v>
      </c>
      <c r="BA404" s="94" t="str">
        <f>VLOOKUP(B404,Classification!A:D,4,0)</f>
        <v>Succinate</v>
      </c>
      <c r="BB404" s="27" t="b">
        <f t="shared" ref="BB404:BB405" si="3636"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23">
        <f t="shared" ref="BC404:BC405" si="3637">_xlfn.AGGREGATE(9,6,CH404:CS404)-_xlfn.AGGREGATE(9,6,BV404:CG404)+12</f>
        <v>283</v>
      </c>
      <c r="BD404" s="2" t="s">
        <v>23</v>
      </c>
      <c r="BE404" s="3" t="s">
        <v>23</v>
      </c>
      <c r="BF404" s="118" t="s">
        <v>23</v>
      </c>
      <c r="BG404" s="49" t="s">
        <v>1373</v>
      </c>
      <c r="BH404" s="49" t="s">
        <v>1373</v>
      </c>
      <c r="BI404" s="1"/>
      <c r="BJ404" s="70" t="s">
        <v>1283</v>
      </c>
      <c r="BK404" s="57" t="s">
        <v>1283</v>
      </c>
      <c r="BL404" s="57" t="s">
        <v>1283</v>
      </c>
      <c r="BM404" s="57" t="s">
        <v>1283</v>
      </c>
      <c r="BN404" s="57" t="s">
        <v>1283</v>
      </c>
      <c r="BO404" s="57" t="s">
        <v>1283</v>
      </c>
      <c r="BP404" s="57" t="s">
        <v>1283</v>
      </c>
      <c r="BQ404" s="57" t="s">
        <v>1283</v>
      </c>
      <c r="BR404" s="57" t="s">
        <v>1283</v>
      </c>
      <c r="BS404" s="57" t="s">
        <v>1283</v>
      </c>
      <c r="BT404" s="57" t="s">
        <v>1283</v>
      </c>
      <c r="BU404" s="57" t="s">
        <v>1283</v>
      </c>
      <c r="BV404" s="70">
        <f t="shared" ref="BV404:BV405" si="3638">E404</f>
        <v>7</v>
      </c>
      <c r="BW404" s="71" t="str">
        <f t="shared" ref="BW404:BW405" si="3639">I404</f>
        <v>-</v>
      </c>
      <c r="BX404" s="72">
        <f t="shared" ref="BX404:BX405" si="3640">M404</f>
        <v>52</v>
      </c>
      <c r="BY404" s="71">
        <f t="shared" ref="BY404:BY405" si="3641">Q404</f>
        <v>83</v>
      </c>
      <c r="BZ404" s="72">
        <f t="shared" ref="BZ404:BZ405" si="3642">U404</f>
        <v>87</v>
      </c>
      <c r="CA404" s="71">
        <f t="shared" ref="CA404:CA405" si="3643">Y404</f>
        <v>123</v>
      </c>
      <c r="CB404" s="72">
        <f t="shared" ref="CB404:CB405" si="3644">AC404</f>
        <v>131</v>
      </c>
      <c r="CC404" s="71">
        <f t="shared" ref="CC404:CC405" si="3645">AG404</f>
        <v>168</v>
      </c>
      <c r="CD404" s="72">
        <f t="shared" ref="CD404:CD405" si="3646">AK404</f>
        <v>176</v>
      </c>
      <c r="CE404" s="71">
        <f t="shared" ref="CE404:CE405" si="3647">AO404</f>
        <v>217</v>
      </c>
      <c r="CF404" s="72">
        <f t="shared" ref="CF404:CF405" si="3648">AS404</f>
        <v>263</v>
      </c>
      <c r="CG404" s="71">
        <f t="shared" ref="CG404:CG405" si="3649">AW404</f>
        <v>294</v>
      </c>
      <c r="CH404" s="70">
        <f t="shared" ref="CH404:CH405" si="3650">G404</f>
        <v>48</v>
      </c>
      <c r="CI404" s="71" t="str">
        <f t="shared" ref="CI404:CI405" si="3651">K404</f>
        <v>-</v>
      </c>
      <c r="CJ404" s="72">
        <f t="shared" ref="CJ404:CJ405" si="3652">O404</f>
        <v>82</v>
      </c>
      <c r="CK404" s="72">
        <f t="shared" ref="CK404:CK405" si="3653">S404</f>
        <v>86</v>
      </c>
      <c r="CL404" s="72">
        <f t="shared" ref="CL404:CL405" si="3654">W404</f>
        <v>122</v>
      </c>
      <c r="CM404" s="72">
        <f t="shared" ref="CM404:CM405" si="3655">AA404</f>
        <v>130</v>
      </c>
      <c r="CN404" s="72">
        <f t="shared" ref="CN404:CN405" si="3656">AE404</f>
        <v>160</v>
      </c>
      <c r="CO404" s="72">
        <f t="shared" ref="CO404:CO405" si="3657">AI404</f>
        <v>170</v>
      </c>
      <c r="CP404" s="72">
        <f t="shared" ref="CP404:CP405" si="3658">AM404</f>
        <v>213</v>
      </c>
      <c r="CQ404" s="72">
        <f t="shared" ref="CQ404:CQ405" si="3659">AQ404</f>
        <v>256</v>
      </c>
      <c r="CR404" s="72">
        <f t="shared" ref="CR404:CR405" si="3660">AU404</f>
        <v>293</v>
      </c>
      <c r="CS404" s="72">
        <f t="shared" ref="CS404:CS405" si="3661">AY404</f>
        <v>312</v>
      </c>
      <c r="CT404" s="23" t="e">
        <f t="shared" ref="CT404:CT405" si="3662">M404-K404</f>
        <v>#VALUE!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30" x14ac:dyDescent="0.2">
      <c r="A405" s="3" t="str">
        <f t="shared" si="3635"/>
        <v>sucr1_rat_6IBB</v>
      </c>
      <c r="B405" s="3" t="s">
        <v>1593</v>
      </c>
      <c r="C405" s="3" t="s">
        <v>1594</v>
      </c>
      <c r="D405" s="3" t="str">
        <f>IFERROR(MID(VLOOKUP($B405,Seqs!$A:$B,2,0),E405,1),"")</f>
        <v>C</v>
      </c>
      <c r="E405" s="3">
        <v>7</v>
      </c>
      <c r="F405" s="3" t="str">
        <f>IFERROR(MID(VLOOKUP($B405,Seqs!$A:$B,2,0),G405,1),"")</f>
        <v>M</v>
      </c>
      <c r="G405" s="3">
        <v>48</v>
      </c>
      <c r="H405" s="3" t="str">
        <f>IFERROR(MID(VLOOKUP($B405,Seqs!$A:$B,2,0),I405,1),"")</f>
        <v/>
      </c>
      <c r="I405" s="23" t="s">
        <v>23</v>
      </c>
      <c r="J405" s="3" t="str">
        <f>IFERROR(MID(VLOOKUP($B405,Seqs!$A:$B,2,0),K405,1),"")</f>
        <v/>
      </c>
      <c r="K405" s="23" t="s">
        <v>23</v>
      </c>
      <c r="L405" s="3" t="str">
        <f>IFERROR(MID(VLOOKUP($B405,Seqs!$A:$B,2,0),M405,1),"")</f>
        <v>N</v>
      </c>
      <c r="M405" s="3">
        <v>52</v>
      </c>
      <c r="N405" s="3" t="str">
        <f>IFERROR(MID(VLOOKUP($B405,Seqs!$A:$B,2,0),O405,1),"")</f>
        <v>T</v>
      </c>
      <c r="O405" s="3">
        <v>81</v>
      </c>
      <c r="P405" s="3" t="str">
        <f>IFERROR(MID(VLOOKUP($B405,Seqs!$A:$B,2,0),Q405,1),"")</f>
        <v>N</v>
      </c>
      <c r="Q405" s="3">
        <v>83</v>
      </c>
      <c r="R405" s="3" t="str">
        <f>IFERROR(MID(VLOOKUP($B405,Seqs!$A:$B,2,0),S405,1),"")</f>
        <v>Y</v>
      </c>
      <c r="S405" s="3">
        <v>86</v>
      </c>
      <c r="T405" s="3" t="str">
        <f>IFERROR(MID(VLOOKUP($B405,Seqs!$A:$B,2,0),U405,1),"")</f>
        <v>G</v>
      </c>
      <c r="U405" s="3">
        <v>87</v>
      </c>
      <c r="V405" s="3" t="str">
        <f>IFERROR(MID(VLOOKUP($B405,Seqs!$A:$B,2,0),W405,1),"")</f>
        <v>F</v>
      </c>
      <c r="W405" s="3">
        <v>122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K</v>
      </c>
      <c r="AC405" s="3">
        <v>131</v>
      </c>
      <c r="AD405" s="3" t="str">
        <f>IFERROR(MID(VLOOKUP($B405,Seqs!$A:$B,2,0),AE405,1),"")</f>
        <v>I</v>
      </c>
      <c r="AE405" s="3">
        <v>157</v>
      </c>
      <c r="AF405" s="3" t="str">
        <f>IFERROR(MID(VLOOKUP($B405,Seqs!$A:$B,2,0),AG405,1),"")</f>
        <v>C</v>
      </c>
      <c r="AG405" s="3">
        <v>168</v>
      </c>
      <c r="AH405" s="3" t="str">
        <f>IFERROR(MID(VLOOKUP($B405,Seqs!$A:$B,2,0),AI405,1),"")</f>
        <v>D</v>
      </c>
      <c r="AI405" s="3">
        <v>170</v>
      </c>
      <c r="AJ405" s="3" t="str">
        <f>IFERROR(MID(VLOOKUP($B405,Seqs!$A:$B,2,0),AK405,1),"")</f>
        <v>N</v>
      </c>
      <c r="AK405" s="3">
        <v>176</v>
      </c>
      <c r="AL405" s="3" t="str">
        <f>IFERROR(MID(VLOOKUP($B405,Seqs!$A:$B,2,0),AM405,1),"")</f>
        <v>R</v>
      </c>
      <c r="AM405" s="3">
        <v>213</v>
      </c>
      <c r="AN405" s="3" t="str">
        <f>IFERROR(MID(VLOOKUP($B405,Seqs!$A:$B,2,0),AO405,1),"")</f>
        <v>L</v>
      </c>
      <c r="AO405" s="3">
        <v>227</v>
      </c>
      <c r="AP405" s="3" t="str">
        <f>IFERROR(MID(VLOOKUP($B405,Seqs!$A:$B,2,0),AQ405,1),"")</f>
        <v>L</v>
      </c>
      <c r="AQ405" s="3">
        <v>256</v>
      </c>
      <c r="AR405" s="3" t="str">
        <f>IFERROR(MID(VLOOKUP($B405,Seqs!$A:$B,2,0),AS405,1),"")</f>
        <v>C</v>
      </c>
      <c r="AS405" s="3">
        <v>263</v>
      </c>
      <c r="AT405" s="3" t="str">
        <f>IFERROR(MID(VLOOKUP($B405,Seqs!$A:$B,2,0),AU405,1),"")</f>
        <v>Y</v>
      </c>
      <c r="AU405" s="3">
        <v>290</v>
      </c>
      <c r="AV405" s="3" t="str">
        <f>IFERROR(MID(VLOOKUP($B405,Seqs!$A:$B,2,0),AW405,1),"")</f>
        <v>H</v>
      </c>
      <c r="AW405" s="3">
        <v>296</v>
      </c>
      <c r="AX405" s="3" t="str">
        <f>IFERROR(MID(VLOOKUP($B405,Seqs!$A:$B,2,0),AY405,1),"")</f>
        <v>L</v>
      </c>
      <c r="AY405" s="3">
        <v>312</v>
      </c>
      <c r="AZ405" s="77" t="str">
        <f>VLOOKUP(B405,Classification!A:D,2,0)</f>
        <v>A</v>
      </c>
      <c r="BA405" s="94" t="str">
        <f>VLOOKUP(B405,Classification!A:D,4,0)</f>
        <v>Succinate</v>
      </c>
      <c r="BB405" s="27" t="b">
        <f t="shared" si="3636"/>
        <v>1</v>
      </c>
      <c r="BC405" s="23">
        <f t="shared" si="3637"/>
        <v>257</v>
      </c>
      <c r="BD405" s="2" t="s">
        <v>23</v>
      </c>
      <c r="BE405" s="3" t="s">
        <v>1287</v>
      </c>
      <c r="BF405" s="118">
        <v>2.12</v>
      </c>
      <c r="BG405" s="49" t="s">
        <v>1</v>
      </c>
      <c r="BH405" s="49" t="s">
        <v>1</v>
      </c>
      <c r="BI405" s="1"/>
      <c r="BJ405" s="70" t="s">
        <v>1283</v>
      </c>
      <c r="BK405" s="57" t="s">
        <v>1283</v>
      </c>
      <c r="BL405" s="57" t="s">
        <v>1283</v>
      </c>
      <c r="BM405" s="57" t="s">
        <v>1283</v>
      </c>
      <c r="BN405" s="57" t="s">
        <v>1283</v>
      </c>
      <c r="BO405" s="57" t="s">
        <v>1283</v>
      </c>
      <c r="BP405" s="57" t="s">
        <v>1283</v>
      </c>
      <c r="BQ405" s="57" t="s">
        <v>1283</v>
      </c>
      <c r="BR405" s="57" t="s">
        <v>1283</v>
      </c>
      <c r="BS405" s="57" t="s">
        <v>1283</v>
      </c>
      <c r="BT405" s="57" t="s">
        <v>1283</v>
      </c>
      <c r="BU405" s="57" t="s">
        <v>1283</v>
      </c>
      <c r="BV405" s="70">
        <f t="shared" si="3638"/>
        <v>7</v>
      </c>
      <c r="BW405" s="71" t="str">
        <f t="shared" si="3639"/>
        <v>-</v>
      </c>
      <c r="BX405" s="72">
        <f t="shared" si="3640"/>
        <v>52</v>
      </c>
      <c r="BY405" s="71">
        <f t="shared" si="3641"/>
        <v>83</v>
      </c>
      <c r="BZ405" s="72">
        <f t="shared" si="3642"/>
        <v>87</v>
      </c>
      <c r="CA405" s="71" t="str">
        <f t="shared" si="3643"/>
        <v>-</v>
      </c>
      <c r="CB405" s="72">
        <f t="shared" si="3644"/>
        <v>131</v>
      </c>
      <c r="CC405" s="71">
        <f t="shared" si="3645"/>
        <v>168</v>
      </c>
      <c r="CD405" s="72">
        <f t="shared" si="3646"/>
        <v>176</v>
      </c>
      <c r="CE405" s="71">
        <f t="shared" si="3647"/>
        <v>227</v>
      </c>
      <c r="CF405" s="72">
        <f t="shared" si="3648"/>
        <v>263</v>
      </c>
      <c r="CG405" s="71">
        <f t="shared" si="3649"/>
        <v>296</v>
      </c>
      <c r="CH405" s="70">
        <f t="shared" si="3650"/>
        <v>48</v>
      </c>
      <c r="CI405" s="71" t="str">
        <f t="shared" si="3651"/>
        <v>-</v>
      </c>
      <c r="CJ405" s="72">
        <f t="shared" si="3652"/>
        <v>81</v>
      </c>
      <c r="CK405" s="72">
        <f t="shared" si="3653"/>
        <v>86</v>
      </c>
      <c r="CL405" s="72">
        <f t="shared" si="3654"/>
        <v>122</v>
      </c>
      <c r="CM405" s="72" t="str">
        <f t="shared" si="3655"/>
        <v>-</v>
      </c>
      <c r="CN405" s="72">
        <f t="shared" si="3656"/>
        <v>157</v>
      </c>
      <c r="CO405" s="72">
        <f t="shared" si="3657"/>
        <v>170</v>
      </c>
      <c r="CP405" s="72">
        <f t="shared" si="3658"/>
        <v>213</v>
      </c>
      <c r="CQ405" s="72">
        <f t="shared" si="3659"/>
        <v>256</v>
      </c>
      <c r="CR405" s="72">
        <f t="shared" si="3660"/>
        <v>290</v>
      </c>
      <c r="CS405" s="72">
        <f t="shared" si="3661"/>
        <v>312</v>
      </c>
      <c r="CT405" s="23" t="e">
        <f t="shared" si="3662"/>
        <v>#VALUE!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30" x14ac:dyDescent="0.2">
      <c r="A406" s="3" t="str">
        <f t="shared" ref="A406" si="3663">CONCATENATE(B406,"_",C406)</f>
        <v>sucr1_rat_6RNK</v>
      </c>
      <c r="B406" s="3" t="s">
        <v>1593</v>
      </c>
      <c r="C406" s="3" t="s">
        <v>1596</v>
      </c>
      <c r="D406" s="3" t="str">
        <f>IFERROR(MID(VLOOKUP($B406,Seqs!$A:$B,2,0),E406,1),"")</f>
        <v>C</v>
      </c>
      <c r="E406" s="3">
        <v>7</v>
      </c>
      <c r="F406" s="3" t="str">
        <f>IFERROR(MID(VLOOKUP($B406,Seqs!$A:$B,2,0),G406,1),"")</f>
        <v>M</v>
      </c>
      <c r="G406" s="3">
        <v>48</v>
      </c>
      <c r="H406" s="3" t="str">
        <f>IFERROR(MID(VLOOKUP($B406,Seqs!$A:$B,2,0),I406,1),"")</f>
        <v/>
      </c>
      <c r="I406" s="23" t="s">
        <v>23</v>
      </c>
      <c r="J406" s="3" t="str">
        <f>IFERROR(MID(VLOOKUP($B406,Seqs!$A:$B,2,0),K406,1),"")</f>
        <v/>
      </c>
      <c r="K406" s="23" t="s">
        <v>23</v>
      </c>
      <c r="L406" s="3" t="str">
        <f>IFERROR(MID(VLOOKUP($B406,Seqs!$A:$B,2,0),M406,1),"")</f>
        <v>N</v>
      </c>
      <c r="M406" s="3">
        <v>52</v>
      </c>
      <c r="N406" s="3" t="str">
        <f>IFERROR(MID(VLOOKUP($B406,Seqs!$A:$B,2,0),O406,1),"")</f>
        <v>G</v>
      </c>
      <c r="O406" s="3">
        <v>82</v>
      </c>
      <c r="P406" s="3" t="str">
        <f>IFERROR(MID(VLOOKUP($B406,Seqs!$A:$B,2,0),Q406,1),"")</f>
        <v>N</v>
      </c>
      <c r="Q406" s="3">
        <v>83</v>
      </c>
      <c r="R406" s="3" t="str">
        <f>IFERROR(MID(VLOOKUP($B406,Seqs!$A:$B,2,0),S406,1),"")</f>
        <v>Y</v>
      </c>
      <c r="S406" s="3">
        <v>86</v>
      </c>
      <c r="T406" s="3" t="str">
        <f>IFERROR(MID(VLOOKUP($B406,Seqs!$A:$B,2,0),U406,1),"")</f>
        <v>G</v>
      </c>
      <c r="U406" s="3">
        <v>87</v>
      </c>
      <c r="V406" s="3" t="str">
        <f>IFERROR(MID(VLOOKUP($B406,Seqs!$A:$B,2,0),W406,1),"")</f>
        <v>F</v>
      </c>
      <c r="W406" s="3">
        <v>122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K</v>
      </c>
      <c r="AC406" s="3">
        <v>131</v>
      </c>
      <c r="AD406" s="3" t="str">
        <f>IFERROR(MID(VLOOKUP($B406,Seqs!$A:$B,2,0),AE406,1),"")</f>
        <v>T</v>
      </c>
      <c r="AE406" s="3">
        <v>160</v>
      </c>
      <c r="AF406" s="3" t="str">
        <f>IFERROR(MID(VLOOKUP($B406,Seqs!$A:$B,2,0),AG406,1),"")</f>
        <v>C</v>
      </c>
      <c r="AG406" s="3">
        <v>168</v>
      </c>
      <c r="AH406" s="3" t="str">
        <f>IFERROR(MID(VLOOKUP($B406,Seqs!$A:$B,2,0),AI406,1),"")</f>
        <v>D</v>
      </c>
      <c r="AI406" s="3">
        <v>170</v>
      </c>
      <c r="AJ406" s="3" t="str">
        <f>IFERROR(MID(VLOOKUP($B406,Seqs!$A:$B,2,0),AK406,1),"")</f>
        <v>N</v>
      </c>
      <c r="AK406" s="3">
        <v>176</v>
      </c>
      <c r="AL406" s="3" t="str">
        <f>IFERROR(MID(VLOOKUP($B406,Seqs!$A:$B,2,0),AM406,1),"")</f>
        <v>S</v>
      </c>
      <c r="AM406" s="3">
        <v>214</v>
      </c>
      <c r="AN406" s="3" t="str">
        <f>IFERROR(MID(VLOOKUP($B406,Seqs!$A:$B,2,0),AO406,1),"")</f>
        <v>N</v>
      </c>
      <c r="AO406" s="3">
        <v>224</v>
      </c>
      <c r="AP406" s="3" t="str">
        <f>IFERROR(MID(VLOOKUP($B406,Seqs!$A:$B,2,0),AQ406,1),"")</f>
        <v>L</v>
      </c>
      <c r="AQ406" s="3">
        <v>256</v>
      </c>
      <c r="AR406" s="3" t="str">
        <f>IFERROR(MID(VLOOKUP($B406,Seqs!$A:$B,2,0),AS406,1),"")</f>
        <v>G</v>
      </c>
      <c r="AS406" s="3">
        <v>262</v>
      </c>
      <c r="AT406" s="3" t="str">
        <f>IFERROR(MID(VLOOKUP($B406,Seqs!$A:$B,2,0),AU406,1),"")</f>
        <v>Y</v>
      </c>
      <c r="AU406" s="3">
        <v>290</v>
      </c>
      <c r="AV406" s="3" t="str">
        <f>IFERROR(MID(VLOOKUP($B406,Seqs!$A:$B,2,0),AW406,1),"")</f>
        <v>H</v>
      </c>
      <c r="AW406" s="3">
        <v>296</v>
      </c>
      <c r="AX406" s="3" t="str">
        <f>IFERROR(MID(VLOOKUP($B406,Seqs!$A:$B,2,0),AY406,1),"")</f>
        <v>L</v>
      </c>
      <c r="AY406" s="3">
        <v>305</v>
      </c>
      <c r="AZ406" s="77" t="str">
        <f>VLOOKUP(B406,Classification!A:D,2,0)</f>
        <v>A</v>
      </c>
      <c r="BA406" s="94" t="str">
        <f>VLOOKUP(B406,Classification!A:D,4,0)</f>
        <v>Succinate</v>
      </c>
      <c r="BB406" s="27" t="b">
        <f t="shared" ref="BB406" si="3664">AND(E406&lt;G406,OR(G406&lt;I406,I406="-"),OR(I406&lt;K406,I406="-"),OR(K406&lt;M406,K406="-"),M406&lt;O406,OR(O406&lt;Q406,Q406="-"),OR(Q406&lt;S406,Q406="-"),OR(S406&lt;U406,S406="-"),U406&lt;W406,OR(W406&lt;Y406,Y406="-"),OR(Y406&lt;AA406,Y406="-"),OR(AA406&lt;AC406,AA406="-"),AC406&lt;AE406,OR(AE406&lt;AG406,AG406="-"),OR(AG406&lt;AI406,AG406="-"),OR(AI406&lt;AK406,AI406="-"),AK406&lt;AM406,AM406&lt;AO406,AO406&lt;AQ406,AQ406&lt;AS406,AS406&lt;AU406,OR(AU406&lt;AW406,AW406="-"),OR(AW406&lt;AY406,AW406="-"))</f>
        <v>1</v>
      </c>
      <c r="BC406" s="23">
        <f t="shared" ref="BC406" si="3665">_xlfn.AGGREGATE(9,6,CH406:CS406)-_xlfn.AGGREGATE(9,6,BV406:CG406)+12</f>
        <v>259</v>
      </c>
      <c r="BD406" s="2" t="s">
        <v>1371</v>
      </c>
      <c r="BE406" s="3" t="s">
        <v>1287</v>
      </c>
      <c r="BF406" s="118">
        <v>1.94</v>
      </c>
      <c r="BG406" s="49" t="s">
        <v>1</v>
      </c>
      <c r="BH406" s="49" t="s">
        <v>1</v>
      </c>
      <c r="BI406" s="1"/>
      <c r="BJ406" s="70" t="s">
        <v>1283</v>
      </c>
      <c r="BK406" s="57" t="s">
        <v>1283</v>
      </c>
      <c r="BL406" s="57" t="s">
        <v>1283</v>
      </c>
      <c r="BM406" s="57" t="s">
        <v>1283</v>
      </c>
      <c r="BN406" s="57" t="s">
        <v>1283</v>
      </c>
      <c r="BO406" s="57" t="s">
        <v>1283</v>
      </c>
      <c r="BP406" s="57" t="s">
        <v>1283</v>
      </c>
      <c r="BQ406" s="57" t="s">
        <v>1283</v>
      </c>
      <c r="BR406" s="57" t="s">
        <v>1283</v>
      </c>
      <c r="BS406" s="57" t="s">
        <v>1283</v>
      </c>
      <c r="BT406" s="57" t="s">
        <v>1283</v>
      </c>
      <c r="BU406" s="57" t="s">
        <v>1283</v>
      </c>
      <c r="BV406" s="70">
        <f t="shared" ref="BV406" si="3666">E406</f>
        <v>7</v>
      </c>
      <c r="BW406" s="71" t="str">
        <f t="shared" ref="BW406" si="3667">I406</f>
        <v>-</v>
      </c>
      <c r="BX406" s="72">
        <f t="shared" ref="BX406" si="3668">M406</f>
        <v>52</v>
      </c>
      <c r="BY406" s="71">
        <f t="shared" ref="BY406" si="3669">Q406</f>
        <v>83</v>
      </c>
      <c r="BZ406" s="72">
        <f t="shared" ref="BZ406" si="3670">U406</f>
        <v>87</v>
      </c>
      <c r="CA406" s="71" t="str">
        <f t="shared" ref="CA406" si="3671">Y406</f>
        <v>-</v>
      </c>
      <c r="CB406" s="72">
        <f t="shared" ref="CB406" si="3672">AC406</f>
        <v>131</v>
      </c>
      <c r="CC406" s="71">
        <f t="shared" ref="CC406" si="3673">AG406</f>
        <v>168</v>
      </c>
      <c r="CD406" s="72">
        <f t="shared" ref="CD406" si="3674">AK406</f>
        <v>176</v>
      </c>
      <c r="CE406" s="71">
        <f t="shared" ref="CE406" si="3675">AO406</f>
        <v>224</v>
      </c>
      <c r="CF406" s="72">
        <f t="shared" ref="CF406" si="3676">AS406</f>
        <v>262</v>
      </c>
      <c r="CG406" s="71">
        <f t="shared" ref="CG406" si="3677">AW406</f>
        <v>296</v>
      </c>
      <c r="CH406" s="70">
        <f t="shared" ref="CH406" si="3678">G406</f>
        <v>48</v>
      </c>
      <c r="CI406" s="71" t="str">
        <f t="shared" ref="CI406" si="3679">K406</f>
        <v>-</v>
      </c>
      <c r="CJ406" s="72">
        <f t="shared" ref="CJ406" si="3680">O406</f>
        <v>82</v>
      </c>
      <c r="CK406" s="72">
        <f t="shared" ref="CK406" si="3681">S406</f>
        <v>86</v>
      </c>
      <c r="CL406" s="72">
        <f t="shared" ref="CL406" si="3682">W406</f>
        <v>122</v>
      </c>
      <c r="CM406" s="72" t="str">
        <f t="shared" ref="CM406" si="3683">AA406</f>
        <v>-</v>
      </c>
      <c r="CN406" s="72">
        <f t="shared" ref="CN406" si="3684">AE406</f>
        <v>160</v>
      </c>
      <c r="CO406" s="72">
        <f t="shared" ref="CO406" si="3685">AI406</f>
        <v>170</v>
      </c>
      <c r="CP406" s="72">
        <f t="shared" ref="CP406" si="3686">AM406</f>
        <v>214</v>
      </c>
      <c r="CQ406" s="72">
        <f t="shared" ref="CQ406" si="3687">AQ406</f>
        <v>256</v>
      </c>
      <c r="CR406" s="72">
        <f t="shared" ref="CR406" si="3688">AU406</f>
        <v>290</v>
      </c>
      <c r="CS406" s="72">
        <f t="shared" ref="CS406" si="3689">AY406</f>
        <v>305</v>
      </c>
      <c r="CT406" s="23" t="e">
        <f t="shared" ref="CT406" si="3690">M406-K406</f>
        <v>#VALUE!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30" x14ac:dyDescent="0.2">
      <c r="A407" s="3" t="str">
        <f t="shared" si="2821"/>
        <v>us28_hcmva__wt</v>
      </c>
      <c r="B407" s="3" t="s">
        <v>919</v>
      </c>
      <c r="C407" s="3" t="s">
        <v>100</v>
      </c>
      <c r="D407" s="3" t="str">
        <f>IFERROR(MID(VLOOKUP($B407,Seqs!$A:$B,2,0),E407,1),"")</f>
        <v>F</v>
      </c>
      <c r="E407" s="105">
        <v>25</v>
      </c>
      <c r="F407" s="3" t="str">
        <f>IFERROR(MID(VLOOKUP($B407,Seqs!$A:$B,2,0),G407,1),"")</f>
        <v>R</v>
      </c>
      <c r="G407" s="3">
        <v>61</v>
      </c>
      <c r="H407" s="3" t="str">
        <f>IFERROR(MID(VLOOKUP($B407,Seqs!$A:$B,2,0),I407,1),"")</f>
        <v>R</v>
      </c>
      <c r="I407" s="23">
        <v>62</v>
      </c>
      <c r="J407" s="3" t="str">
        <f>IFERROR(MID(VLOOKUP($B407,Seqs!$A:$B,2,0),K407,1),"")</f>
        <v>Q</v>
      </c>
      <c r="K407" s="23">
        <v>65</v>
      </c>
      <c r="L407" s="3" t="str">
        <f>IFERROR(MID(VLOOKUP($B407,Seqs!$A:$B,2,0),M407,1),"")</f>
        <v>C</v>
      </c>
      <c r="M407" s="3">
        <v>66</v>
      </c>
      <c r="N407" s="3" t="str">
        <f>IFERROR(MID(VLOOKUP($B407,Seqs!$A:$B,2,0),O407,1),"")</f>
        <v>D</v>
      </c>
      <c r="O407" s="3">
        <v>95</v>
      </c>
      <c r="P407" s="3" t="str">
        <f>IFERROR(MID(VLOOKUP($B407,Seqs!$A:$B,2,0),Q407,1),"")</f>
        <v/>
      </c>
      <c r="Q407" s="3" t="s">
        <v>23</v>
      </c>
      <c r="R407" s="3" t="str">
        <f>IFERROR(MID(VLOOKUP($B407,Seqs!$A:$B,2,0),S407,1),"")</f>
        <v/>
      </c>
      <c r="S407" s="3" t="s">
        <v>23</v>
      </c>
      <c r="T407" s="3" t="str">
        <f>IFERROR(MID(VLOOKUP($B407,Seqs!$A:$B,2,0),U407,1),"")</f>
        <v>A</v>
      </c>
      <c r="U407" s="105">
        <v>100</v>
      </c>
      <c r="V407" s="3" t="str">
        <f>IFERROR(MID(VLOOKUP($B407,Seqs!$A:$B,2,0),W407,1),"")</f>
        <v>V</v>
      </c>
      <c r="W407" s="105">
        <v>134</v>
      </c>
      <c r="X407" s="3" t="str">
        <f>IFERROR(MID(VLOOKUP($B407,Seqs!$A:$B,2,0),Y407,1),"")</f>
        <v/>
      </c>
      <c r="Y407" s="3" t="s">
        <v>23</v>
      </c>
      <c r="Z407" s="3" t="str">
        <f>IFERROR(MID(VLOOKUP($B407,Seqs!$A:$B,2,0),AA407,1),"")</f>
        <v/>
      </c>
      <c r="AA407" s="3" t="s">
        <v>23</v>
      </c>
      <c r="AB407" s="3" t="str">
        <f>IFERROR(MID(VLOOKUP($B407,Seqs!$A:$B,2,0),AC407,1),"")</f>
        <v>P</v>
      </c>
      <c r="AC407" s="9">
        <v>140</v>
      </c>
      <c r="AD407" s="3" t="str">
        <f>IFERROR(MID(VLOOKUP($B407,Seqs!$A:$B,2,0),AE407,1),"")</f>
        <v>M</v>
      </c>
      <c r="AE407" s="105">
        <v>164</v>
      </c>
      <c r="AF407" s="3" t="str">
        <f>IFERROR(MID(VLOOKUP($B407,Seqs!$A:$B,2,0),AG407,1),"")</f>
        <v>C</v>
      </c>
      <c r="AG407" s="3">
        <v>173</v>
      </c>
      <c r="AH407" s="3" t="str">
        <f>IFERROR(MID(VLOOKUP($B407,Seqs!$A:$B,2,0),AI407,1),"")</f>
        <v>T</v>
      </c>
      <c r="AI407" s="3">
        <v>175</v>
      </c>
      <c r="AJ407" s="3" t="str">
        <f>IFERROR(MID(VLOOKUP($B407,Seqs!$A:$B,2,0),AK407,1),"")</f>
        <v>S</v>
      </c>
      <c r="AK407" s="105">
        <v>183</v>
      </c>
      <c r="AL407" s="3" t="str">
        <f>IFERROR(MID(VLOOKUP($B407,Seqs!$A:$B,2,0),AM407,1),"")</f>
        <v>S</v>
      </c>
      <c r="AM407" s="3">
        <v>218</v>
      </c>
      <c r="AN407" s="3" t="str">
        <f>IFERROR(MID(VLOOKUP($B407,Seqs!$A:$B,2,0),AO407,1),"")</f>
        <v>H</v>
      </c>
      <c r="AO407" s="3">
        <v>222</v>
      </c>
      <c r="AP407" s="3" t="str">
        <f>IFERROR(MID(VLOOKUP($B407,Seqs!$A:$B,2,0),AQ407,1),"")</f>
        <v>K</v>
      </c>
      <c r="AQ407" s="3">
        <v>257</v>
      </c>
      <c r="AR407" s="3" t="str">
        <f>IFERROR(MID(VLOOKUP($B407,Seqs!$A:$B,2,0),AS407,1),"")</f>
        <v>S</v>
      </c>
      <c r="AS407" s="3">
        <v>262</v>
      </c>
      <c r="AT407" s="3" t="str">
        <f>IFERROR(MID(VLOOKUP($B407,Seqs!$A:$B,2,0),AU407,1),"")</f>
        <v>V</v>
      </c>
      <c r="AU407" s="3">
        <v>294</v>
      </c>
      <c r="AV407" s="3" t="str">
        <f>IFERROR(MID(VLOOKUP($B407,Seqs!$A:$B,2,0),AW407,1),"")</f>
        <v>G</v>
      </c>
      <c r="AW407" s="3">
        <v>295</v>
      </c>
      <c r="AX407" s="3" t="str">
        <f>IFERROR(MID(VLOOKUP($B407,Seqs!$A:$B,2,0),AY407,1),"")</f>
        <v>R</v>
      </c>
      <c r="AY407" s="3">
        <v>310</v>
      </c>
      <c r="AZ407" s="77" t="str">
        <f>VLOOKUP(B407,Classification!A:D,2,0)</f>
        <v>A</v>
      </c>
      <c r="BA407" s="94" t="str">
        <f>VLOOKUP(B407,Classification!A:D,4,0)</f>
        <v>Chemokine</v>
      </c>
      <c r="BB407" s="27" t="b">
        <f t="shared" si="2822"/>
        <v>1</v>
      </c>
      <c r="BC407" s="23">
        <f t="shared" si="2795"/>
        <v>257</v>
      </c>
      <c r="BD407" s="56" t="s">
        <v>23</v>
      </c>
      <c r="BE407" s="3" t="s">
        <v>23</v>
      </c>
      <c r="BF407" s="118" t="s">
        <v>23</v>
      </c>
      <c r="BG407" s="49" t="s">
        <v>1368</v>
      </c>
      <c r="BH407" s="49" t="s">
        <v>1373</v>
      </c>
      <c r="BI407" s="1"/>
      <c r="BJ407" s="70" t="s">
        <v>1283</v>
      </c>
      <c r="BK407" s="57" t="s">
        <v>1283</v>
      </c>
      <c r="BL407" s="57" t="s">
        <v>1283</v>
      </c>
      <c r="BM407" s="57" t="s">
        <v>1283</v>
      </c>
      <c r="BN407" s="57" t="s">
        <v>1283</v>
      </c>
      <c r="BO407" s="57" t="s">
        <v>1283</v>
      </c>
      <c r="BP407" s="57" t="s">
        <v>1283</v>
      </c>
      <c r="BQ407" s="57" t="s">
        <v>1283</v>
      </c>
      <c r="BR407" s="57" t="s">
        <v>1283</v>
      </c>
      <c r="BS407" s="57" t="s">
        <v>1283</v>
      </c>
      <c r="BT407" s="57" t="s">
        <v>1283</v>
      </c>
      <c r="BU407" s="57" t="s">
        <v>1283</v>
      </c>
      <c r="BV407" s="70">
        <f t="shared" si="2796"/>
        <v>25</v>
      </c>
      <c r="BW407" s="71">
        <f t="shared" si="2797"/>
        <v>62</v>
      </c>
      <c r="BX407" s="72">
        <f t="shared" si="2798"/>
        <v>66</v>
      </c>
      <c r="BY407" s="71" t="str">
        <f t="shared" si="2799"/>
        <v>-</v>
      </c>
      <c r="BZ407" s="72">
        <f t="shared" si="2800"/>
        <v>100</v>
      </c>
      <c r="CA407" s="71" t="str">
        <f t="shared" si="2801"/>
        <v>-</v>
      </c>
      <c r="CB407" s="72">
        <f t="shared" si="2802"/>
        <v>140</v>
      </c>
      <c r="CC407" s="71">
        <f t="shared" si="2803"/>
        <v>173</v>
      </c>
      <c r="CD407" s="72">
        <f t="shared" si="2804"/>
        <v>183</v>
      </c>
      <c r="CE407" s="71">
        <f t="shared" si="2805"/>
        <v>222</v>
      </c>
      <c r="CF407" s="72">
        <f t="shared" si="2806"/>
        <v>262</v>
      </c>
      <c r="CG407" s="71">
        <f t="shared" si="2807"/>
        <v>295</v>
      </c>
      <c r="CH407" s="70">
        <f t="shared" si="2808"/>
        <v>61</v>
      </c>
      <c r="CI407" s="71">
        <f t="shared" si="2809"/>
        <v>65</v>
      </c>
      <c r="CJ407" s="72">
        <f t="shared" si="2810"/>
        <v>95</v>
      </c>
      <c r="CK407" s="72" t="str">
        <f t="shared" si="2811"/>
        <v>-</v>
      </c>
      <c r="CL407" s="72">
        <f t="shared" si="2812"/>
        <v>134</v>
      </c>
      <c r="CM407" s="72" t="str">
        <f t="shared" si="2813"/>
        <v>-</v>
      </c>
      <c r="CN407" s="72">
        <f t="shared" si="2814"/>
        <v>164</v>
      </c>
      <c r="CO407" s="72">
        <f t="shared" si="2815"/>
        <v>175</v>
      </c>
      <c r="CP407" s="72">
        <f t="shared" si="2816"/>
        <v>218</v>
      </c>
      <c r="CQ407" s="72">
        <f t="shared" si="2817"/>
        <v>257</v>
      </c>
      <c r="CR407" s="72">
        <f t="shared" si="2818"/>
        <v>294</v>
      </c>
      <c r="CS407" s="72">
        <f t="shared" si="2819"/>
        <v>310</v>
      </c>
      <c r="CT407" s="23">
        <f t="shared" si="2820"/>
        <v>1</v>
      </c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</row>
    <row r="408" spans="1:1030" x14ac:dyDescent="0.2">
      <c r="A408" s="3" t="str">
        <f t="shared" si="2821"/>
        <v>us28_hcmva_4XT1</v>
      </c>
      <c r="B408" s="3" t="s">
        <v>919</v>
      </c>
      <c r="C408" s="3" t="s">
        <v>1119</v>
      </c>
      <c r="D408" s="3" t="str">
        <f>IFERROR(MID(VLOOKUP($B408,Seqs!$A:$B,2,0),E408,1),"")</f>
        <v>F</v>
      </c>
      <c r="E408" s="105">
        <v>25</v>
      </c>
      <c r="F408" s="3" t="str">
        <f>IFERROR(MID(VLOOKUP($B408,Seqs!$A:$B,2,0),G408,1),"")</f>
        <v>R</v>
      </c>
      <c r="G408" s="3">
        <v>61</v>
      </c>
      <c r="H408" s="3" t="str">
        <f>IFERROR(MID(VLOOKUP($B408,Seqs!$A:$B,2,0),I408,1),"")</f>
        <v/>
      </c>
      <c r="I408" s="23" t="s">
        <v>23</v>
      </c>
      <c r="J408" s="3" t="str">
        <f>IFERROR(MID(VLOOKUP($B408,Seqs!$A:$B,2,0),K408,1),"")</f>
        <v/>
      </c>
      <c r="K408" s="23" t="s">
        <v>23</v>
      </c>
      <c r="L408" s="3" t="str">
        <f>IFERROR(MID(VLOOKUP($B408,Seqs!$A:$B,2,0),M408,1),"")</f>
        <v>C</v>
      </c>
      <c r="M408" s="3">
        <v>66</v>
      </c>
      <c r="N408" s="3" t="str">
        <f>IFERROR(MID(VLOOKUP($B408,Seqs!$A:$B,2,0),O408,1),"")</f>
        <v>D</v>
      </c>
      <c r="O408" s="3">
        <v>95</v>
      </c>
      <c r="P408" s="3" t="str">
        <f>IFERROR(MID(VLOOKUP($B408,Seqs!$A:$B,2,0),Q408,1),"")</f>
        <v/>
      </c>
      <c r="Q408" s="3" t="s">
        <v>23</v>
      </c>
      <c r="R408" s="3" t="str">
        <f>IFERROR(MID(VLOOKUP($B408,Seqs!$A:$B,2,0),S408,1),"")</f>
        <v/>
      </c>
      <c r="S408" s="3" t="s">
        <v>23</v>
      </c>
      <c r="T408" s="3" t="str">
        <f>IFERROR(MID(VLOOKUP($B408,Seqs!$A:$B,2,0),U408,1),"")</f>
        <v>P</v>
      </c>
      <c r="U408" s="3">
        <v>103</v>
      </c>
      <c r="V408" s="3" t="str">
        <f>IFERROR(MID(VLOOKUP($B408,Seqs!$A:$B,2,0),W408,1),"")</f>
        <v>V</v>
      </c>
      <c r="W408" s="105">
        <v>134</v>
      </c>
      <c r="X408" s="3" t="str">
        <f>IFERROR(MID(VLOOKUP($B408,Seqs!$A:$B,2,0),Y408,1),"")</f>
        <v/>
      </c>
      <c r="Y408" s="3" t="s">
        <v>23</v>
      </c>
      <c r="Z408" s="3" t="str">
        <f>IFERROR(MID(VLOOKUP($B408,Seqs!$A:$B,2,0),AA408,1),"")</f>
        <v/>
      </c>
      <c r="AA408" s="3" t="s">
        <v>23</v>
      </c>
      <c r="AB408" s="3" t="str">
        <f>IFERROR(MID(VLOOKUP($B408,Seqs!$A:$B,2,0),AC408,1),"")</f>
        <v>P</v>
      </c>
      <c r="AC408" s="9">
        <v>140</v>
      </c>
      <c r="AD408" s="3" t="str">
        <f>IFERROR(MID(VLOOKUP($B408,Seqs!$A:$B,2,0),AE408,1),"")</f>
        <v>M</v>
      </c>
      <c r="AE408" s="105">
        <v>164</v>
      </c>
      <c r="AF408" s="3" t="str">
        <f>IFERROR(MID(VLOOKUP($B408,Seqs!$A:$B,2,0),AG408,1),"")</f>
        <v>C</v>
      </c>
      <c r="AG408" s="3">
        <v>173</v>
      </c>
      <c r="AH408" s="3" t="str">
        <f>IFERROR(MID(VLOOKUP($B408,Seqs!$A:$B,2,0),AI408,1),"")</f>
        <v>T</v>
      </c>
      <c r="AI408" s="3">
        <v>175</v>
      </c>
      <c r="AJ408" s="3" t="str">
        <f>IFERROR(MID(VLOOKUP($B408,Seqs!$A:$B,2,0),AK408,1),"")</f>
        <v>S</v>
      </c>
      <c r="AK408" s="105">
        <v>183</v>
      </c>
      <c r="AL408" s="3" t="str">
        <f>IFERROR(MID(VLOOKUP($B408,Seqs!$A:$B,2,0),AM408,1),"")</f>
        <v>S</v>
      </c>
      <c r="AM408" s="3">
        <v>218</v>
      </c>
      <c r="AN408" s="3" t="str">
        <f>IFERROR(MID(VLOOKUP($B408,Seqs!$A:$B,2,0),AO408,1),"")</f>
        <v>H</v>
      </c>
      <c r="AO408" s="3">
        <v>222</v>
      </c>
      <c r="AP408" s="3" t="str">
        <f>IFERROR(MID(VLOOKUP($B408,Seqs!$A:$B,2,0),AQ408,1),"")</f>
        <v>K</v>
      </c>
      <c r="AQ408" s="3">
        <v>257</v>
      </c>
      <c r="AR408" s="3" t="str">
        <f>IFERROR(MID(VLOOKUP($B408,Seqs!$A:$B,2,0),AS408,1),"")</f>
        <v>C</v>
      </c>
      <c r="AS408" s="3">
        <v>263</v>
      </c>
      <c r="AT408" s="3" t="str">
        <f>IFERROR(MID(VLOOKUP($B408,Seqs!$A:$B,2,0),AU408,1),"")</f>
        <v>V</v>
      </c>
      <c r="AU408" s="3">
        <v>294</v>
      </c>
      <c r="AV408" s="3" t="str">
        <f>IFERROR(MID(VLOOKUP($B408,Seqs!$A:$B,2,0),AW408,1),"")</f>
        <v>G</v>
      </c>
      <c r="AW408" s="3">
        <v>295</v>
      </c>
      <c r="AX408" s="3" t="str">
        <f>IFERROR(MID(VLOOKUP($B408,Seqs!$A:$B,2,0),AY408,1),"")</f>
        <v>R</v>
      </c>
      <c r="AY408" s="3">
        <v>310</v>
      </c>
      <c r="AZ408" s="77" t="str">
        <f>VLOOKUP(B408,Classification!A:D,2,0)</f>
        <v>A</v>
      </c>
      <c r="BA408" s="94" t="str">
        <f>VLOOKUP(B408,Classification!A:D,4,0)</f>
        <v>Chemokine</v>
      </c>
      <c r="BB408" s="27" t="b">
        <f t="shared" si="2822"/>
        <v>1</v>
      </c>
      <c r="BC408" s="23">
        <f t="shared" si="2795"/>
        <v>250</v>
      </c>
      <c r="BD408" s="4" t="s">
        <v>23</v>
      </c>
      <c r="BE408" s="3" t="s">
        <v>1287</v>
      </c>
      <c r="BF408" s="118">
        <v>2.89</v>
      </c>
      <c r="BG408" s="49" t="s">
        <v>1373</v>
      </c>
      <c r="BH408" s="49" t="s">
        <v>1373</v>
      </c>
      <c r="BI408" s="1"/>
      <c r="BJ408" s="70" t="s">
        <v>1283</v>
      </c>
      <c r="BK408" s="57" t="s">
        <v>1283</v>
      </c>
      <c r="BL408" s="57" t="s">
        <v>1283</v>
      </c>
      <c r="BM408" s="57" t="s">
        <v>1283</v>
      </c>
      <c r="BN408" s="57" t="s">
        <v>1283</v>
      </c>
      <c r="BO408" s="57" t="s">
        <v>1283</v>
      </c>
      <c r="BP408" s="57" t="s">
        <v>1283</v>
      </c>
      <c r="BQ408" s="57" t="s">
        <v>1283</v>
      </c>
      <c r="BR408" s="57" t="s">
        <v>1283</v>
      </c>
      <c r="BS408" s="57" t="s">
        <v>1283</v>
      </c>
      <c r="BT408" s="57" t="s">
        <v>1283</v>
      </c>
      <c r="BU408" s="57" t="s">
        <v>1283</v>
      </c>
      <c r="BV408" s="70">
        <f t="shared" si="2796"/>
        <v>25</v>
      </c>
      <c r="BW408" s="71" t="str">
        <f t="shared" si="2797"/>
        <v>-</v>
      </c>
      <c r="BX408" s="72">
        <f t="shared" si="2798"/>
        <v>66</v>
      </c>
      <c r="BY408" s="71" t="str">
        <f t="shared" si="2799"/>
        <v>-</v>
      </c>
      <c r="BZ408" s="72">
        <f t="shared" si="2800"/>
        <v>103</v>
      </c>
      <c r="CA408" s="71" t="str">
        <f t="shared" si="2801"/>
        <v>-</v>
      </c>
      <c r="CB408" s="72">
        <f t="shared" si="2802"/>
        <v>140</v>
      </c>
      <c r="CC408" s="71">
        <f t="shared" si="2803"/>
        <v>173</v>
      </c>
      <c r="CD408" s="72">
        <f t="shared" si="2804"/>
        <v>183</v>
      </c>
      <c r="CE408" s="71">
        <f t="shared" si="2805"/>
        <v>222</v>
      </c>
      <c r="CF408" s="72">
        <f t="shared" si="2806"/>
        <v>263</v>
      </c>
      <c r="CG408" s="71">
        <f t="shared" si="2807"/>
        <v>295</v>
      </c>
      <c r="CH408" s="70">
        <f t="shared" si="2808"/>
        <v>61</v>
      </c>
      <c r="CI408" s="71" t="str">
        <f t="shared" si="2809"/>
        <v>-</v>
      </c>
      <c r="CJ408" s="72">
        <f t="shared" si="2810"/>
        <v>95</v>
      </c>
      <c r="CK408" s="72" t="str">
        <f t="shared" si="2811"/>
        <v>-</v>
      </c>
      <c r="CL408" s="72">
        <f t="shared" si="2812"/>
        <v>134</v>
      </c>
      <c r="CM408" s="72" t="str">
        <f t="shared" si="2813"/>
        <v>-</v>
      </c>
      <c r="CN408" s="72">
        <f t="shared" si="2814"/>
        <v>164</v>
      </c>
      <c r="CO408" s="72">
        <f t="shared" si="2815"/>
        <v>175</v>
      </c>
      <c r="CP408" s="72">
        <f t="shared" si="2816"/>
        <v>218</v>
      </c>
      <c r="CQ408" s="72">
        <f t="shared" si="2817"/>
        <v>257</v>
      </c>
      <c r="CR408" s="72">
        <f t="shared" si="2818"/>
        <v>294</v>
      </c>
      <c r="CS408" s="72">
        <f t="shared" si="2819"/>
        <v>310</v>
      </c>
      <c r="CT408" s="23" t="e">
        <f t="shared" si="2820"/>
        <v>#VALUE!</v>
      </c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</row>
    <row r="409" spans="1:1030" x14ac:dyDescent="0.2">
      <c r="A409" s="3" t="str">
        <f t="shared" si="2821"/>
        <v>us28_hcmva_4XT3</v>
      </c>
      <c r="B409" s="2" t="s">
        <v>919</v>
      </c>
      <c r="C409" s="3" t="s">
        <v>1367</v>
      </c>
      <c r="D409" s="3" t="str">
        <f>IFERROR(MID(VLOOKUP($B409,Seqs!$A:$B,2,0),E409,1),"")</f>
        <v>F</v>
      </c>
      <c r="E409" s="105">
        <v>25</v>
      </c>
      <c r="F409" s="3" t="str">
        <f>IFERROR(MID(VLOOKUP($B409,Seqs!$A:$B,2,0),G409,1),"")</f>
        <v>R</v>
      </c>
      <c r="G409" s="105">
        <v>62</v>
      </c>
      <c r="H409" s="3" t="str">
        <f>IFERROR(MID(VLOOKUP($B409,Seqs!$A:$B,2,0),I409,1),"")</f>
        <v/>
      </c>
      <c r="I409" s="23" t="s">
        <v>23</v>
      </c>
      <c r="J409" s="3" t="str">
        <f>IFERROR(MID(VLOOKUP($B409,Seqs!$A:$B,2,0),K409,1),"")</f>
        <v/>
      </c>
      <c r="K409" s="23" t="s">
        <v>23</v>
      </c>
      <c r="L409" s="3" t="str">
        <f>IFERROR(MID(VLOOKUP($B409,Seqs!$A:$B,2,0),M409,1),"")</f>
        <v>C</v>
      </c>
      <c r="M409" s="3">
        <v>66</v>
      </c>
      <c r="N409" s="3" t="str">
        <f>IFERROR(MID(VLOOKUP($B409,Seqs!$A:$B,2,0),O409,1),"")</f>
        <v>D</v>
      </c>
      <c r="O409" s="3">
        <v>95</v>
      </c>
      <c r="P409" s="3" t="str">
        <f>IFERROR(MID(VLOOKUP($B409,Seqs!$A:$B,2,0),Q409,1),"")</f>
        <v/>
      </c>
      <c r="Q409" s="3" t="s">
        <v>23</v>
      </c>
      <c r="R409" s="3" t="str">
        <f>IFERROR(MID(VLOOKUP($B409,Seqs!$A:$B,2,0),S409,1),"")</f>
        <v/>
      </c>
      <c r="S409" s="3" t="s">
        <v>23</v>
      </c>
      <c r="T409" s="3" t="str">
        <f>IFERROR(MID(VLOOKUP($B409,Seqs!$A:$B,2,0),U409,1),"")</f>
        <v>P</v>
      </c>
      <c r="U409" s="3">
        <v>103</v>
      </c>
      <c r="V409" s="3" t="str">
        <f>IFERROR(MID(VLOOKUP($B409,Seqs!$A:$B,2,0),W409,1),"")</f>
        <v>V</v>
      </c>
      <c r="W409" s="105">
        <v>134</v>
      </c>
      <c r="X409" s="3" t="str">
        <f>IFERROR(MID(VLOOKUP($B409,Seqs!$A:$B,2,0),Y409,1),"")</f>
        <v/>
      </c>
      <c r="Y409" s="3" t="s">
        <v>23</v>
      </c>
      <c r="Z409" s="3" t="str">
        <f>IFERROR(MID(VLOOKUP($B409,Seqs!$A:$B,2,0),AA409,1),"")</f>
        <v/>
      </c>
      <c r="AA409" s="3" t="s">
        <v>23</v>
      </c>
      <c r="AB409" s="3" t="str">
        <f>IFERROR(MID(VLOOKUP($B409,Seqs!$A:$B,2,0),AC409,1),"")</f>
        <v>P</v>
      </c>
      <c r="AC409" s="9">
        <v>140</v>
      </c>
      <c r="AD409" s="3" t="str">
        <f>IFERROR(MID(VLOOKUP($B409,Seqs!$A:$B,2,0),AE409,1),"")</f>
        <v>M</v>
      </c>
      <c r="AE409" s="105">
        <v>164</v>
      </c>
      <c r="AF409" s="3" t="str">
        <f>IFERROR(MID(VLOOKUP($B409,Seqs!$A:$B,2,0),AG409,1),"")</f>
        <v>C</v>
      </c>
      <c r="AG409" s="3">
        <v>173</v>
      </c>
      <c r="AH409" s="3" t="str">
        <f>IFERROR(MID(VLOOKUP($B409,Seqs!$A:$B,2,0),AI409,1),"")</f>
        <v>T</v>
      </c>
      <c r="AI409" s="3">
        <v>175</v>
      </c>
      <c r="AJ409" s="3" t="str">
        <f>IFERROR(MID(VLOOKUP($B409,Seqs!$A:$B,2,0),AK409,1),"")</f>
        <v>S</v>
      </c>
      <c r="AK409" s="105">
        <v>183</v>
      </c>
      <c r="AL409" s="3" t="str">
        <f>IFERROR(MID(VLOOKUP($B409,Seqs!$A:$B,2,0),AM409,1),"")</f>
        <v>S</v>
      </c>
      <c r="AM409" s="3">
        <v>218</v>
      </c>
      <c r="AN409" s="3" t="str">
        <f>IFERROR(MID(VLOOKUP($B409,Seqs!$A:$B,2,0),AO409,1),"")</f>
        <v>H</v>
      </c>
      <c r="AO409" s="3">
        <v>222</v>
      </c>
      <c r="AP409" s="3" t="str">
        <f>IFERROR(MID(VLOOKUP($B409,Seqs!$A:$B,2,0),AQ409,1),"")</f>
        <v>K</v>
      </c>
      <c r="AQ409" s="3">
        <v>257</v>
      </c>
      <c r="AR409" s="3" t="str">
        <f>IFERROR(MID(VLOOKUP($B409,Seqs!$A:$B,2,0),AS409,1),"")</f>
        <v>C</v>
      </c>
      <c r="AS409" s="3">
        <v>263</v>
      </c>
      <c r="AT409" s="3" t="str">
        <f>IFERROR(MID(VLOOKUP($B409,Seqs!$A:$B,2,0),AU409,1),"")</f>
        <v>V</v>
      </c>
      <c r="AU409" s="3">
        <v>294</v>
      </c>
      <c r="AV409" s="3" t="str">
        <f>IFERROR(MID(VLOOKUP($B409,Seqs!$A:$B,2,0),AW409,1),"")</f>
        <v/>
      </c>
      <c r="AW409" s="3" t="s">
        <v>23</v>
      </c>
      <c r="AX409" s="3" t="str">
        <f>IFERROR(MID(VLOOKUP($B409,Seqs!$A:$B,2,0),AY409,1),"")</f>
        <v/>
      </c>
      <c r="AY409" s="3" t="s">
        <v>23</v>
      </c>
      <c r="AZ409" s="77" t="str">
        <f>VLOOKUP(B409,Classification!A:D,2,0)</f>
        <v>A</v>
      </c>
      <c r="BA409" s="94" t="str">
        <f>VLOOKUP(B409,Classification!A:D,4,0)</f>
        <v>Chemokine</v>
      </c>
      <c r="BB409" s="27" t="b">
        <f t="shared" ref="BB409:BB417" si="3691">AND(E409&lt;G409,OR(G409&lt;I409,I409="-"),OR(I409&lt;K409,I409="-"),OR(K409&lt;M409,K409="-"),M409&lt;O409,OR(O409&lt;Q409,Q409="-"),OR(Q409&lt;S409,Q409="-"),OR(S409&lt;U409,S409="-"),U409&lt;W409,OR(W409&lt;Y409,Y409="-"),OR(Y409&lt;AA409,Y409="-"),OR(AA409&lt;AC409,AA409="-"),AC409&lt;AE409,OR(AE409&lt;AG409,AG409="-"),OR(AG409&lt;AI409,AG409="-"),OR(AI409&lt;AK409,AI409="-"),AK409&lt;AM409,AM409&lt;AO409,AO409&lt;AQ409,AQ409&lt;AS409,AS409&lt;AU409,OR(AU409&lt;AW409,AW409="-"),OR(AW409&lt;AY409,AW409="-"))</f>
        <v>1</v>
      </c>
      <c r="BC409" s="23">
        <f t="shared" ref="BC409:BC417" si="3692">_xlfn.AGGREGATE(9,6,CH409:CS409)-_xlfn.AGGREGATE(9,6,BV409:CG409)+12</f>
        <v>236</v>
      </c>
      <c r="BD409" s="4" t="s">
        <v>23</v>
      </c>
      <c r="BE409" s="3" t="s">
        <v>1287</v>
      </c>
      <c r="BF409" s="118">
        <v>3.8</v>
      </c>
      <c r="BG409" s="49" t="s">
        <v>1373</v>
      </c>
      <c r="BH409" s="49" t="s">
        <v>1373</v>
      </c>
      <c r="BI409" s="1"/>
      <c r="BJ409" s="70" t="s">
        <v>1283</v>
      </c>
      <c r="BK409" s="57" t="s">
        <v>1283</v>
      </c>
      <c r="BL409" s="57" t="s">
        <v>1283</v>
      </c>
      <c r="BM409" s="57" t="s">
        <v>1283</v>
      </c>
      <c r="BN409" s="57" t="s">
        <v>1283</v>
      </c>
      <c r="BO409" s="57" t="s">
        <v>1283</v>
      </c>
      <c r="BP409" s="57" t="s">
        <v>1283</v>
      </c>
      <c r="BQ409" s="57" t="s">
        <v>1283</v>
      </c>
      <c r="BR409" s="57" t="s">
        <v>1283</v>
      </c>
      <c r="BS409" s="57" t="s">
        <v>1283</v>
      </c>
      <c r="BT409" s="57" t="s">
        <v>1283</v>
      </c>
      <c r="BU409" s="57" t="s">
        <v>1283</v>
      </c>
      <c r="BV409" s="70">
        <f t="shared" ref="BV409:BV417" si="3693">E409</f>
        <v>25</v>
      </c>
      <c r="BW409" s="71" t="str">
        <f t="shared" ref="BW409:BW417" si="3694">I409</f>
        <v>-</v>
      </c>
      <c r="BX409" s="72">
        <f t="shared" ref="BX409:BX417" si="3695">M409</f>
        <v>66</v>
      </c>
      <c r="BY409" s="71" t="str">
        <f t="shared" ref="BY409:BY417" si="3696">Q409</f>
        <v>-</v>
      </c>
      <c r="BZ409" s="72">
        <f t="shared" ref="BZ409:BZ417" si="3697">U409</f>
        <v>103</v>
      </c>
      <c r="CA409" s="71" t="str">
        <f t="shared" ref="CA409:CA417" si="3698">Y409</f>
        <v>-</v>
      </c>
      <c r="CB409" s="72">
        <f t="shared" ref="CB409:CB417" si="3699">AC409</f>
        <v>140</v>
      </c>
      <c r="CC409" s="71">
        <f t="shared" ref="CC409:CC417" si="3700">AG409</f>
        <v>173</v>
      </c>
      <c r="CD409" s="72">
        <f t="shared" ref="CD409:CD417" si="3701">AK409</f>
        <v>183</v>
      </c>
      <c r="CE409" s="71">
        <f t="shared" ref="CE409:CE417" si="3702">AO409</f>
        <v>222</v>
      </c>
      <c r="CF409" s="72">
        <f t="shared" ref="CF409:CF417" si="3703">AS409</f>
        <v>263</v>
      </c>
      <c r="CG409" s="71" t="str">
        <f t="shared" ref="CG409:CG417" si="3704">AW409</f>
        <v>-</v>
      </c>
      <c r="CH409" s="70">
        <f t="shared" ref="CH409:CH417" si="3705">G409</f>
        <v>62</v>
      </c>
      <c r="CI409" s="71" t="str">
        <f t="shared" ref="CI409:CI417" si="3706">K409</f>
        <v>-</v>
      </c>
      <c r="CJ409" s="72">
        <f t="shared" ref="CJ409:CJ417" si="3707">O409</f>
        <v>95</v>
      </c>
      <c r="CK409" s="72" t="str">
        <f t="shared" ref="CK409:CK417" si="3708">S409</f>
        <v>-</v>
      </c>
      <c r="CL409" s="72">
        <f t="shared" ref="CL409:CL417" si="3709">W409</f>
        <v>134</v>
      </c>
      <c r="CM409" s="72" t="str">
        <f t="shared" ref="CM409:CM417" si="3710">AA409</f>
        <v>-</v>
      </c>
      <c r="CN409" s="72">
        <f t="shared" ref="CN409:CN417" si="3711">AE409</f>
        <v>164</v>
      </c>
      <c r="CO409" s="72">
        <f t="shared" ref="CO409:CO417" si="3712">AI409</f>
        <v>175</v>
      </c>
      <c r="CP409" s="72">
        <f t="shared" ref="CP409:CP417" si="3713">AM409</f>
        <v>218</v>
      </c>
      <c r="CQ409" s="72">
        <f t="shared" ref="CQ409:CQ417" si="3714">AQ409</f>
        <v>257</v>
      </c>
      <c r="CR409" s="72">
        <f t="shared" ref="CR409:CR417" si="3715">AU409</f>
        <v>294</v>
      </c>
      <c r="CS409" s="72" t="str">
        <f t="shared" ref="CS409:CS417" si="3716">AY409</f>
        <v>-</v>
      </c>
      <c r="CT409" s="23" t="e">
        <f t="shared" ref="CT409:CT417" si="3717">M409-K409</f>
        <v>#VALUE!</v>
      </c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6"/>
      <c r="LS409" s="6"/>
      <c r="LT409" s="6"/>
      <c r="LU409" s="6"/>
      <c r="LV409" s="6"/>
      <c r="LW409" s="6"/>
      <c r="LX409" s="6"/>
      <c r="LY409" s="6"/>
      <c r="LZ409" s="6"/>
      <c r="MA409" s="6"/>
      <c r="MB409" s="6"/>
      <c r="MC409" s="6"/>
      <c r="MD409" s="6"/>
      <c r="ME409" s="6"/>
      <c r="MF409" s="6"/>
      <c r="MG409" s="6"/>
      <c r="MH409" s="6"/>
      <c r="MI409" s="6"/>
      <c r="MJ409" s="6"/>
      <c r="MK409" s="6"/>
      <c r="ML409" s="6"/>
      <c r="MM409" s="6"/>
      <c r="MN409" s="6"/>
      <c r="MO409" s="6"/>
      <c r="MP409" s="6"/>
      <c r="MQ409" s="6"/>
      <c r="MR409" s="6"/>
      <c r="MS409" s="6"/>
      <c r="MT409" s="6"/>
      <c r="MU409" s="6"/>
      <c r="MV409" s="6"/>
      <c r="MW409" s="6"/>
      <c r="MX409" s="6"/>
      <c r="MY409" s="6"/>
      <c r="MZ409" s="6"/>
      <c r="NA409" s="6"/>
      <c r="NB409" s="6"/>
      <c r="NC409" s="6"/>
      <c r="ND409" s="6"/>
      <c r="NE409" s="6"/>
      <c r="NF409" s="6"/>
      <c r="NG409" s="6"/>
      <c r="NH409" s="6"/>
      <c r="NI409" s="6"/>
      <c r="NJ409" s="6"/>
      <c r="NK409" s="6"/>
      <c r="NL409" s="6"/>
      <c r="NM409" s="6"/>
      <c r="NN409" s="6"/>
      <c r="NO409" s="6"/>
      <c r="NP409" s="6"/>
      <c r="NQ409" s="6"/>
      <c r="NR409" s="6"/>
      <c r="NS409" s="6"/>
      <c r="NT409" s="6"/>
      <c r="NU409" s="6"/>
      <c r="NV409" s="6"/>
      <c r="NW409" s="6"/>
      <c r="NX409" s="6"/>
      <c r="NY409" s="6"/>
      <c r="NZ409" s="6"/>
      <c r="OA409" s="6"/>
      <c r="OB409" s="6"/>
      <c r="OC409" s="6"/>
      <c r="OD409" s="6"/>
      <c r="OE409" s="6"/>
      <c r="OF409" s="6"/>
      <c r="OG409" s="6"/>
      <c r="OH409" s="6"/>
      <c r="OI409" s="6"/>
      <c r="OJ409" s="6"/>
      <c r="OK409" s="6"/>
      <c r="OL409" s="6"/>
      <c r="OM409" s="6"/>
      <c r="ON409" s="6"/>
      <c r="OO409" s="6"/>
      <c r="OP409" s="6"/>
      <c r="OQ409" s="6"/>
      <c r="OR409" s="6"/>
      <c r="OS409" s="6"/>
      <c r="OT409" s="6"/>
      <c r="OU409" s="6"/>
      <c r="OV409" s="6"/>
      <c r="OW409" s="6"/>
      <c r="OX409" s="6"/>
      <c r="OY409" s="6"/>
      <c r="OZ409" s="6"/>
      <c r="PA409" s="6"/>
      <c r="PB409" s="6"/>
      <c r="PC409" s="6"/>
      <c r="PD409" s="6"/>
      <c r="PE409" s="6"/>
      <c r="PF409" s="6"/>
      <c r="PG409" s="6"/>
      <c r="PH409" s="6"/>
      <c r="PI409" s="6"/>
      <c r="PJ409" s="6"/>
      <c r="PK409" s="6"/>
      <c r="PL409" s="6"/>
      <c r="PM409" s="6"/>
      <c r="PN409" s="6"/>
      <c r="PO409" s="6"/>
      <c r="PP409" s="6"/>
      <c r="PQ409" s="6"/>
      <c r="PR409" s="6"/>
      <c r="PS409" s="6"/>
      <c r="PT409" s="6"/>
      <c r="PU409" s="6"/>
      <c r="PV409" s="6"/>
      <c r="PW409" s="6"/>
      <c r="PX409" s="6"/>
      <c r="PY409" s="6"/>
      <c r="PZ409" s="6"/>
      <c r="QA409" s="6"/>
      <c r="QB409" s="6"/>
      <c r="QC409" s="6"/>
      <c r="QD409" s="6"/>
      <c r="QE409" s="6"/>
      <c r="QF409" s="6"/>
      <c r="QG409" s="6"/>
      <c r="QH409" s="6"/>
      <c r="QI409" s="6"/>
      <c r="QJ409" s="6"/>
      <c r="QK409" s="6"/>
      <c r="QL409" s="6"/>
      <c r="QM409" s="6"/>
      <c r="QN409" s="6"/>
      <c r="QO409" s="6"/>
      <c r="QP409" s="6"/>
      <c r="QQ409" s="6"/>
      <c r="QR409" s="6"/>
      <c r="QS409" s="6"/>
      <c r="QT409" s="6"/>
      <c r="QU409" s="6"/>
      <c r="QV409" s="6"/>
      <c r="QW409" s="6"/>
      <c r="QX409" s="6"/>
      <c r="QY409" s="6"/>
      <c r="QZ409" s="6"/>
      <c r="RA409" s="6"/>
      <c r="RB409" s="6"/>
      <c r="RC409" s="6"/>
      <c r="RD409" s="6"/>
      <c r="RE409" s="6"/>
      <c r="RF409" s="6"/>
      <c r="RG409" s="6"/>
      <c r="RH409" s="6"/>
      <c r="RI409" s="6"/>
      <c r="RJ409" s="6"/>
      <c r="RK409" s="6"/>
      <c r="RL409" s="6"/>
      <c r="RM409" s="6"/>
      <c r="RN409" s="6"/>
      <c r="RO409" s="6"/>
      <c r="RP409" s="6"/>
      <c r="RQ409" s="6"/>
      <c r="RR409" s="6"/>
      <c r="RS409" s="6"/>
      <c r="RT409" s="6"/>
      <c r="RU409" s="6"/>
      <c r="RV409" s="6"/>
      <c r="RW409" s="6"/>
      <c r="RX409" s="6"/>
      <c r="RY409" s="6"/>
      <c r="RZ409" s="6"/>
      <c r="SA409" s="6"/>
      <c r="SB409" s="6"/>
      <c r="SC409" s="6"/>
      <c r="SD409" s="6"/>
      <c r="SE409" s="6"/>
      <c r="SF409" s="6"/>
      <c r="SG409" s="6"/>
      <c r="SH409" s="6"/>
      <c r="SI409" s="6"/>
      <c r="SJ409" s="6"/>
      <c r="SK409" s="6"/>
      <c r="SL409" s="6"/>
      <c r="SM409" s="6"/>
      <c r="SN409" s="6"/>
      <c r="SO409" s="6"/>
      <c r="SP409" s="6"/>
      <c r="SQ409" s="6"/>
      <c r="SR409" s="6"/>
      <c r="SS409" s="6"/>
      <c r="ST409" s="6"/>
      <c r="SU409" s="6"/>
      <c r="SV409" s="6"/>
      <c r="SW409" s="6"/>
      <c r="SX409" s="6"/>
      <c r="SY409" s="6"/>
      <c r="SZ409" s="6"/>
      <c r="TA409" s="6"/>
      <c r="TB409" s="6"/>
      <c r="TC409" s="6"/>
      <c r="TD409" s="6"/>
      <c r="TE409" s="6"/>
      <c r="TF409" s="6"/>
      <c r="TG409" s="6"/>
      <c r="TH409" s="6"/>
      <c r="TI409" s="6"/>
      <c r="TJ409" s="6"/>
      <c r="TK409" s="6"/>
      <c r="TL409" s="6"/>
      <c r="TM409" s="6"/>
      <c r="TN409" s="6"/>
      <c r="TO409" s="6"/>
      <c r="TP409" s="6"/>
      <c r="TQ409" s="6"/>
      <c r="TR409" s="6"/>
      <c r="TS409" s="6"/>
      <c r="TT409" s="6"/>
      <c r="TU409" s="6"/>
      <c r="TV409" s="6"/>
      <c r="TW409" s="6"/>
      <c r="TX409" s="6"/>
      <c r="TY409" s="6"/>
      <c r="TZ409" s="6"/>
      <c r="UA409" s="6"/>
      <c r="UB409" s="6"/>
      <c r="UC409" s="6"/>
      <c r="UD409" s="6"/>
      <c r="UE409" s="6"/>
      <c r="UF409" s="6"/>
      <c r="UG409" s="6"/>
      <c r="UH409" s="6"/>
      <c r="UI409" s="6"/>
      <c r="UJ409" s="6"/>
      <c r="UK409" s="6"/>
      <c r="UL409" s="6"/>
      <c r="UM409" s="6"/>
      <c r="UN409" s="6"/>
      <c r="UO409" s="6"/>
      <c r="UP409" s="6"/>
      <c r="UQ409" s="6"/>
      <c r="UR409" s="6"/>
      <c r="US409" s="6"/>
      <c r="UT409" s="6"/>
      <c r="UU409" s="6"/>
      <c r="UV409" s="6"/>
      <c r="UW409" s="6"/>
      <c r="UX409" s="6"/>
      <c r="UY409" s="6"/>
      <c r="UZ409" s="6"/>
      <c r="VA409" s="6"/>
      <c r="VB409" s="6"/>
      <c r="VC409" s="6"/>
      <c r="VD409" s="6"/>
      <c r="VE409" s="6"/>
      <c r="VF409" s="6"/>
      <c r="VG409" s="6"/>
      <c r="VH409" s="6"/>
      <c r="VI409" s="6"/>
      <c r="VJ409" s="6"/>
      <c r="VK409" s="6"/>
      <c r="VL409" s="6"/>
      <c r="VM409" s="6"/>
      <c r="VN409" s="6"/>
      <c r="VO409" s="6"/>
      <c r="VP409" s="6"/>
      <c r="VQ409" s="6"/>
      <c r="VR409" s="6"/>
      <c r="VS409" s="6"/>
      <c r="VT409" s="6"/>
      <c r="VU409" s="6"/>
      <c r="VV409" s="6"/>
      <c r="VW409" s="6"/>
      <c r="VX409" s="6"/>
      <c r="VY409" s="6"/>
      <c r="VZ409" s="6"/>
      <c r="WA409" s="6"/>
      <c r="WB409" s="6"/>
      <c r="WC409" s="6"/>
      <c r="WD409" s="6"/>
      <c r="WE409" s="6"/>
      <c r="WF409" s="6"/>
      <c r="WG409" s="6"/>
      <c r="WH409" s="6"/>
      <c r="WI409" s="6"/>
      <c r="WJ409" s="6"/>
      <c r="WK409" s="6"/>
      <c r="WL409" s="6"/>
      <c r="WM409" s="6"/>
      <c r="WN409" s="6"/>
      <c r="WO409" s="6"/>
      <c r="WP409" s="6"/>
      <c r="WQ409" s="6"/>
      <c r="WR409" s="6"/>
      <c r="WS409" s="6"/>
      <c r="WT409" s="6"/>
      <c r="WU409" s="6"/>
      <c r="WV409" s="6"/>
      <c r="WW409" s="6"/>
      <c r="WX409" s="6"/>
      <c r="WY409" s="6"/>
      <c r="WZ409" s="6"/>
      <c r="XA409" s="6"/>
      <c r="XB409" s="6"/>
      <c r="XC409" s="6"/>
      <c r="XD409" s="6"/>
      <c r="XE409" s="6"/>
      <c r="XF409" s="6"/>
      <c r="XG409" s="6"/>
      <c r="XH409" s="6"/>
      <c r="XI409" s="6"/>
      <c r="XJ409" s="6"/>
      <c r="XK409" s="6"/>
      <c r="XL409" s="6"/>
      <c r="XM409" s="6"/>
      <c r="XN409" s="6"/>
      <c r="XO409" s="6"/>
      <c r="XP409" s="6"/>
      <c r="XQ409" s="6"/>
      <c r="XR409" s="6"/>
      <c r="XS409" s="6"/>
      <c r="XT409" s="6"/>
      <c r="XU409" s="6"/>
      <c r="XV409" s="6"/>
      <c r="XW409" s="6"/>
      <c r="XX409" s="6"/>
      <c r="XY409" s="6"/>
      <c r="XZ409" s="6"/>
      <c r="YA409" s="6"/>
      <c r="YB409" s="6"/>
      <c r="YC409" s="6"/>
      <c r="YD409" s="6"/>
      <c r="YE409" s="6"/>
      <c r="YF409" s="6"/>
      <c r="YG409" s="6"/>
      <c r="YH409" s="6"/>
      <c r="YI409" s="6"/>
      <c r="YJ409" s="6"/>
      <c r="YK409" s="6"/>
      <c r="YL409" s="6"/>
      <c r="YM409" s="6"/>
      <c r="YN409" s="6"/>
      <c r="YO409" s="6"/>
      <c r="YP409" s="6"/>
      <c r="YQ409" s="6"/>
      <c r="YR409" s="6"/>
      <c r="YS409" s="6"/>
      <c r="YT409" s="6"/>
      <c r="YU409" s="6"/>
      <c r="YV409" s="6"/>
      <c r="YW409" s="6"/>
      <c r="YX409" s="6"/>
      <c r="YY409" s="6"/>
      <c r="YZ409" s="6"/>
      <c r="ZA409" s="6"/>
      <c r="ZB409" s="6"/>
      <c r="ZC409" s="6"/>
      <c r="ZD409" s="6"/>
      <c r="ZE409" s="6"/>
      <c r="ZF409" s="6"/>
      <c r="ZG409" s="6"/>
      <c r="ZH409" s="6"/>
      <c r="ZI409" s="6"/>
      <c r="ZJ409" s="6"/>
      <c r="ZK409" s="6"/>
      <c r="ZL409" s="6"/>
      <c r="ZM409" s="6"/>
      <c r="ZN409" s="6"/>
      <c r="ZO409" s="6"/>
      <c r="ZP409" s="6"/>
      <c r="ZQ409" s="6"/>
      <c r="ZR409" s="6"/>
      <c r="ZS409" s="6"/>
      <c r="ZT409" s="6"/>
      <c r="ZU409" s="6"/>
      <c r="ZV409" s="6"/>
      <c r="ZW409" s="6"/>
      <c r="ZX409" s="6"/>
      <c r="ZY409" s="6"/>
      <c r="ZZ409" s="6"/>
      <c r="AAA409" s="6"/>
      <c r="AAB409" s="6"/>
      <c r="AAC409" s="6"/>
      <c r="AAD409" s="6"/>
      <c r="AAE409" s="6"/>
      <c r="AAF409" s="6"/>
      <c r="AAG409" s="6"/>
      <c r="AAH409" s="6"/>
      <c r="AAI409" s="6"/>
      <c r="AAJ409" s="6"/>
      <c r="AAK409" s="6"/>
      <c r="AAL409" s="6"/>
      <c r="AAM409" s="6"/>
      <c r="AAN409" s="6"/>
      <c r="AAO409" s="6"/>
      <c r="AAP409" s="6"/>
      <c r="AAQ409" s="6"/>
      <c r="AAR409" s="6"/>
      <c r="AAS409" s="6"/>
      <c r="AAT409" s="6"/>
      <c r="AAU409" s="6"/>
      <c r="AAV409" s="6"/>
      <c r="AAW409" s="6"/>
      <c r="AAX409" s="6"/>
      <c r="AAY409" s="6"/>
      <c r="AAZ409" s="6"/>
      <c r="ABA409" s="6"/>
      <c r="ABB409" s="6"/>
      <c r="ABC409" s="6"/>
      <c r="ABD409" s="6"/>
      <c r="ABE409" s="6"/>
      <c r="ABF409" s="6"/>
      <c r="ABG409" s="6"/>
      <c r="ABH409" s="6"/>
      <c r="ABI409" s="6"/>
      <c r="ABJ409" s="6"/>
      <c r="ABK409" s="6"/>
      <c r="ABL409" s="6"/>
      <c r="ABM409" s="6"/>
      <c r="ABN409" s="6"/>
      <c r="ABO409" s="6"/>
      <c r="ABP409" s="6"/>
      <c r="ABQ409" s="6"/>
      <c r="ABR409" s="6"/>
      <c r="ABS409" s="6"/>
      <c r="ABT409" s="6"/>
      <c r="ABU409" s="6"/>
      <c r="ABV409" s="6"/>
      <c r="ABW409" s="6"/>
      <c r="ABX409" s="6"/>
      <c r="ABY409" s="6"/>
      <c r="ABZ409" s="6"/>
      <c r="ACA409" s="6"/>
      <c r="ACB409" s="6"/>
      <c r="ACC409" s="6"/>
      <c r="ACD409" s="6"/>
      <c r="ACE409" s="6"/>
      <c r="ACF409" s="6"/>
      <c r="ACG409" s="6"/>
      <c r="ACH409" s="6"/>
      <c r="ACI409" s="6"/>
      <c r="ACJ409" s="6"/>
      <c r="ACK409" s="6"/>
      <c r="ACL409" s="6"/>
      <c r="ACM409" s="6"/>
      <c r="ACN409" s="6"/>
      <c r="ACO409" s="6"/>
      <c r="ACP409" s="6"/>
      <c r="ACQ409" s="6"/>
      <c r="ACR409" s="6"/>
      <c r="ACS409" s="6"/>
      <c r="ACT409" s="6"/>
      <c r="ACU409" s="6"/>
      <c r="ACV409" s="6"/>
      <c r="ACW409" s="6"/>
      <c r="ACX409" s="6"/>
      <c r="ACY409" s="6"/>
      <c r="ACZ409" s="6"/>
      <c r="ADA409" s="6"/>
      <c r="ADB409" s="6"/>
      <c r="ADC409" s="6"/>
      <c r="ADD409" s="6"/>
      <c r="ADE409" s="6"/>
      <c r="ADF409" s="6"/>
      <c r="ADG409" s="6"/>
      <c r="ADH409" s="6"/>
      <c r="ADI409" s="6"/>
      <c r="ADJ409" s="6"/>
      <c r="ADK409" s="6"/>
      <c r="ADL409" s="6"/>
      <c r="ADM409" s="6"/>
      <c r="ADN409" s="6"/>
      <c r="ADO409" s="6"/>
      <c r="ADP409" s="6"/>
      <c r="ADQ409" s="6"/>
      <c r="ADR409" s="6"/>
      <c r="ADS409" s="6"/>
      <c r="ADT409" s="6"/>
      <c r="ADU409" s="6"/>
      <c r="ADV409" s="6"/>
      <c r="ADW409" s="6"/>
      <c r="ADX409" s="6"/>
      <c r="ADY409" s="6"/>
      <c r="ADZ409" s="6"/>
      <c r="AEA409" s="6"/>
      <c r="AEB409" s="6"/>
      <c r="AEC409" s="6"/>
      <c r="AED409" s="6"/>
      <c r="AEE409" s="6"/>
      <c r="AEF409" s="6"/>
      <c r="AEG409" s="6"/>
      <c r="AEH409" s="6"/>
      <c r="AEI409" s="6"/>
      <c r="AEJ409" s="6"/>
      <c r="AEK409" s="6"/>
      <c r="AEL409" s="6"/>
      <c r="AEM409" s="6"/>
      <c r="AEN409" s="6"/>
      <c r="AEO409" s="6"/>
      <c r="AEP409" s="6"/>
      <c r="AEQ409" s="6"/>
      <c r="AER409" s="6"/>
      <c r="AES409" s="6"/>
      <c r="AET409" s="6"/>
      <c r="AEU409" s="6"/>
      <c r="AEV409" s="6"/>
      <c r="AEW409" s="6"/>
      <c r="AEX409" s="6"/>
      <c r="AEY409" s="6"/>
      <c r="AEZ409" s="6"/>
      <c r="AFA409" s="6"/>
      <c r="AFB409" s="6"/>
      <c r="AFC409" s="6"/>
      <c r="AFD409" s="6"/>
      <c r="AFE409" s="6"/>
      <c r="AFF409" s="6"/>
      <c r="AFG409" s="6"/>
      <c r="AFH409" s="6"/>
      <c r="AFI409" s="6"/>
      <c r="AFJ409" s="6"/>
      <c r="AFK409" s="6"/>
      <c r="AFL409" s="6"/>
      <c r="AFM409" s="6"/>
      <c r="AFN409" s="6"/>
      <c r="AFO409" s="6"/>
      <c r="AFP409" s="6"/>
      <c r="AFQ409" s="6"/>
      <c r="AFR409" s="6"/>
      <c r="AFS409" s="6"/>
      <c r="AFT409" s="6"/>
      <c r="AFU409" s="6"/>
      <c r="AFV409" s="6"/>
      <c r="AFW409" s="6"/>
      <c r="AFX409" s="6"/>
      <c r="AFY409" s="6"/>
      <c r="AFZ409" s="6"/>
      <c r="AGA409" s="6"/>
      <c r="AGB409" s="6"/>
      <c r="AGC409" s="6"/>
      <c r="AGD409" s="6"/>
      <c r="AGE409" s="6"/>
      <c r="AGF409" s="6"/>
      <c r="AGG409" s="6"/>
      <c r="AGH409" s="6"/>
      <c r="AGI409" s="6"/>
      <c r="AGJ409" s="6"/>
      <c r="AGK409" s="6"/>
      <c r="AGL409" s="6"/>
      <c r="AGM409" s="6"/>
      <c r="AGN409" s="6"/>
      <c r="AGO409" s="6"/>
      <c r="AGP409" s="6"/>
      <c r="AGQ409" s="6"/>
      <c r="AGR409" s="6"/>
      <c r="AGS409" s="6"/>
      <c r="AGT409" s="6"/>
      <c r="AGU409" s="6"/>
      <c r="AGV409" s="6"/>
      <c r="AGW409" s="6"/>
      <c r="AGX409" s="6"/>
      <c r="AGY409" s="6"/>
      <c r="AGZ409" s="6"/>
      <c r="AHA409" s="6"/>
      <c r="AHB409" s="6"/>
      <c r="AHC409" s="6"/>
      <c r="AHD409" s="6"/>
      <c r="AHE409" s="6"/>
      <c r="AHF409" s="6"/>
      <c r="AHG409" s="6"/>
      <c r="AHH409" s="6"/>
      <c r="AHI409" s="6"/>
      <c r="AHJ409" s="6"/>
      <c r="AHK409" s="6"/>
      <c r="AHL409" s="6"/>
      <c r="AHM409" s="6"/>
      <c r="AHN409" s="6"/>
      <c r="AHO409" s="6"/>
      <c r="AHP409" s="6"/>
      <c r="AHQ409" s="6"/>
      <c r="AHR409" s="6"/>
      <c r="AHS409" s="6"/>
      <c r="AHT409" s="6"/>
      <c r="AHU409" s="6"/>
      <c r="AHV409" s="6"/>
      <c r="AHW409" s="6"/>
      <c r="AHX409" s="6"/>
      <c r="AHY409" s="6"/>
      <c r="AHZ409" s="6"/>
      <c r="AIA409" s="6"/>
      <c r="AIB409" s="6"/>
      <c r="AIC409" s="6"/>
      <c r="AID409" s="6"/>
      <c r="AIE409" s="6"/>
      <c r="AIF409" s="6"/>
      <c r="AIG409" s="6"/>
      <c r="AIH409" s="6"/>
      <c r="AII409" s="6"/>
      <c r="AIJ409" s="6"/>
      <c r="AIK409" s="6"/>
      <c r="AIL409" s="6"/>
      <c r="AIM409" s="6"/>
      <c r="AIN409" s="6"/>
      <c r="AIO409" s="6"/>
      <c r="AIP409" s="6"/>
      <c r="AIQ409" s="6"/>
      <c r="AIR409" s="6"/>
      <c r="AIS409" s="6"/>
      <c r="AIT409" s="6"/>
      <c r="AIU409" s="6"/>
      <c r="AIV409" s="6"/>
      <c r="AIW409" s="6"/>
      <c r="AIX409" s="6"/>
      <c r="AIY409" s="6"/>
      <c r="AIZ409" s="6"/>
      <c r="AJA409" s="6"/>
      <c r="AJB409" s="6"/>
      <c r="AJC409" s="6"/>
      <c r="AJD409" s="6"/>
      <c r="AJE409" s="6"/>
      <c r="AJF409" s="6"/>
      <c r="AJG409" s="6"/>
      <c r="AJH409" s="6"/>
      <c r="AJI409" s="6"/>
      <c r="AJJ409" s="6"/>
      <c r="AJK409" s="6"/>
      <c r="AJL409" s="6"/>
      <c r="AJM409" s="6"/>
      <c r="AJN409" s="6"/>
      <c r="AJO409" s="6"/>
      <c r="AJP409" s="6"/>
      <c r="AJQ409" s="6"/>
      <c r="AJR409" s="6"/>
      <c r="AJS409" s="6"/>
      <c r="AJT409" s="6"/>
      <c r="AJU409" s="6"/>
      <c r="AJV409" s="6"/>
      <c r="AJW409" s="6"/>
      <c r="AJX409" s="6"/>
      <c r="AJY409" s="6"/>
      <c r="AJZ409" s="6"/>
      <c r="AKA409" s="6"/>
      <c r="AKB409" s="6"/>
      <c r="AKC409" s="6"/>
      <c r="AKD409" s="6"/>
      <c r="AKE409" s="6"/>
      <c r="AKF409" s="6"/>
      <c r="AKG409" s="6"/>
      <c r="AKH409" s="6"/>
      <c r="AKI409" s="6"/>
      <c r="AKJ409" s="6"/>
      <c r="AKK409" s="6"/>
      <c r="AKL409" s="6"/>
      <c r="AKM409" s="6"/>
      <c r="AKN409" s="6"/>
      <c r="AKO409" s="6"/>
      <c r="AKP409" s="6"/>
      <c r="AKQ409" s="6"/>
      <c r="AKR409" s="6"/>
      <c r="AKS409" s="6"/>
      <c r="AKT409" s="6"/>
      <c r="AKU409" s="6"/>
      <c r="AKV409" s="6"/>
      <c r="AKW409" s="6"/>
      <c r="AKX409" s="6"/>
      <c r="AKY409" s="6"/>
      <c r="AKZ409" s="6"/>
      <c r="ALA409" s="6"/>
      <c r="ALB409" s="6"/>
      <c r="ALC409" s="6"/>
      <c r="ALD409" s="6"/>
      <c r="ALE409" s="6"/>
      <c r="ALF409" s="6"/>
      <c r="ALG409" s="6"/>
      <c r="ALH409" s="6"/>
      <c r="ALI409" s="6"/>
      <c r="ALJ409" s="6"/>
      <c r="ALK409" s="6"/>
      <c r="ALL409" s="6"/>
      <c r="ALM409" s="6"/>
      <c r="ALN409" s="6"/>
      <c r="ALO409" s="6"/>
      <c r="ALP409" s="6"/>
      <c r="ALQ409" s="6"/>
      <c r="ALR409" s="6"/>
      <c r="ALS409" s="6"/>
      <c r="ALT409" s="6"/>
      <c r="ALU409" s="6"/>
      <c r="ALV409" s="6"/>
      <c r="ALW409" s="6"/>
      <c r="ALX409" s="6"/>
      <c r="ALY409" s="6"/>
      <c r="ALZ409" s="6"/>
      <c r="AMA409" s="6"/>
      <c r="AMB409" s="6"/>
      <c r="AMC409" s="6"/>
      <c r="AMD409" s="6"/>
      <c r="AME409" s="6"/>
      <c r="AMF409" s="6"/>
      <c r="AMG409" s="6"/>
      <c r="AMH409" s="6"/>
      <c r="AMI409" s="6"/>
      <c r="AMJ409" s="6"/>
      <c r="AMK409" s="6"/>
      <c r="AML409" s="6"/>
      <c r="AMM409" s="6"/>
      <c r="AMN409" s="6"/>
      <c r="AMO409" s="6"/>
      <c r="AMP409" s="6"/>
    </row>
    <row r="410" spans="1:1030" x14ac:dyDescent="0.2">
      <c r="A410" s="3" t="str">
        <f t="shared" ref="A410:A420" si="3718">CONCATENATE(B410,"_",C410)</f>
        <v>q80km9_hcmv__wt</v>
      </c>
      <c r="B410" s="2" t="s">
        <v>1503</v>
      </c>
      <c r="C410" s="3" t="s">
        <v>100</v>
      </c>
      <c r="D410" s="3" t="str">
        <f>IFERROR(MID(VLOOKUP($B410,Seqs!$A:$B,2,0),E410,1),"")</f>
        <v>F</v>
      </c>
      <c r="E410" s="3">
        <v>25</v>
      </c>
      <c r="F410" s="3" t="str">
        <f>IFERROR(MID(VLOOKUP($B410,Seqs!$A:$B,2,0),G410,1),"")</f>
        <v>R</v>
      </c>
      <c r="G410" s="3">
        <v>61</v>
      </c>
      <c r="H410" s="3" t="str">
        <f>IFERROR(MID(VLOOKUP($B410,Seqs!$A:$B,2,0),I410,1),"")</f>
        <v>R</v>
      </c>
      <c r="I410" s="23">
        <v>62</v>
      </c>
      <c r="J410" s="3" t="str">
        <f>IFERROR(MID(VLOOKUP($B410,Seqs!$A:$B,2,0),K410,1),"")</f>
        <v>Q</v>
      </c>
      <c r="K410" s="23">
        <v>65</v>
      </c>
      <c r="L410" s="3" t="str">
        <f>IFERROR(MID(VLOOKUP($B410,Seqs!$A:$B,2,0),M410,1),"")</f>
        <v>C</v>
      </c>
      <c r="M410" s="3">
        <v>66</v>
      </c>
      <c r="N410" s="3" t="str">
        <f>IFERROR(MID(VLOOKUP($B410,Seqs!$A:$B,2,0),O410,1),"")</f>
        <v>D</v>
      </c>
      <c r="O410" s="3">
        <v>95</v>
      </c>
      <c r="P410" s="3" t="str">
        <f>IFERROR(MID(VLOOKUP($B410,Seqs!$A:$B,2,0),Q410,1),"")</f>
        <v/>
      </c>
      <c r="Q410" s="3" t="s">
        <v>23</v>
      </c>
      <c r="R410" s="3" t="str">
        <f>IFERROR(MID(VLOOKUP($B410,Seqs!$A:$B,2,0),S410,1),"")</f>
        <v/>
      </c>
      <c r="S410" s="3" t="s">
        <v>23</v>
      </c>
      <c r="T410" s="3" t="str">
        <f>IFERROR(MID(VLOOKUP($B410,Seqs!$A:$B,2,0),U410,1),"")</f>
        <v>A</v>
      </c>
      <c r="U410" s="3">
        <v>100</v>
      </c>
      <c r="V410" s="3" t="str">
        <f>IFERROR(MID(VLOOKUP($B410,Seqs!$A:$B,2,0),W410,1),"")</f>
        <v>V</v>
      </c>
      <c r="W410" s="3">
        <v>134</v>
      </c>
      <c r="X410" s="3" t="str">
        <f>IFERROR(MID(VLOOKUP($B410,Seqs!$A:$B,2,0),Y410,1),"")</f>
        <v/>
      </c>
      <c r="Y410" s="3" t="s">
        <v>23</v>
      </c>
      <c r="Z410" s="3" t="str">
        <f>IFERROR(MID(VLOOKUP($B410,Seqs!$A:$B,2,0),AA410,1),"")</f>
        <v/>
      </c>
      <c r="AA410" s="3" t="s">
        <v>23</v>
      </c>
      <c r="AB410" s="3" t="str">
        <f>IFERROR(MID(VLOOKUP($B410,Seqs!$A:$B,2,0),AC410,1),"")</f>
        <v>P</v>
      </c>
      <c r="AC410" s="3">
        <v>140</v>
      </c>
      <c r="AD410" s="3" t="str">
        <f>IFERROR(MID(VLOOKUP($B410,Seqs!$A:$B,2,0),AE410,1),"")</f>
        <v>M</v>
      </c>
      <c r="AE410" s="3">
        <v>164</v>
      </c>
      <c r="AF410" s="3" t="str">
        <f>IFERROR(MID(VLOOKUP($B410,Seqs!$A:$B,2,0),AG410,1),"")</f>
        <v>C</v>
      </c>
      <c r="AG410" s="3">
        <v>173</v>
      </c>
      <c r="AH410" s="3" t="str">
        <f>IFERROR(MID(VLOOKUP($B410,Seqs!$A:$B,2,0),AI410,1),"")</f>
        <v>T</v>
      </c>
      <c r="AI410" s="3">
        <v>175</v>
      </c>
      <c r="AJ410" s="3" t="str">
        <f>IFERROR(MID(VLOOKUP($B410,Seqs!$A:$B,2,0),AK410,1),"")</f>
        <v>S</v>
      </c>
      <c r="AK410" s="3">
        <v>183</v>
      </c>
      <c r="AL410" s="3" t="str">
        <f>IFERROR(MID(VLOOKUP($B410,Seqs!$A:$B,2,0),AM410,1),"")</f>
        <v>S</v>
      </c>
      <c r="AM410" s="3">
        <v>218</v>
      </c>
      <c r="AN410" s="3" t="str">
        <f>IFERROR(MID(VLOOKUP($B410,Seqs!$A:$B,2,0),AO410,1),"")</f>
        <v>H</v>
      </c>
      <c r="AO410" s="3">
        <v>222</v>
      </c>
      <c r="AP410" s="3" t="str">
        <f>IFERROR(MID(VLOOKUP($B410,Seqs!$A:$B,2,0),AQ410,1),"")</f>
        <v>K</v>
      </c>
      <c r="AQ410" s="3">
        <v>257</v>
      </c>
      <c r="AR410" s="3" t="str">
        <f>IFERROR(MID(VLOOKUP($B410,Seqs!$A:$B,2,0),AS410,1),"")</f>
        <v>S</v>
      </c>
      <c r="AS410" s="3">
        <v>262</v>
      </c>
      <c r="AT410" s="3" t="str">
        <f>IFERROR(MID(VLOOKUP($B410,Seqs!$A:$B,2,0),AU410,1),"")</f>
        <v>V</v>
      </c>
      <c r="AU410" s="3">
        <v>294</v>
      </c>
      <c r="AV410" s="3" t="str">
        <f>IFERROR(MID(VLOOKUP($B410,Seqs!$A:$B,2,0),AW410,1),"")</f>
        <v>G</v>
      </c>
      <c r="AW410" s="3">
        <v>295</v>
      </c>
      <c r="AX410" s="3" t="str">
        <f>IFERROR(MID(VLOOKUP($B410,Seqs!$A:$B,2,0),AY410,1),"")</f>
        <v>R</v>
      </c>
      <c r="AY410" s="3">
        <v>310</v>
      </c>
      <c r="AZ410" s="77" t="str">
        <f>VLOOKUP(B410,Classification!A:D,2,0)</f>
        <v>A</v>
      </c>
      <c r="BA410" s="94" t="str">
        <f>VLOOKUP(B410,Classification!A:D,4,0)</f>
        <v>Chemokine</v>
      </c>
      <c r="BB410" s="27" t="b">
        <f t="shared" si="3691"/>
        <v>1</v>
      </c>
      <c r="BC410" s="23">
        <f t="shared" si="3692"/>
        <v>257</v>
      </c>
      <c r="BD410" s="4" t="s">
        <v>23</v>
      </c>
      <c r="BE410" s="3" t="s">
        <v>23</v>
      </c>
      <c r="BF410" s="118" t="s">
        <v>23</v>
      </c>
      <c r="BG410" s="49" t="s">
        <v>1373</v>
      </c>
      <c r="BH410" s="49" t="s">
        <v>1373</v>
      </c>
      <c r="BI410" s="1"/>
      <c r="BJ410" s="70" t="s">
        <v>1283</v>
      </c>
      <c r="BK410" s="57" t="s">
        <v>1283</v>
      </c>
      <c r="BL410" s="57" t="s">
        <v>1283</v>
      </c>
      <c r="BM410" s="57" t="s">
        <v>1283</v>
      </c>
      <c r="BN410" s="57" t="s">
        <v>1283</v>
      </c>
      <c r="BO410" s="57" t="s">
        <v>1283</v>
      </c>
      <c r="BP410" s="57" t="s">
        <v>1283</v>
      </c>
      <c r="BQ410" s="57" t="s">
        <v>1283</v>
      </c>
      <c r="BR410" s="57" t="s">
        <v>1283</v>
      </c>
      <c r="BS410" s="57" t="s">
        <v>1283</v>
      </c>
      <c r="BT410" s="57" t="s">
        <v>1283</v>
      </c>
      <c r="BU410" s="57" t="s">
        <v>1283</v>
      </c>
      <c r="BV410" s="70">
        <f t="shared" si="3693"/>
        <v>25</v>
      </c>
      <c r="BW410" s="71">
        <f t="shared" si="3694"/>
        <v>62</v>
      </c>
      <c r="BX410" s="72">
        <f t="shared" si="3695"/>
        <v>66</v>
      </c>
      <c r="BY410" s="71" t="str">
        <f t="shared" si="3696"/>
        <v>-</v>
      </c>
      <c r="BZ410" s="72">
        <f t="shared" si="3697"/>
        <v>100</v>
      </c>
      <c r="CA410" s="71" t="str">
        <f t="shared" si="3698"/>
        <v>-</v>
      </c>
      <c r="CB410" s="72">
        <f t="shared" si="3699"/>
        <v>140</v>
      </c>
      <c r="CC410" s="71">
        <f t="shared" si="3700"/>
        <v>173</v>
      </c>
      <c r="CD410" s="72">
        <f t="shared" si="3701"/>
        <v>183</v>
      </c>
      <c r="CE410" s="71">
        <f t="shared" si="3702"/>
        <v>222</v>
      </c>
      <c r="CF410" s="72">
        <f t="shared" si="3703"/>
        <v>262</v>
      </c>
      <c r="CG410" s="71">
        <f t="shared" si="3704"/>
        <v>295</v>
      </c>
      <c r="CH410" s="70">
        <f t="shared" si="3705"/>
        <v>61</v>
      </c>
      <c r="CI410" s="71">
        <f t="shared" si="3706"/>
        <v>65</v>
      </c>
      <c r="CJ410" s="72">
        <f t="shared" si="3707"/>
        <v>95</v>
      </c>
      <c r="CK410" s="72" t="str">
        <f t="shared" si="3708"/>
        <v>-</v>
      </c>
      <c r="CL410" s="72">
        <f t="shared" si="3709"/>
        <v>134</v>
      </c>
      <c r="CM410" s="72" t="str">
        <f t="shared" si="3710"/>
        <v>-</v>
      </c>
      <c r="CN410" s="72">
        <f t="shared" si="3711"/>
        <v>164</v>
      </c>
      <c r="CO410" s="72">
        <f t="shared" si="3712"/>
        <v>175</v>
      </c>
      <c r="CP410" s="72">
        <f t="shared" si="3713"/>
        <v>218</v>
      </c>
      <c r="CQ410" s="72">
        <f t="shared" si="3714"/>
        <v>257</v>
      </c>
      <c r="CR410" s="72">
        <f t="shared" si="3715"/>
        <v>294</v>
      </c>
      <c r="CS410" s="72">
        <f t="shared" si="3716"/>
        <v>310</v>
      </c>
      <c r="CT410" s="23">
        <f t="shared" si="3717"/>
        <v>1</v>
      </c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6"/>
      <c r="LS410" s="6"/>
      <c r="LT410" s="6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  <c r="ND410" s="6"/>
      <c r="NE410" s="6"/>
      <c r="NF410" s="6"/>
      <c r="NG410" s="6"/>
      <c r="NH410" s="6"/>
      <c r="NI410" s="6"/>
      <c r="NJ410" s="6"/>
      <c r="NK410" s="6"/>
      <c r="NL410" s="6"/>
      <c r="NM410" s="6"/>
      <c r="NN410" s="6"/>
      <c r="NO410" s="6"/>
      <c r="NP410" s="6"/>
      <c r="NQ410" s="6"/>
      <c r="NR410" s="6"/>
      <c r="NS410" s="6"/>
      <c r="NT410" s="6"/>
      <c r="NU410" s="6"/>
      <c r="NV410" s="6"/>
      <c r="NW410" s="6"/>
      <c r="NX410" s="6"/>
      <c r="NY410" s="6"/>
      <c r="NZ410" s="6"/>
      <c r="OA410" s="6"/>
      <c r="OB410" s="6"/>
      <c r="OC410" s="6"/>
      <c r="OD410" s="6"/>
      <c r="OE410" s="6"/>
      <c r="OF410" s="6"/>
      <c r="OG410" s="6"/>
      <c r="OH410" s="6"/>
      <c r="OI410" s="6"/>
      <c r="OJ410" s="6"/>
      <c r="OK410" s="6"/>
      <c r="OL410" s="6"/>
      <c r="OM410" s="6"/>
      <c r="ON410" s="6"/>
      <c r="OO410" s="6"/>
      <c r="OP410" s="6"/>
      <c r="OQ410" s="6"/>
      <c r="OR410" s="6"/>
      <c r="OS410" s="6"/>
      <c r="OT410" s="6"/>
      <c r="OU410" s="6"/>
      <c r="OV410" s="6"/>
      <c r="OW410" s="6"/>
      <c r="OX410" s="6"/>
      <c r="OY410" s="6"/>
      <c r="OZ410" s="6"/>
      <c r="PA410" s="6"/>
      <c r="PB410" s="6"/>
      <c r="PC410" s="6"/>
      <c r="PD410" s="6"/>
      <c r="PE410" s="6"/>
      <c r="PF410" s="6"/>
      <c r="PG410" s="6"/>
      <c r="PH410" s="6"/>
      <c r="PI410" s="6"/>
      <c r="PJ410" s="6"/>
      <c r="PK410" s="6"/>
      <c r="PL410" s="6"/>
      <c r="PM410" s="6"/>
      <c r="PN410" s="6"/>
      <c r="PO410" s="6"/>
      <c r="PP410" s="6"/>
      <c r="PQ410" s="6"/>
      <c r="PR410" s="6"/>
      <c r="PS410" s="6"/>
      <c r="PT410" s="6"/>
      <c r="PU410" s="6"/>
      <c r="PV410" s="6"/>
      <c r="PW410" s="6"/>
      <c r="PX410" s="6"/>
      <c r="PY410" s="6"/>
      <c r="PZ410" s="6"/>
      <c r="QA410" s="6"/>
      <c r="QB410" s="6"/>
      <c r="QC410" s="6"/>
      <c r="QD410" s="6"/>
      <c r="QE410" s="6"/>
      <c r="QF410" s="6"/>
      <c r="QG410" s="6"/>
      <c r="QH410" s="6"/>
      <c r="QI410" s="6"/>
      <c r="QJ410" s="6"/>
      <c r="QK410" s="6"/>
      <c r="QL410" s="6"/>
      <c r="QM410" s="6"/>
      <c r="QN410" s="6"/>
      <c r="QO410" s="6"/>
      <c r="QP410" s="6"/>
      <c r="QQ410" s="6"/>
      <c r="QR410" s="6"/>
      <c r="QS410" s="6"/>
      <c r="QT410" s="6"/>
      <c r="QU410" s="6"/>
      <c r="QV410" s="6"/>
      <c r="QW410" s="6"/>
      <c r="QX410" s="6"/>
      <c r="QY410" s="6"/>
      <c r="QZ410" s="6"/>
      <c r="RA410" s="6"/>
      <c r="RB410" s="6"/>
      <c r="RC410" s="6"/>
      <c r="RD410" s="6"/>
      <c r="RE410" s="6"/>
      <c r="RF410" s="6"/>
      <c r="RG410" s="6"/>
      <c r="RH410" s="6"/>
      <c r="RI410" s="6"/>
      <c r="RJ410" s="6"/>
      <c r="RK410" s="6"/>
      <c r="RL410" s="6"/>
      <c r="RM410" s="6"/>
      <c r="RN410" s="6"/>
      <c r="RO410" s="6"/>
      <c r="RP410" s="6"/>
      <c r="RQ410" s="6"/>
      <c r="RR410" s="6"/>
      <c r="RS410" s="6"/>
      <c r="RT410" s="6"/>
      <c r="RU410" s="6"/>
      <c r="RV410" s="6"/>
      <c r="RW410" s="6"/>
      <c r="RX410" s="6"/>
      <c r="RY410" s="6"/>
      <c r="RZ410" s="6"/>
      <c r="SA410" s="6"/>
      <c r="SB410" s="6"/>
      <c r="SC410" s="6"/>
      <c r="SD410" s="6"/>
      <c r="SE410" s="6"/>
      <c r="SF410" s="6"/>
      <c r="SG410" s="6"/>
      <c r="SH410" s="6"/>
      <c r="SI410" s="6"/>
      <c r="SJ410" s="6"/>
      <c r="SK410" s="6"/>
      <c r="SL410" s="6"/>
      <c r="SM410" s="6"/>
      <c r="SN410" s="6"/>
      <c r="SO410" s="6"/>
      <c r="SP410" s="6"/>
      <c r="SQ410" s="6"/>
      <c r="SR410" s="6"/>
      <c r="SS410" s="6"/>
      <c r="ST410" s="6"/>
      <c r="SU410" s="6"/>
      <c r="SV410" s="6"/>
      <c r="SW410" s="6"/>
      <c r="SX410" s="6"/>
      <c r="SY410" s="6"/>
      <c r="SZ410" s="6"/>
      <c r="TA410" s="6"/>
      <c r="TB410" s="6"/>
      <c r="TC410" s="6"/>
      <c r="TD410" s="6"/>
      <c r="TE410" s="6"/>
      <c r="TF410" s="6"/>
      <c r="TG410" s="6"/>
      <c r="TH410" s="6"/>
      <c r="TI410" s="6"/>
      <c r="TJ410" s="6"/>
      <c r="TK410" s="6"/>
      <c r="TL410" s="6"/>
      <c r="TM410" s="6"/>
      <c r="TN410" s="6"/>
      <c r="TO410" s="6"/>
      <c r="TP410" s="6"/>
      <c r="TQ410" s="6"/>
      <c r="TR410" s="6"/>
      <c r="TS410" s="6"/>
      <c r="TT410" s="6"/>
      <c r="TU410" s="6"/>
      <c r="TV410" s="6"/>
      <c r="TW410" s="6"/>
      <c r="TX410" s="6"/>
      <c r="TY410" s="6"/>
      <c r="TZ410" s="6"/>
      <c r="UA410" s="6"/>
      <c r="UB410" s="6"/>
      <c r="UC410" s="6"/>
      <c r="UD410" s="6"/>
      <c r="UE410" s="6"/>
      <c r="UF410" s="6"/>
      <c r="UG410" s="6"/>
      <c r="UH410" s="6"/>
      <c r="UI410" s="6"/>
      <c r="UJ410" s="6"/>
      <c r="UK410" s="6"/>
      <c r="UL410" s="6"/>
      <c r="UM410" s="6"/>
      <c r="UN410" s="6"/>
      <c r="UO410" s="6"/>
      <c r="UP410" s="6"/>
      <c r="UQ410" s="6"/>
      <c r="UR410" s="6"/>
      <c r="US410" s="6"/>
      <c r="UT410" s="6"/>
      <c r="UU410" s="6"/>
      <c r="UV410" s="6"/>
      <c r="UW410" s="6"/>
      <c r="UX410" s="6"/>
      <c r="UY410" s="6"/>
      <c r="UZ410" s="6"/>
      <c r="VA410" s="6"/>
      <c r="VB410" s="6"/>
      <c r="VC410" s="6"/>
      <c r="VD410" s="6"/>
      <c r="VE410" s="6"/>
      <c r="VF410" s="6"/>
      <c r="VG410" s="6"/>
      <c r="VH410" s="6"/>
      <c r="VI410" s="6"/>
      <c r="VJ410" s="6"/>
      <c r="VK410" s="6"/>
      <c r="VL410" s="6"/>
      <c r="VM410" s="6"/>
      <c r="VN410" s="6"/>
      <c r="VO410" s="6"/>
      <c r="VP410" s="6"/>
      <c r="VQ410" s="6"/>
      <c r="VR410" s="6"/>
      <c r="VS410" s="6"/>
      <c r="VT410" s="6"/>
      <c r="VU410" s="6"/>
      <c r="VV410" s="6"/>
      <c r="VW410" s="6"/>
      <c r="VX410" s="6"/>
      <c r="VY410" s="6"/>
      <c r="VZ410" s="6"/>
      <c r="WA410" s="6"/>
      <c r="WB410" s="6"/>
      <c r="WC410" s="6"/>
      <c r="WD410" s="6"/>
      <c r="WE410" s="6"/>
      <c r="WF410" s="6"/>
      <c r="WG410" s="6"/>
      <c r="WH410" s="6"/>
      <c r="WI410" s="6"/>
      <c r="WJ410" s="6"/>
      <c r="WK410" s="6"/>
      <c r="WL410" s="6"/>
      <c r="WM410" s="6"/>
      <c r="WN410" s="6"/>
      <c r="WO410" s="6"/>
      <c r="WP410" s="6"/>
      <c r="WQ410" s="6"/>
      <c r="WR410" s="6"/>
      <c r="WS410" s="6"/>
      <c r="WT410" s="6"/>
      <c r="WU410" s="6"/>
      <c r="WV410" s="6"/>
      <c r="WW410" s="6"/>
      <c r="WX410" s="6"/>
      <c r="WY410" s="6"/>
      <c r="WZ410" s="6"/>
      <c r="XA410" s="6"/>
      <c r="XB410" s="6"/>
      <c r="XC410" s="6"/>
      <c r="XD410" s="6"/>
      <c r="XE410" s="6"/>
      <c r="XF410" s="6"/>
      <c r="XG410" s="6"/>
      <c r="XH410" s="6"/>
      <c r="XI410" s="6"/>
      <c r="XJ410" s="6"/>
      <c r="XK410" s="6"/>
      <c r="XL410" s="6"/>
      <c r="XM410" s="6"/>
      <c r="XN410" s="6"/>
      <c r="XO410" s="6"/>
      <c r="XP410" s="6"/>
      <c r="XQ410" s="6"/>
      <c r="XR410" s="6"/>
      <c r="XS410" s="6"/>
      <c r="XT410" s="6"/>
      <c r="XU410" s="6"/>
      <c r="XV410" s="6"/>
      <c r="XW410" s="6"/>
      <c r="XX410" s="6"/>
      <c r="XY410" s="6"/>
      <c r="XZ410" s="6"/>
      <c r="YA410" s="6"/>
      <c r="YB410" s="6"/>
      <c r="YC410" s="6"/>
      <c r="YD410" s="6"/>
      <c r="YE410" s="6"/>
      <c r="YF410" s="6"/>
      <c r="YG410" s="6"/>
      <c r="YH410" s="6"/>
      <c r="YI410" s="6"/>
      <c r="YJ410" s="6"/>
      <c r="YK410" s="6"/>
      <c r="YL410" s="6"/>
      <c r="YM410" s="6"/>
      <c r="YN410" s="6"/>
      <c r="YO410" s="6"/>
      <c r="YP410" s="6"/>
      <c r="YQ410" s="6"/>
      <c r="YR410" s="6"/>
      <c r="YS410" s="6"/>
      <c r="YT410" s="6"/>
      <c r="YU410" s="6"/>
      <c r="YV410" s="6"/>
      <c r="YW410" s="6"/>
      <c r="YX410" s="6"/>
      <c r="YY410" s="6"/>
      <c r="YZ410" s="6"/>
      <c r="ZA410" s="6"/>
      <c r="ZB410" s="6"/>
      <c r="ZC410" s="6"/>
      <c r="ZD410" s="6"/>
      <c r="ZE410" s="6"/>
      <c r="ZF410" s="6"/>
      <c r="ZG410" s="6"/>
      <c r="ZH410" s="6"/>
      <c r="ZI410" s="6"/>
      <c r="ZJ410" s="6"/>
      <c r="ZK410" s="6"/>
      <c r="ZL410" s="6"/>
      <c r="ZM410" s="6"/>
      <c r="ZN410" s="6"/>
      <c r="ZO410" s="6"/>
      <c r="ZP410" s="6"/>
      <c r="ZQ410" s="6"/>
      <c r="ZR410" s="6"/>
      <c r="ZS410" s="6"/>
      <c r="ZT410" s="6"/>
      <c r="ZU410" s="6"/>
      <c r="ZV410" s="6"/>
      <c r="ZW410" s="6"/>
      <c r="ZX410" s="6"/>
      <c r="ZY410" s="6"/>
      <c r="ZZ410" s="6"/>
      <c r="AAA410" s="6"/>
      <c r="AAB410" s="6"/>
      <c r="AAC410" s="6"/>
      <c r="AAD410" s="6"/>
      <c r="AAE410" s="6"/>
      <c r="AAF410" s="6"/>
      <c r="AAG410" s="6"/>
      <c r="AAH410" s="6"/>
      <c r="AAI410" s="6"/>
      <c r="AAJ410" s="6"/>
      <c r="AAK410" s="6"/>
      <c r="AAL410" s="6"/>
      <c r="AAM410" s="6"/>
      <c r="AAN410" s="6"/>
      <c r="AAO410" s="6"/>
      <c r="AAP410" s="6"/>
      <c r="AAQ410" s="6"/>
      <c r="AAR410" s="6"/>
      <c r="AAS410" s="6"/>
      <c r="AAT410" s="6"/>
      <c r="AAU410" s="6"/>
      <c r="AAV410" s="6"/>
      <c r="AAW410" s="6"/>
      <c r="AAX410" s="6"/>
      <c r="AAY410" s="6"/>
      <c r="AAZ410" s="6"/>
      <c r="ABA410" s="6"/>
      <c r="ABB410" s="6"/>
      <c r="ABC410" s="6"/>
      <c r="ABD410" s="6"/>
      <c r="ABE410" s="6"/>
      <c r="ABF410" s="6"/>
      <c r="ABG410" s="6"/>
      <c r="ABH410" s="6"/>
      <c r="ABI410" s="6"/>
      <c r="ABJ410" s="6"/>
      <c r="ABK410" s="6"/>
      <c r="ABL410" s="6"/>
      <c r="ABM410" s="6"/>
      <c r="ABN410" s="6"/>
      <c r="ABO410" s="6"/>
      <c r="ABP410" s="6"/>
      <c r="ABQ410" s="6"/>
      <c r="ABR410" s="6"/>
      <c r="ABS410" s="6"/>
      <c r="ABT410" s="6"/>
      <c r="ABU410" s="6"/>
      <c r="ABV410" s="6"/>
      <c r="ABW410" s="6"/>
      <c r="ABX410" s="6"/>
      <c r="ABY410" s="6"/>
      <c r="ABZ410" s="6"/>
      <c r="ACA410" s="6"/>
      <c r="ACB410" s="6"/>
      <c r="ACC410" s="6"/>
      <c r="ACD410" s="6"/>
      <c r="ACE410" s="6"/>
      <c r="ACF410" s="6"/>
      <c r="ACG410" s="6"/>
      <c r="ACH410" s="6"/>
      <c r="ACI410" s="6"/>
      <c r="ACJ410" s="6"/>
      <c r="ACK410" s="6"/>
      <c r="ACL410" s="6"/>
      <c r="ACM410" s="6"/>
      <c r="ACN410" s="6"/>
      <c r="ACO410" s="6"/>
      <c r="ACP410" s="6"/>
      <c r="ACQ410" s="6"/>
      <c r="ACR410" s="6"/>
      <c r="ACS410" s="6"/>
      <c r="ACT410" s="6"/>
      <c r="ACU410" s="6"/>
      <c r="ACV410" s="6"/>
      <c r="ACW410" s="6"/>
      <c r="ACX410" s="6"/>
      <c r="ACY410" s="6"/>
      <c r="ACZ410" s="6"/>
      <c r="ADA410" s="6"/>
      <c r="ADB410" s="6"/>
      <c r="ADC410" s="6"/>
      <c r="ADD410" s="6"/>
      <c r="ADE410" s="6"/>
      <c r="ADF410" s="6"/>
      <c r="ADG410" s="6"/>
      <c r="ADH410" s="6"/>
      <c r="ADI410" s="6"/>
      <c r="ADJ410" s="6"/>
      <c r="ADK410" s="6"/>
      <c r="ADL410" s="6"/>
      <c r="ADM410" s="6"/>
      <c r="ADN410" s="6"/>
      <c r="ADO410" s="6"/>
      <c r="ADP410" s="6"/>
      <c r="ADQ410" s="6"/>
      <c r="ADR410" s="6"/>
      <c r="ADS410" s="6"/>
      <c r="ADT410" s="6"/>
      <c r="ADU410" s="6"/>
      <c r="ADV410" s="6"/>
      <c r="ADW410" s="6"/>
      <c r="ADX410" s="6"/>
      <c r="ADY410" s="6"/>
      <c r="ADZ410" s="6"/>
      <c r="AEA410" s="6"/>
      <c r="AEB410" s="6"/>
      <c r="AEC410" s="6"/>
      <c r="AED410" s="6"/>
      <c r="AEE410" s="6"/>
      <c r="AEF410" s="6"/>
      <c r="AEG410" s="6"/>
      <c r="AEH410" s="6"/>
      <c r="AEI410" s="6"/>
      <c r="AEJ410" s="6"/>
      <c r="AEK410" s="6"/>
      <c r="AEL410" s="6"/>
      <c r="AEM410" s="6"/>
      <c r="AEN410" s="6"/>
      <c r="AEO410" s="6"/>
      <c r="AEP410" s="6"/>
      <c r="AEQ410" s="6"/>
      <c r="AER410" s="6"/>
      <c r="AES410" s="6"/>
      <c r="AET410" s="6"/>
      <c r="AEU410" s="6"/>
      <c r="AEV410" s="6"/>
      <c r="AEW410" s="6"/>
      <c r="AEX410" s="6"/>
      <c r="AEY410" s="6"/>
      <c r="AEZ410" s="6"/>
      <c r="AFA410" s="6"/>
      <c r="AFB410" s="6"/>
      <c r="AFC410" s="6"/>
      <c r="AFD410" s="6"/>
      <c r="AFE410" s="6"/>
      <c r="AFF410" s="6"/>
      <c r="AFG410" s="6"/>
      <c r="AFH410" s="6"/>
      <c r="AFI410" s="6"/>
      <c r="AFJ410" s="6"/>
      <c r="AFK410" s="6"/>
      <c r="AFL410" s="6"/>
      <c r="AFM410" s="6"/>
      <c r="AFN410" s="6"/>
      <c r="AFO410" s="6"/>
      <c r="AFP410" s="6"/>
      <c r="AFQ410" s="6"/>
      <c r="AFR410" s="6"/>
      <c r="AFS410" s="6"/>
      <c r="AFT410" s="6"/>
      <c r="AFU410" s="6"/>
      <c r="AFV410" s="6"/>
      <c r="AFW410" s="6"/>
      <c r="AFX410" s="6"/>
      <c r="AFY410" s="6"/>
      <c r="AFZ410" s="6"/>
      <c r="AGA410" s="6"/>
      <c r="AGB410" s="6"/>
      <c r="AGC410" s="6"/>
      <c r="AGD410" s="6"/>
      <c r="AGE410" s="6"/>
      <c r="AGF410" s="6"/>
      <c r="AGG410" s="6"/>
      <c r="AGH410" s="6"/>
      <c r="AGI410" s="6"/>
      <c r="AGJ410" s="6"/>
      <c r="AGK410" s="6"/>
      <c r="AGL410" s="6"/>
      <c r="AGM410" s="6"/>
      <c r="AGN410" s="6"/>
      <c r="AGO410" s="6"/>
      <c r="AGP410" s="6"/>
      <c r="AGQ410" s="6"/>
      <c r="AGR410" s="6"/>
      <c r="AGS410" s="6"/>
      <c r="AGT410" s="6"/>
      <c r="AGU410" s="6"/>
      <c r="AGV410" s="6"/>
      <c r="AGW410" s="6"/>
      <c r="AGX410" s="6"/>
      <c r="AGY410" s="6"/>
      <c r="AGZ410" s="6"/>
      <c r="AHA410" s="6"/>
      <c r="AHB410" s="6"/>
      <c r="AHC410" s="6"/>
      <c r="AHD410" s="6"/>
      <c r="AHE410" s="6"/>
      <c r="AHF410" s="6"/>
      <c r="AHG410" s="6"/>
      <c r="AHH410" s="6"/>
      <c r="AHI410" s="6"/>
      <c r="AHJ410" s="6"/>
      <c r="AHK410" s="6"/>
      <c r="AHL410" s="6"/>
      <c r="AHM410" s="6"/>
      <c r="AHN410" s="6"/>
      <c r="AHO410" s="6"/>
      <c r="AHP410" s="6"/>
      <c r="AHQ410" s="6"/>
      <c r="AHR410" s="6"/>
      <c r="AHS410" s="6"/>
      <c r="AHT410" s="6"/>
      <c r="AHU410" s="6"/>
      <c r="AHV410" s="6"/>
      <c r="AHW410" s="6"/>
      <c r="AHX410" s="6"/>
      <c r="AHY410" s="6"/>
      <c r="AHZ410" s="6"/>
      <c r="AIA410" s="6"/>
      <c r="AIB410" s="6"/>
      <c r="AIC410" s="6"/>
      <c r="AID410" s="6"/>
      <c r="AIE410" s="6"/>
      <c r="AIF410" s="6"/>
      <c r="AIG410" s="6"/>
      <c r="AIH410" s="6"/>
      <c r="AII410" s="6"/>
      <c r="AIJ410" s="6"/>
      <c r="AIK410" s="6"/>
      <c r="AIL410" s="6"/>
      <c r="AIM410" s="6"/>
      <c r="AIN410" s="6"/>
      <c r="AIO410" s="6"/>
      <c r="AIP410" s="6"/>
      <c r="AIQ410" s="6"/>
      <c r="AIR410" s="6"/>
      <c r="AIS410" s="6"/>
      <c r="AIT410" s="6"/>
      <c r="AIU410" s="6"/>
      <c r="AIV410" s="6"/>
      <c r="AIW410" s="6"/>
      <c r="AIX410" s="6"/>
      <c r="AIY410" s="6"/>
      <c r="AIZ410" s="6"/>
      <c r="AJA410" s="6"/>
      <c r="AJB410" s="6"/>
      <c r="AJC410" s="6"/>
      <c r="AJD410" s="6"/>
      <c r="AJE410" s="6"/>
      <c r="AJF410" s="6"/>
      <c r="AJG410" s="6"/>
      <c r="AJH410" s="6"/>
      <c r="AJI410" s="6"/>
      <c r="AJJ410" s="6"/>
      <c r="AJK410" s="6"/>
      <c r="AJL410" s="6"/>
      <c r="AJM410" s="6"/>
      <c r="AJN410" s="6"/>
      <c r="AJO410" s="6"/>
      <c r="AJP410" s="6"/>
      <c r="AJQ410" s="6"/>
      <c r="AJR410" s="6"/>
      <c r="AJS410" s="6"/>
      <c r="AJT410" s="6"/>
      <c r="AJU410" s="6"/>
      <c r="AJV410" s="6"/>
      <c r="AJW410" s="6"/>
      <c r="AJX410" s="6"/>
      <c r="AJY410" s="6"/>
      <c r="AJZ410" s="6"/>
      <c r="AKA410" s="6"/>
      <c r="AKB410" s="6"/>
      <c r="AKC410" s="6"/>
      <c r="AKD410" s="6"/>
      <c r="AKE410" s="6"/>
      <c r="AKF410" s="6"/>
      <c r="AKG410" s="6"/>
      <c r="AKH410" s="6"/>
      <c r="AKI410" s="6"/>
      <c r="AKJ410" s="6"/>
      <c r="AKK410" s="6"/>
      <c r="AKL410" s="6"/>
      <c r="AKM410" s="6"/>
      <c r="AKN410" s="6"/>
      <c r="AKO410" s="6"/>
      <c r="AKP410" s="6"/>
      <c r="AKQ410" s="6"/>
      <c r="AKR410" s="6"/>
      <c r="AKS410" s="6"/>
      <c r="AKT410" s="6"/>
      <c r="AKU410" s="6"/>
      <c r="AKV410" s="6"/>
      <c r="AKW410" s="6"/>
      <c r="AKX410" s="6"/>
      <c r="AKY410" s="6"/>
      <c r="AKZ410" s="6"/>
      <c r="ALA410" s="6"/>
      <c r="ALB410" s="6"/>
      <c r="ALC410" s="6"/>
      <c r="ALD410" s="6"/>
      <c r="ALE410" s="6"/>
      <c r="ALF410" s="6"/>
      <c r="ALG410" s="6"/>
      <c r="ALH410" s="6"/>
      <c r="ALI410" s="6"/>
      <c r="ALJ410" s="6"/>
      <c r="ALK410" s="6"/>
      <c r="ALL410" s="6"/>
      <c r="ALM410" s="6"/>
      <c r="ALN410" s="6"/>
      <c r="ALO410" s="6"/>
      <c r="ALP410" s="6"/>
      <c r="ALQ410" s="6"/>
      <c r="ALR410" s="6"/>
      <c r="ALS410" s="6"/>
      <c r="ALT410" s="6"/>
      <c r="ALU410" s="6"/>
      <c r="ALV410" s="6"/>
      <c r="ALW410" s="6"/>
      <c r="ALX410" s="6"/>
      <c r="ALY410" s="6"/>
      <c r="ALZ410" s="6"/>
      <c r="AMA410" s="6"/>
      <c r="AMB410" s="6"/>
      <c r="AMC410" s="6"/>
      <c r="AMD410" s="6"/>
      <c r="AME410" s="6"/>
      <c r="AMF410" s="6"/>
      <c r="AMG410" s="6"/>
      <c r="AMH410" s="6"/>
      <c r="AMI410" s="6"/>
      <c r="AMJ410" s="6"/>
      <c r="AMK410" s="6"/>
      <c r="AML410" s="6"/>
      <c r="AMM410" s="6"/>
      <c r="AMN410" s="6"/>
      <c r="AMO410" s="6"/>
      <c r="AMP410" s="6"/>
    </row>
    <row r="411" spans="1:1030" x14ac:dyDescent="0.2">
      <c r="A411" s="3" t="str">
        <f t="shared" si="3718"/>
        <v>q80km9_hcmv_5WB1</v>
      </c>
      <c r="B411" s="2" t="s">
        <v>1503</v>
      </c>
      <c r="C411" s="3" t="s">
        <v>1505</v>
      </c>
      <c r="D411" s="3" t="str">
        <f>IFERROR(MID(VLOOKUP($B411,Seqs!$A:$B,2,0),E411,1),"")</f>
        <v>F</v>
      </c>
      <c r="E411" s="3">
        <v>25</v>
      </c>
      <c r="F411" s="3" t="str">
        <f>IFERROR(MID(VLOOKUP($B411,Seqs!$A:$B,2,0),G411,1),"")</f>
        <v>W</v>
      </c>
      <c r="G411" s="3">
        <v>60</v>
      </c>
      <c r="H411" s="3" t="str">
        <f>IFERROR(MID(VLOOKUP($B411,Seqs!$A:$B,2,0),I411,1),"")</f>
        <v/>
      </c>
      <c r="I411" s="23" t="s">
        <v>23</v>
      </c>
      <c r="J411" s="3" t="str">
        <f>IFERROR(MID(VLOOKUP($B411,Seqs!$A:$B,2,0),K411,1),"")</f>
        <v/>
      </c>
      <c r="K411" s="23" t="s">
        <v>23</v>
      </c>
      <c r="L411" s="3" t="str">
        <f>IFERROR(MID(VLOOKUP($B411,Seqs!$A:$B,2,0),M411,1),"")</f>
        <v>C</v>
      </c>
      <c r="M411" s="3">
        <v>66</v>
      </c>
      <c r="N411" s="3" t="str">
        <f>IFERROR(MID(VLOOKUP($B411,Seqs!$A:$B,2,0),O411,1),"")</f>
        <v>D</v>
      </c>
      <c r="O411" s="3">
        <v>95</v>
      </c>
      <c r="P411" s="3" t="str">
        <f>IFERROR(MID(VLOOKUP($B411,Seqs!$A:$B,2,0),Q411,1),"")</f>
        <v/>
      </c>
      <c r="Q411" s="3" t="s">
        <v>23</v>
      </c>
      <c r="R411" s="3" t="str">
        <f>IFERROR(MID(VLOOKUP($B411,Seqs!$A:$B,2,0),S411,1),"")</f>
        <v/>
      </c>
      <c r="S411" s="3" t="s">
        <v>23</v>
      </c>
      <c r="T411" s="3" t="str">
        <f>IFERROR(MID(VLOOKUP($B411,Seqs!$A:$B,2,0),U411,1),"")</f>
        <v>A</v>
      </c>
      <c r="U411" s="3">
        <v>100</v>
      </c>
      <c r="V411" s="3" t="str">
        <f>IFERROR(MID(VLOOKUP($B411,Seqs!$A:$B,2,0),W411,1),"")</f>
        <v>V</v>
      </c>
      <c r="W411" s="3">
        <v>134</v>
      </c>
      <c r="X411" s="3" t="str">
        <f>IFERROR(MID(VLOOKUP($B411,Seqs!$A:$B,2,0),Y411,1),"")</f>
        <v/>
      </c>
      <c r="Y411" s="3" t="s">
        <v>23</v>
      </c>
      <c r="Z411" s="3" t="str">
        <f>IFERROR(MID(VLOOKUP($B411,Seqs!$A:$B,2,0),AA411,1),"")</f>
        <v/>
      </c>
      <c r="AA411" s="3" t="s">
        <v>23</v>
      </c>
      <c r="AB411" s="3" t="str">
        <f>IFERROR(MID(VLOOKUP($B411,Seqs!$A:$B,2,0),AC411,1),"")</f>
        <v>P</v>
      </c>
      <c r="AC411" s="3">
        <v>140</v>
      </c>
      <c r="AD411" s="3" t="str">
        <f>IFERROR(MID(VLOOKUP($B411,Seqs!$A:$B,2,0),AE411,1),"")</f>
        <v>M</v>
      </c>
      <c r="AE411" s="3">
        <v>164</v>
      </c>
      <c r="AF411" s="3" t="str">
        <f>IFERROR(MID(VLOOKUP($B411,Seqs!$A:$B,2,0),AG411,1),"")</f>
        <v>C</v>
      </c>
      <c r="AG411" s="3">
        <v>173</v>
      </c>
      <c r="AH411" s="3" t="str">
        <f>IFERROR(MID(VLOOKUP($B411,Seqs!$A:$B,2,0),AI411,1),"")</f>
        <v>T</v>
      </c>
      <c r="AI411" s="3">
        <v>175</v>
      </c>
      <c r="AJ411" s="3" t="str">
        <f>IFERROR(MID(VLOOKUP($B411,Seqs!$A:$B,2,0),AK411,1),"")</f>
        <v>S</v>
      </c>
      <c r="AK411" s="3">
        <v>183</v>
      </c>
      <c r="AL411" s="3" t="str">
        <f>IFERROR(MID(VLOOKUP($B411,Seqs!$A:$B,2,0),AM411,1),"")</f>
        <v>S</v>
      </c>
      <c r="AM411" s="3">
        <v>218</v>
      </c>
      <c r="AN411" s="3" t="str">
        <f>IFERROR(MID(VLOOKUP($B411,Seqs!$A:$B,2,0),AO411,1),"")</f>
        <v>H</v>
      </c>
      <c r="AO411" s="3">
        <v>222</v>
      </c>
      <c r="AP411" s="3" t="str">
        <f>IFERROR(MID(VLOOKUP($B411,Seqs!$A:$B,2,0),AQ411,1),"")</f>
        <v>K</v>
      </c>
      <c r="AQ411" s="3">
        <v>257</v>
      </c>
      <c r="AR411" s="3" t="str">
        <f>IFERROR(MID(VLOOKUP($B411,Seqs!$A:$B,2,0),AS411,1),"")</f>
        <v>S</v>
      </c>
      <c r="AS411" s="3">
        <v>262</v>
      </c>
      <c r="AT411" s="3" t="str">
        <f>IFERROR(MID(VLOOKUP($B411,Seqs!$A:$B,2,0),AU411,1),"")</f>
        <v>V</v>
      </c>
      <c r="AU411" s="3">
        <v>294</v>
      </c>
      <c r="AV411" s="3" t="str">
        <f>IFERROR(MID(VLOOKUP($B411,Seqs!$A:$B,2,0),AW411,1),"")</f>
        <v>G</v>
      </c>
      <c r="AW411" s="3">
        <v>295</v>
      </c>
      <c r="AX411" s="3" t="str">
        <f>IFERROR(MID(VLOOKUP($B411,Seqs!$A:$B,2,0),AY411,1),"")</f>
        <v>R</v>
      </c>
      <c r="AY411" s="3">
        <v>310</v>
      </c>
      <c r="AZ411" s="77" t="str">
        <f>VLOOKUP(B411,Classification!A:D,2,0)</f>
        <v>A</v>
      </c>
      <c r="BA411" s="94" t="str">
        <f>VLOOKUP(B411,Classification!A:D,4,0)</f>
        <v>Chemokine</v>
      </c>
      <c r="BB411" s="27" t="b">
        <f t="shared" si="3691"/>
        <v>1</v>
      </c>
      <c r="BC411" s="23">
        <f t="shared" si="3692"/>
        <v>253</v>
      </c>
      <c r="BD411" s="4" t="s">
        <v>1371</v>
      </c>
      <c r="BE411" s="3" t="s">
        <v>1287</v>
      </c>
      <c r="BF411" s="118">
        <v>3.51</v>
      </c>
      <c r="BG411" s="49" t="s">
        <v>1</v>
      </c>
      <c r="BH411" s="49" t="s">
        <v>1</v>
      </c>
      <c r="BI411" s="1"/>
      <c r="BJ411" s="70" t="s">
        <v>1283</v>
      </c>
      <c r="BK411" s="57" t="s">
        <v>1283</v>
      </c>
      <c r="BL411" s="57" t="s">
        <v>1283</v>
      </c>
      <c r="BM411" s="57" t="s">
        <v>1283</v>
      </c>
      <c r="BN411" s="57" t="s">
        <v>1283</v>
      </c>
      <c r="BO411" s="57" t="s">
        <v>1283</v>
      </c>
      <c r="BP411" s="57" t="s">
        <v>1283</v>
      </c>
      <c r="BQ411" s="57" t="s">
        <v>1283</v>
      </c>
      <c r="BR411" s="57" t="s">
        <v>1283</v>
      </c>
      <c r="BS411" s="57" t="s">
        <v>1283</v>
      </c>
      <c r="BT411" s="57" t="s">
        <v>1283</v>
      </c>
      <c r="BU411" s="57" t="s">
        <v>1283</v>
      </c>
      <c r="BV411" s="70">
        <f t="shared" si="3693"/>
        <v>25</v>
      </c>
      <c r="BW411" s="71" t="str">
        <f t="shared" si="3694"/>
        <v>-</v>
      </c>
      <c r="BX411" s="72">
        <f t="shared" si="3695"/>
        <v>66</v>
      </c>
      <c r="BY411" s="71" t="str">
        <f t="shared" si="3696"/>
        <v>-</v>
      </c>
      <c r="BZ411" s="72">
        <f t="shared" si="3697"/>
        <v>100</v>
      </c>
      <c r="CA411" s="71" t="str">
        <f t="shared" si="3698"/>
        <v>-</v>
      </c>
      <c r="CB411" s="72">
        <f t="shared" si="3699"/>
        <v>140</v>
      </c>
      <c r="CC411" s="71">
        <f t="shared" si="3700"/>
        <v>173</v>
      </c>
      <c r="CD411" s="72">
        <f t="shared" si="3701"/>
        <v>183</v>
      </c>
      <c r="CE411" s="71">
        <f t="shared" si="3702"/>
        <v>222</v>
      </c>
      <c r="CF411" s="72">
        <f t="shared" si="3703"/>
        <v>262</v>
      </c>
      <c r="CG411" s="71">
        <f t="shared" si="3704"/>
        <v>295</v>
      </c>
      <c r="CH411" s="70">
        <f t="shared" si="3705"/>
        <v>60</v>
      </c>
      <c r="CI411" s="71" t="str">
        <f t="shared" si="3706"/>
        <v>-</v>
      </c>
      <c r="CJ411" s="72">
        <f t="shared" si="3707"/>
        <v>95</v>
      </c>
      <c r="CK411" s="72" t="str">
        <f t="shared" si="3708"/>
        <v>-</v>
      </c>
      <c r="CL411" s="72">
        <f t="shared" si="3709"/>
        <v>134</v>
      </c>
      <c r="CM411" s="72" t="str">
        <f t="shared" si="3710"/>
        <v>-</v>
      </c>
      <c r="CN411" s="72">
        <f t="shared" si="3711"/>
        <v>164</v>
      </c>
      <c r="CO411" s="72">
        <f t="shared" si="3712"/>
        <v>175</v>
      </c>
      <c r="CP411" s="72">
        <f t="shared" si="3713"/>
        <v>218</v>
      </c>
      <c r="CQ411" s="72">
        <f t="shared" si="3714"/>
        <v>257</v>
      </c>
      <c r="CR411" s="72">
        <f t="shared" si="3715"/>
        <v>294</v>
      </c>
      <c r="CS411" s="72">
        <f t="shared" si="3716"/>
        <v>310</v>
      </c>
      <c r="CT411" s="23" t="e">
        <f t="shared" si="3717"/>
        <v>#VALUE!</v>
      </c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Q411" s="6"/>
      <c r="KR411" s="6"/>
      <c r="KS411" s="6"/>
      <c r="KT411" s="6"/>
      <c r="KU411" s="6"/>
      <c r="KV411" s="6"/>
      <c r="KW411" s="6"/>
      <c r="KX411" s="6"/>
      <c r="KY411" s="6"/>
      <c r="KZ411" s="6"/>
      <c r="LA411" s="6"/>
      <c r="LB411" s="6"/>
      <c r="LC411" s="6"/>
      <c r="LD411" s="6"/>
      <c r="LE411" s="6"/>
      <c r="LF411" s="6"/>
      <c r="LG411" s="6"/>
      <c r="LH411" s="6"/>
      <c r="LI411" s="6"/>
      <c r="LJ411" s="6"/>
      <c r="LK411" s="6"/>
      <c r="LL411" s="6"/>
      <c r="LM411" s="6"/>
      <c r="LN411" s="6"/>
      <c r="LO411" s="6"/>
      <c r="LP411" s="6"/>
      <c r="LQ411" s="6"/>
      <c r="LR411" s="6"/>
      <c r="LS411" s="6"/>
      <c r="LT411" s="6"/>
      <c r="LU411" s="6"/>
      <c r="LV411" s="6"/>
      <c r="LW411" s="6"/>
      <c r="LX411" s="6"/>
      <c r="LY411" s="6"/>
      <c r="LZ411" s="6"/>
      <c r="MA411" s="6"/>
      <c r="MB411" s="6"/>
      <c r="MC411" s="6"/>
      <c r="MD411" s="6"/>
      <c r="ME411" s="6"/>
      <c r="MF411" s="6"/>
      <c r="MG411" s="6"/>
      <c r="MH411" s="6"/>
      <c r="MI411" s="6"/>
      <c r="MJ411" s="6"/>
      <c r="MK411" s="6"/>
      <c r="ML411" s="6"/>
      <c r="MM411" s="6"/>
      <c r="MN411" s="6"/>
      <c r="MO411" s="6"/>
      <c r="MP411" s="6"/>
      <c r="MQ411" s="6"/>
      <c r="MR411" s="6"/>
      <c r="MS411" s="6"/>
      <c r="MT411" s="6"/>
      <c r="MU411" s="6"/>
      <c r="MV411" s="6"/>
      <c r="MW411" s="6"/>
      <c r="MX411" s="6"/>
      <c r="MY411" s="6"/>
      <c r="MZ411" s="6"/>
      <c r="NA411" s="6"/>
      <c r="NB411" s="6"/>
      <c r="NC411" s="6"/>
      <c r="ND411" s="6"/>
      <c r="NE411" s="6"/>
      <c r="NF411" s="6"/>
      <c r="NG411" s="6"/>
      <c r="NH411" s="6"/>
      <c r="NI411" s="6"/>
      <c r="NJ411" s="6"/>
      <c r="NK411" s="6"/>
      <c r="NL411" s="6"/>
      <c r="NM411" s="6"/>
      <c r="NN411" s="6"/>
      <c r="NO411" s="6"/>
      <c r="NP411" s="6"/>
      <c r="NQ411" s="6"/>
      <c r="NR411" s="6"/>
      <c r="NS411" s="6"/>
      <c r="NT411" s="6"/>
      <c r="NU411" s="6"/>
      <c r="NV411" s="6"/>
      <c r="NW411" s="6"/>
      <c r="NX411" s="6"/>
      <c r="NY411" s="6"/>
      <c r="NZ411" s="6"/>
      <c r="OA411" s="6"/>
      <c r="OB411" s="6"/>
      <c r="OC411" s="6"/>
      <c r="OD411" s="6"/>
      <c r="OE411" s="6"/>
      <c r="OF411" s="6"/>
      <c r="OG411" s="6"/>
      <c r="OH411" s="6"/>
      <c r="OI411" s="6"/>
      <c r="OJ411" s="6"/>
      <c r="OK411" s="6"/>
      <c r="OL411" s="6"/>
      <c r="OM411" s="6"/>
      <c r="ON411" s="6"/>
      <c r="OO411" s="6"/>
      <c r="OP411" s="6"/>
      <c r="OQ411" s="6"/>
      <c r="OR411" s="6"/>
      <c r="OS411" s="6"/>
      <c r="OT411" s="6"/>
      <c r="OU411" s="6"/>
      <c r="OV411" s="6"/>
      <c r="OW411" s="6"/>
      <c r="OX411" s="6"/>
      <c r="OY411" s="6"/>
      <c r="OZ411" s="6"/>
      <c r="PA411" s="6"/>
      <c r="PB411" s="6"/>
      <c r="PC411" s="6"/>
      <c r="PD411" s="6"/>
      <c r="PE411" s="6"/>
      <c r="PF411" s="6"/>
      <c r="PG411" s="6"/>
      <c r="PH411" s="6"/>
      <c r="PI411" s="6"/>
      <c r="PJ411" s="6"/>
      <c r="PK411" s="6"/>
      <c r="PL411" s="6"/>
      <c r="PM411" s="6"/>
      <c r="PN411" s="6"/>
      <c r="PO411" s="6"/>
      <c r="PP411" s="6"/>
      <c r="PQ411" s="6"/>
      <c r="PR411" s="6"/>
      <c r="PS411" s="6"/>
      <c r="PT411" s="6"/>
      <c r="PU411" s="6"/>
      <c r="PV411" s="6"/>
      <c r="PW411" s="6"/>
      <c r="PX411" s="6"/>
      <c r="PY411" s="6"/>
      <c r="PZ411" s="6"/>
      <c r="QA411" s="6"/>
      <c r="QB411" s="6"/>
      <c r="QC411" s="6"/>
      <c r="QD411" s="6"/>
      <c r="QE411" s="6"/>
      <c r="QF411" s="6"/>
      <c r="QG411" s="6"/>
      <c r="QH411" s="6"/>
      <c r="QI411" s="6"/>
      <c r="QJ411" s="6"/>
      <c r="QK411" s="6"/>
      <c r="QL411" s="6"/>
      <c r="QM411" s="6"/>
      <c r="QN411" s="6"/>
      <c r="QO411" s="6"/>
      <c r="QP411" s="6"/>
      <c r="QQ411" s="6"/>
      <c r="QR411" s="6"/>
      <c r="QS411" s="6"/>
      <c r="QT411" s="6"/>
      <c r="QU411" s="6"/>
      <c r="QV411" s="6"/>
      <c r="QW411" s="6"/>
      <c r="QX411" s="6"/>
      <c r="QY411" s="6"/>
      <c r="QZ411" s="6"/>
      <c r="RA411" s="6"/>
      <c r="RB411" s="6"/>
      <c r="RC411" s="6"/>
      <c r="RD411" s="6"/>
      <c r="RE411" s="6"/>
      <c r="RF411" s="6"/>
      <c r="RG411" s="6"/>
      <c r="RH411" s="6"/>
      <c r="RI411" s="6"/>
      <c r="RJ411" s="6"/>
      <c r="RK411" s="6"/>
      <c r="RL411" s="6"/>
      <c r="RM411" s="6"/>
      <c r="RN411" s="6"/>
      <c r="RO411" s="6"/>
      <c r="RP411" s="6"/>
      <c r="RQ411" s="6"/>
      <c r="RR411" s="6"/>
      <c r="RS411" s="6"/>
      <c r="RT411" s="6"/>
      <c r="RU411" s="6"/>
      <c r="RV411" s="6"/>
      <c r="RW411" s="6"/>
      <c r="RX411" s="6"/>
      <c r="RY411" s="6"/>
      <c r="RZ411" s="6"/>
      <c r="SA411" s="6"/>
      <c r="SB411" s="6"/>
      <c r="SC411" s="6"/>
      <c r="SD411" s="6"/>
      <c r="SE411" s="6"/>
      <c r="SF411" s="6"/>
      <c r="SG411" s="6"/>
      <c r="SH411" s="6"/>
      <c r="SI411" s="6"/>
      <c r="SJ411" s="6"/>
      <c r="SK411" s="6"/>
      <c r="SL411" s="6"/>
      <c r="SM411" s="6"/>
      <c r="SN411" s="6"/>
      <c r="SO411" s="6"/>
      <c r="SP411" s="6"/>
      <c r="SQ411" s="6"/>
      <c r="SR411" s="6"/>
      <c r="SS411" s="6"/>
      <c r="ST411" s="6"/>
      <c r="SU411" s="6"/>
      <c r="SV411" s="6"/>
      <c r="SW411" s="6"/>
      <c r="SX411" s="6"/>
      <c r="SY411" s="6"/>
      <c r="SZ411" s="6"/>
      <c r="TA411" s="6"/>
      <c r="TB411" s="6"/>
      <c r="TC411" s="6"/>
      <c r="TD411" s="6"/>
      <c r="TE411" s="6"/>
      <c r="TF411" s="6"/>
      <c r="TG411" s="6"/>
      <c r="TH411" s="6"/>
      <c r="TI411" s="6"/>
      <c r="TJ411" s="6"/>
      <c r="TK411" s="6"/>
      <c r="TL411" s="6"/>
      <c r="TM411" s="6"/>
      <c r="TN411" s="6"/>
      <c r="TO411" s="6"/>
      <c r="TP411" s="6"/>
      <c r="TQ411" s="6"/>
      <c r="TR411" s="6"/>
      <c r="TS411" s="6"/>
      <c r="TT411" s="6"/>
      <c r="TU411" s="6"/>
      <c r="TV411" s="6"/>
      <c r="TW411" s="6"/>
      <c r="TX411" s="6"/>
      <c r="TY411" s="6"/>
      <c r="TZ411" s="6"/>
      <c r="UA411" s="6"/>
      <c r="UB411" s="6"/>
      <c r="UC411" s="6"/>
      <c r="UD411" s="6"/>
      <c r="UE411" s="6"/>
      <c r="UF411" s="6"/>
      <c r="UG411" s="6"/>
      <c r="UH411" s="6"/>
      <c r="UI411" s="6"/>
      <c r="UJ411" s="6"/>
      <c r="UK411" s="6"/>
      <c r="UL411" s="6"/>
      <c r="UM411" s="6"/>
      <c r="UN411" s="6"/>
      <c r="UO411" s="6"/>
      <c r="UP411" s="6"/>
      <c r="UQ411" s="6"/>
      <c r="UR411" s="6"/>
      <c r="US411" s="6"/>
      <c r="UT411" s="6"/>
      <c r="UU411" s="6"/>
      <c r="UV411" s="6"/>
      <c r="UW411" s="6"/>
      <c r="UX411" s="6"/>
      <c r="UY411" s="6"/>
      <c r="UZ411" s="6"/>
      <c r="VA411" s="6"/>
      <c r="VB411" s="6"/>
      <c r="VC411" s="6"/>
      <c r="VD411" s="6"/>
      <c r="VE411" s="6"/>
      <c r="VF411" s="6"/>
      <c r="VG411" s="6"/>
      <c r="VH411" s="6"/>
      <c r="VI411" s="6"/>
      <c r="VJ411" s="6"/>
      <c r="VK411" s="6"/>
      <c r="VL411" s="6"/>
      <c r="VM411" s="6"/>
      <c r="VN411" s="6"/>
      <c r="VO411" s="6"/>
      <c r="VP411" s="6"/>
      <c r="VQ411" s="6"/>
      <c r="VR411" s="6"/>
      <c r="VS411" s="6"/>
      <c r="VT411" s="6"/>
      <c r="VU411" s="6"/>
      <c r="VV411" s="6"/>
      <c r="VW411" s="6"/>
      <c r="VX411" s="6"/>
      <c r="VY411" s="6"/>
      <c r="VZ411" s="6"/>
      <c r="WA411" s="6"/>
      <c r="WB411" s="6"/>
      <c r="WC411" s="6"/>
      <c r="WD411" s="6"/>
      <c r="WE411" s="6"/>
      <c r="WF411" s="6"/>
      <c r="WG411" s="6"/>
      <c r="WH411" s="6"/>
      <c r="WI411" s="6"/>
      <c r="WJ411" s="6"/>
      <c r="WK411" s="6"/>
      <c r="WL411" s="6"/>
      <c r="WM411" s="6"/>
      <c r="WN411" s="6"/>
      <c r="WO411" s="6"/>
      <c r="WP411" s="6"/>
      <c r="WQ411" s="6"/>
      <c r="WR411" s="6"/>
      <c r="WS411" s="6"/>
      <c r="WT411" s="6"/>
      <c r="WU411" s="6"/>
      <c r="WV411" s="6"/>
      <c r="WW411" s="6"/>
      <c r="WX411" s="6"/>
      <c r="WY411" s="6"/>
      <c r="WZ411" s="6"/>
      <c r="XA411" s="6"/>
      <c r="XB411" s="6"/>
      <c r="XC411" s="6"/>
      <c r="XD411" s="6"/>
      <c r="XE411" s="6"/>
      <c r="XF411" s="6"/>
      <c r="XG411" s="6"/>
      <c r="XH411" s="6"/>
      <c r="XI411" s="6"/>
      <c r="XJ411" s="6"/>
      <c r="XK411" s="6"/>
      <c r="XL411" s="6"/>
      <c r="XM411" s="6"/>
      <c r="XN411" s="6"/>
      <c r="XO411" s="6"/>
      <c r="XP411" s="6"/>
      <c r="XQ411" s="6"/>
      <c r="XR411" s="6"/>
      <c r="XS411" s="6"/>
      <c r="XT411" s="6"/>
      <c r="XU411" s="6"/>
      <c r="XV411" s="6"/>
      <c r="XW411" s="6"/>
      <c r="XX411" s="6"/>
      <c r="XY411" s="6"/>
      <c r="XZ411" s="6"/>
      <c r="YA411" s="6"/>
      <c r="YB411" s="6"/>
      <c r="YC411" s="6"/>
      <c r="YD411" s="6"/>
      <c r="YE411" s="6"/>
      <c r="YF411" s="6"/>
      <c r="YG411" s="6"/>
      <c r="YH411" s="6"/>
      <c r="YI411" s="6"/>
      <c r="YJ411" s="6"/>
      <c r="YK411" s="6"/>
      <c r="YL411" s="6"/>
      <c r="YM411" s="6"/>
      <c r="YN411" s="6"/>
      <c r="YO411" s="6"/>
      <c r="YP411" s="6"/>
      <c r="YQ411" s="6"/>
      <c r="YR411" s="6"/>
      <c r="YS411" s="6"/>
      <c r="YT411" s="6"/>
      <c r="YU411" s="6"/>
      <c r="YV411" s="6"/>
      <c r="YW411" s="6"/>
      <c r="YX411" s="6"/>
      <c r="YY411" s="6"/>
      <c r="YZ411" s="6"/>
      <c r="ZA411" s="6"/>
      <c r="ZB411" s="6"/>
      <c r="ZC411" s="6"/>
      <c r="ZD411" s="6"/>
      <c r="ZE411" s="6"/>
      <c r="ZF411" s="6"/>
      <c r="ZG411" s="6"/>
      <c r="ZH411" s="6"/>
      <c r="ZI411" s="6"/>
      <c r="ZJ411" s="6"/>
      <c r="ZK411" s="6"/>
      <c r="ZL411" s="6"/>
      <c r="ZM411" s="6"/>
      <c r="ZN411" s="6"/>
      <c r="ZO411" s="6"/>
      <c r="ZP411" s="6"/>
      <c r="ZQ411" s="6"/>
      <c r="ZR411" s="6"/>
      <c r="ZS411" s="6"/>
      <c r="ZT411" s="6"/>
      <c r="ZU411" s="6"/>
      <c r="ZV411" s="6"/>
      <c r="ZW411" s="6"/>
      <c r="ZX411" s="6"/>
      <c r="ZY411" s="6"/>
      <c r="ZZ411" s="6"/>
      <c r="AAA411" s="6"/>
      <c r="AAB411" s="6"/>
      <c r="AAC411" s="6"/>
      <c r="AAD411" s="6"/>
      <c r="AAE411" s="6"/>
      <c r="AAF411" s="6"/>
      <c r="AAG411" s="6"/>
      <c r="AAH411" s="6"/>
      <c r="AAI411" s="6"/>
      <c r="AAJ411" s="6"/>
      <c r="AAK411" s="6"/>
      <c r="AAL411" s="6"/>
      <c r="AAM411" s="6"/>
      <c r="AAN411" s="6"/>
      <c r="AAO411" s="6"/>
      <c r="AAP411" s="6"/>
      <c r="AAQ411" s="6"/>
      <c r="AAR411" s="6"/>
      <c r="AAS411" s="6"/>
      <c r="AAT411" s="6"/>
      <c r="AAU411" s="6"/>
      <c r="AAV411" s="6"/>
      <c r="AAW411" s="6"/>
      <c r="AAX411" s="6"/>
      <c r="AAY411" s="6"/>
      <c r="AAZ411" s="6"/>
      <c r="ABA411" s="6"/>
      <c r="ABB411" s="6"/>
      <c r="ABC411" s="6"/>
      <c r="ABD411" s="6"/>
      <c r="ABE411" s="6"/>
      <c r="ABF411" s="6"/>
      <c r="ABG411" s="6"/>
      <c r="ABH411" s="6"/>
      <c r="ABI411" s="6"/>
      <c r="ABJ411" s="6"/>
      <c r="ABK411" s="6"/>
      <c r="ABL411" s="6"/>
      <c r="ABM411" s="6"/>
      <c r="ABN411" s="6"/>
      <c r="ABO411" s="6"/>
      <c r="ABP411" s="6"/>
      <c r="ABQ411" s="6"/>
      <c r="ABR411" s="6"/>
      <c r="ABS411" s="6"/>
      <c r="ABT411" s="6"/>
      <c r="ABU411" s="6"/>
      <c r="ABV411" s="6"/>
      <c r="ABW411" s="6"/>
      <c r="ABX411" s="6"/>
      <c r="ABY411" s="6"/>
      <c r="ABZ411" s="6"/>
      <c r="ACA411" s="6"/>
      <c r="ACB411" s="6"/>
      <c r="ACC411" s="6"/>
      <c r="ACD411" s="6"/>
      <c r="ACE411" s="6"/>
      <c r="ACF411" s="6"/>
      <c r="ACG411" s="6"/>
      <c r="ACH411" s="6"/>
      <c r="ACI411" s="6"/>
      <c r="ACJ411" s="6"/>
      <c r="ACK411" s="6"/>
      <c r="ACL411" s="6"/>
      <c r="ACM411" s="6"/>
      <c r="ACN411" s="6"/>
      <c r="ACO411" s="6"/>
      <c r="ACP411" s="6"/>
      <c r="ACQ411" s="6"/>
      <c r="ACR411" s="6"/>
      <c r="ACS411" s="6"/>
      <c r="ACT411" s="6"/>
      <c r="ACU411" s="6"/>
      <c r="ACV411" s="6"/>
      <c r="ACW411" s="6"/>
      <c r="ACX411" s="6"/>
      <c r="ACY411" s="6"/>
      <c r="ACZ411" s="6"/>
      <c r="ADA411" s="6"/>
      <c r="ADB411" s="6"/>
      <c r="ADC411" s="6"/>
      <c r="ADD411" s="6"/>
      <c r="ADE411" s="6"/>
      <c r="ADF411" s="6"/>
      <c r="ADG411" s="6"/>
      <c r="ADH411" s="6"/>
      <c r="ADI411" s="6"/>
      <c r="ADJ411" s="6"/>
      <c r="ADK411" s="6"/>
      <c r="ADL411" s="6"/>
      <c r="ADM411" s="6"/>
      <c r="ADN411" s="6"/>
      <c r="ADO411" s="6"/>
      <c r="ADP411" s="6"/>
      <c r="ADQ411" s="6"/>
      <c r="ADR411" s="6"/>
      <c r="ADS411" s="6"/>
      <c r="ADT411" s="6"/>
      <c r="ADU411" s="6"/>
      <c r="ADV411" s="6"/>
      <c r="ADW411" s="6"/>
      <c r="ADX411" s="6"/>
      <c r="ADY411" s="6"/>
      <c r="ADZ411" s="6"/>
      <c r="AEA411" s="6"/>
      <c r="AEB411" s="6"/>
      <c r="AEC411" s="6"/>
      <c r="AED411" s="6"/>
      <c r="AEE411" s="6"/>
      <c r="AEF411" s="6"/>
      <c r="AEG411" s="6"/>
      <c r="AEH411" s="6"/>
      <c r="AEI411" s="6"/>
      <c r="AEJ411" s="6"/>
      <c r="AEK411" s="6"/>
      <c r="AEL411" s="6"/>
      <c r="AEM411" s="6"/>
      <c r="AEN411" s="6"/>
      <c r="AEO411" s="6"/>
      <c r="AEP411" s="6"/>
      <c r="AEQ411" s="6"/>
      <c r="AER411" s="6"/>
      <c r="AES411" s="6"/>
      <c r="AET411" s="6"/>
      <c r="AEU411" s="6"/>
      <c r="AEV411" s="6"/>
      <c r="AEW411" s="6"/>
      <c r="AEX411" s="6"/>
      <c r="AEY411" s="6"/>
      <c r="AEZ411" s="6"/>
      <c r="AFA411" s="6"/>
      <c r="AFB411" s="6"/>
      <c r="AFC411" s="6"/>
      <c r="AFD411" s="6"/>
      <c r="AFE411" s="6"/>
      <c r="AFF411" s="6"/>
      <c r="AFG411" s="6"/>
      <c r="AFH411" s="6"/>
      <c r="AFI411" s="6"/>
      <c r="AFJ411" s="6"/>
      <c r="AFK411" s="6"/>
      <c r="AFL411" s="6"/>
      <c r="AFM411" s="6"/>
      <c r="AFN411" s="6"/>
      <c r="AFO411" s="6"/>
      <c r="AFP411" s="6"/>
      <c r="AFQ411" s="6"/>
      <c r="AFR411" s="6"/>
      <c r="AFS411" s="6"/>
      <c r="AFT411" s="6"/>
      <c r="AFU411" s="6"/>
      <c r="AFV411" s="6"/>
      <c r="AFW411" s="6"/>
      <c r="AFX411" s="6"/>
      <c r="AFY411" s="6"/>
      <c r="AFZ411" s="6"/>
      <c r="AGA411" s="6"/>
      <c r="AGB411" s="6"/>
      <c r="AGC411" s="6"/>
      <c r="AGD411" s="6"/>
      <c r="AGE411" s="6"/>
      <c r="AGF411" s="6"/>
      <c r="AGG411" s="6"/>
      <c r="AGH411" s="6"/>
      <c r="AGI411" s="6"/>
      <c r="AGJ411" s="6"/>
      <c r="AGK411" s="6"/>
      <c r="AGL411" s="6"/>
      <c r="AGM411" s="6"/>
      <c r="AGN411" s="6"/>
      <c r="AGO411" s="6"/>
      <c r="AGP411" s="6"/>
      <c r="AGQ411" s="6"/>
      <c r="AGR411" s="6"/>
      <c r="AGS411" s="6"/>
      <c r="AGT411" s="6"/>
      <c r="AGU411" s="6"/>
      <c r="AGV411" s="6"/>
      <c r="AGW411" s="6"/>
      <c r="AGX411" s="6"/>
      <c r="AGY411" s="6"/>
      <c r="AGZ411" s="6"/>
      <c r="AHA411" s="6"/>
      <c r="AHB411" s="6"/>
      <c r="AHC411" s="6"/>
      <c r="AHD411" s="6"/>
      <c r="AHE411" s="6"/>
      <c r="AHF411" s="6"/>
      <c r="AHG411" s="6"/>
      <c r="AHH411" s="6"/>
      <c r="AHI411" s="6"/>
      <c r="AHJ411" s="6"/>
      <c r="AHK411" s="6"/>
      <c r="AHL411" s="6"/>
      <c r="AHM411" s="6"/>
      <c r="AHN411" s="6"/>
      <c r="AHO411" s="6"/>
      <c r="AHP411" s="6"/>
      <c r="AHQ411" s="6"/>
      <c r="AHR411" s="6"/>
      <c r="AHS411" s="6"/>
      <c r="AHT411" s="6"/>
      <c r="AHU411" s="6"/>
      <c r="AHV411" s="6"/>
      <c r="AHW411" s="6"/>
      <c r="AHX411" s="6"/>
      <c r="AHY411" s="6"/>
      <c r="AHZ411" s="6"/>
      <c r="AIA411" s="6"/>
      <c r="AIB411" s="6"/>
      <c r="AIC411" s="6"/>
      <c r="AID411" s="6"/>
      <c r="AIE411" s="6"/>
      <c r="AIF411" s="6"/>
      <c r="AIG411" s="6"/>
      <c r="AIH411" s="6"/>
      <c r="AII411" s="6"/>
      <c r="AIJ411" s="6"/>
      <c r="AIK411" s="6"/>
      <c r="AIL411" s="6"/>
      <c r="AIM411" s="6"/>
      <c r="AIN411" s="6"/>
      <c r="AIO411" s="6"/>
      <c r="AIP411" s="6"/>
      <c r="AIQ411" s="6"/>
      <c r="AIR411" s="6"/>
      <c r="AIS411" s="6"/>
      <c r="AIT411" s="6"/>
      <c r="AIU411" s="6"/>
      <c r="AIV411" s="6"/>
      <c r="AIW411" s="6"/>
      <c r="AIX411" s="6"/>
      <c r="AIY411" s="6"/>
      <c r="AIZ411" s="6"/>
      <c r="AJA411" s="6"/>
      <c r="AJB411" s="6"/>
      <c r="AJC411" s="6"/>
      <c r="AJD411" s="6"/>
      <c r="AJE411" s="6"/>
      <c r="AJF411" s="6"/>
      <c r="AJG411" s="6"/>
      <c r="AJH411" s="6"/>
      <c r="AJI411" s="6"/>
      <c r="AJJ411" s="6"/>
      <c r="AJK411" s="6"/>
      <c r="AJL411" s="6"/>
      <c r="AJM411" s="6"/>
      <c r="AJN411" s="6"/>
      <c r="AJO411" s="6"/>
      <c r="AJP411" s="6"/>
      <c r="AJQ411" s="6"/>
      <c r="AJR411" s="6"/>
      <c r="AJS411" s="6"/>
      <c r="AJT411" s="6"/>
      <c r="AJU411" s="6"/>
      <c r="AJV411" s="6"/>
      <c r="AJW411" s="6"/>
      <c r="AJX411" s="6"/>
      <c r="AJY411" s="6"/>
      <c r="AJZ411" s="6"/>
      <c r="AKA411" s="6"/>
      <c r="AKB411" s="6"/>
      <c r="AKC411" s="6"/>
      <c r="AKD411" s="6"/>
      <c r="AKE411" s="6"/>
      <c r="AKF411" s="6"/>
      <c r="AKG411" s="6"/>
      <c r="AKH411" s="6"/>
      <c r="AKI411" s="6"/>
      <c r="AKJ411" s="6"/>
      <c r="AKK411" s="6"/>
      <c r="AKL411" s="6"/>
      <c r="AKM411" s="6"/>
      <c r="AKN411" s="6"/>
      <c r="AKO411" s="6"/>
      <c r="AKP411" s="6"/>
      <c r="AKQ411" s="6"/>
      <c r="AKR411" s="6"/>
      <c r="AKS411" s="6"/>
      <c r="AKT411" s="6"/>
      <c r="AKU411" s="6"/>
      <c r="AKV411" s="6"/>
      <c r="AKW411" s="6"/>
      <c r="AKX411" s="6"/>
      <c r="AKY411" s="6"/>
      <c r="AKZ411" s="6"/>
      <c r="ALA411" s="6"/>
      <c r="ALB411" s="6"/>
      <c r="ALC411" s="6"/>
      <c r="ALD411" s="6"/>
      <c r="ALE411" s="6"/>
      <c r="ALF411" s="6"/>
      <c r="ALG411" s="6"/>
      <c r="ALH411" s="6"/>
      <c r="ALI411" s="6"/>
      <c r="ALJ411" s="6"/>
      <c r="ALK411" s="6"/>
      <c r="ALL411" s="6"/>
      <c r="ALM411" s="6"/>
      <c r="ALN411" s="6"/>
      <c r="ALO411" s="6"/>
      <c r="ALP411" s="6"/>
      <c r="ALQ411" s="6"/>
      <c r="ALR411" s="6"/>
      <c r="ALS411" s="6"/>
      <c r="ALT411" s="6"/>
      <c r="ALU411" s="6"/>
      <c r="ALV411" s="6"/>
      <c r="ALW411" s="6"/>
      <c r="ALX411" s="6"/>
      <c r="ALY411" s="6"/>
      <c r="ALZ411" s="6"/>
      <c r="AMA411" s="6"/>
      <c r="AMB411" s="6"/>
      <c r="AMC411" s="6"/>
      <c r="AMD411" s="6"/>
      <c r="AME411" s="6"/>
      <c r="AMF411" s="6"/>
      <c r="AMG411" s="6"/>
      <c r="AMH411" s="6"/>
      <c r="AMI411" s="6"/>
      <c r="AMJ411" s="6"/>
      <c r="AMK411" s="6"/>
      <c r="AML411" s="6"/>
      <c r="AMM411" s="6"/>
      <c r="AMN411" s="6"/>
      <c r="AMO411" s="6"/>
      <c r="AMP411" s="6"/>
    </row>
    <row r="412" spans="1:1030" x14ac:dyDescent="0.2">
      <c r="A412" s="3" t="str">
        <f t="shared" si="3718"/>
        <v>q80km9_hcmv_5WB2</v>
      </c>
      <c r="B412" s="2" t="s">
        <v>1503</v>
      </c>
      <c r="C412" s="3" t="s">
        <v>1506</v>
      </c>
      <c r="D412" s="3" t="str">
        <f>IFERROR(MID(VLOOKUP($B412,Seqs!$A:$B,2,0),E412,1),"")</f>
        <v>F</v>
      </c>
      <c r="E412" s="3">
        <v>25</v>
      </c>
      <c r="F412" s="3" t="str">
        <f>IFERROR(MID(VLOOKUP($B412,Seqs!$A:$B,2,0),G412,1),"")</f>
        <v>W</v>
      </c>
      <c r="G412" s="3">
        <v>60</v>
      </c>
      <c r="H412" s="3" t="str">
        <f>IFERROR(MID(VLOOKUP($B412,Seqs!$A:$B,2,0),I412,1),"")</f>
        <v/>
      </c>
      <c r="I412" s="23" t="s">
        <v>23</v>
      </c>
      <c r="J412" s="3" t="str">
        <f>IFERROR(MID(VLOOKUP($B412,Seqs!$A:$B,2,0),K412,1),"")</f>
        <v/>
      </c>
      <c r="K412" s="23" t="s">
        <v>23</v>
      </c>
      <c r="L412" s="3" t="str">
        <f>IFERROR(MID(VLOOKUP($B412,Seqs!$A:$B,2,0),M412,1),"")</f>
        <v>C</v>
      </c>
      <c r="M412" s="3">
        <v>66</v>
      </c>
      <c r="N412" s="3" t="str">
        <f>IFERROR(MID(VLOOKUP($B412,Seqs!$A:$B,2,0),O412,1),"")</f>
        <v>D</v>
      </c>
      <c r="O412" s="3">
        <v>95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A</v>
      </c>
      <c r="U412" s="3">
        <v>100</v>
      </c>
      <c r="V412" s="3" t="str">
        <f>IFERROR(MID(VLOOKUP($B412,Seqs!$A:$B,2,0),W412,1),"")</f>
        <v>V</v>
      </c>
      <c r="W412" s="3">
        <v>134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P</v>
      </c>
      <c r="AC412" s="3">
        <v>140</v>
      </c>
      <c r="AD412" s="3" t="str">
        <f>IFERROR(MID(VLOOKUP($B412,Seqs!$A:$B,2,0),AE412,1),"")</f>
        <v>M</v>
      </c>
      <c r="AE412" s="3">
        <v>164</v>
      </c>
      <c r="AF412" s="3" t="str">
        <f>IFERROR(MID(VLOOKUP($B412,Seqs!$A:$B,2,0),AG412,1),"")</f>
        <v>C</v>
      </c>
      <c r="AG412" s="3">
        <v>173</v>
      </c>
      <c r="AH412" s="3" t="str">
        <f>IFERROR(MID(VLOOKUP($B412,Seqs!$A:$B,2,0),AI412,1),"")</f>
        <v>T</v>
      </c>
      <c r="AI412" s="3">
        <v>175</v>
      </c>
      <c r="AJ412" s="3" t="str">
        <f>IFERROR(MID(VLOOKUP($B412,Seqs!$A:$B,2,0),AK412,1),"")</f>
        <v>S</v>
      </c>
      <c r="AK412" s="3">
        <v>183</v>
      </c>
      <c r="AL412" s="3" t="str">
        <f>IFERROR(MID(VLOOKUP($B412,Seqs!$A:$B,2,0),AM412,1),"")</f>
        <v>S</v>
      </c>
      <c r="AM412" s="3">
        <v>218</v>
      </c>
      <c r="AN412" s="3" t="str">
        <f>IFERROR(MID(VLOOKUP($B412,Seqs!$A:$B,2,0),AO412,1),"")</f>
        <v>H</v>
      </c>
      <c r="AO412" s="3">
        <v>222</v>
      </c>
      <c r="AP412" s="3" t="str">
        <f>IFERROR(MID(VLOOKUP($B412,Seqs!$A:$B,2,0),AQ412,1),"")</f>
        <v>K</v>
      </c>
      <c r="AQ412" s="3">
        <v>257</v>
      </c>
      <c r="AR412" s="3" t="str">
        <f>IFERROR(MID(VLOOKUP($B412,Seqs!$A:$B,2,0),AS412,1),"")</f>
        <v>S</v>
      </c>
      <c r="AS412" s="3">
        <v>262</v>
      </c>
      <c r="AT412" s="3" t="str">
        <f>IFERROR(MID(VLOOKUP($B412,Seqs!$A:$B,2,0),AU412,1),"")</f>
        <v>V</v>
      </c>
      <c r="AU412" s="3">
        <v>294</v>
      </c>
      <c r="AV412" s="3" t="str">
        <f>IFERROR(MID(VLOOKUP($B412,Seqs!$A:$B,2,0),AW412,1),"")</f>
        <v>G</v>
      </c>
      <c r="AW412" s="3">
        <v>295</v>
      </c>
      <c r="AX412" s="3" t="str">
        <f>IFERROR(MID(VLOOKUP($B412,Seqs!$A:$B,2,0),AY412,1),"")</f>
        <v>A</v>
      </c>
      <c r="AY412" s="3">
        <v>307</v>
      </c>
      <c r="AZ412" s="77" t="str">
        <f>VLOOKUP(B412,Classification!A:D,2,0)</f>
        <v>A</v>
      </c>
      <c r="BA412" s="94" t="str">
        <f>VLOOKUP(B412,Classification!A:D,4,0)</f>
        <v>Chemokine</v>
      </c>
      <c r="BB412" s="27" t="b">
        <f t="shared" si="3691"/>
        <v>1</v>
      </c>
      <c r="BC412" s="23">
        <f t="shared" si="3692"/>
        <v>250</v>
      </c>
      <c r="BD412" s="4" t="s">
        <v>23</v>
      </c>
      <c r="BE412" s="3" t="s">
        <v>1287</v>
      </c>
      <c r="BF412" s="118">
        <v>3.5</v>
      </c>
      <c r="BG412" s="49" t="s">
        <v>1</v>
      </c>
      <c r="BH412" s="49" t="s">
        <v>1</v>
      </c>
      <c r="BI412" s="1"/>
      <c r="BJ412" s="70" t="s">
        <v>1283</v>
      </c>
      <c r="BK412" s="57" t="s">
        <v>1283</v>
      </c>
      <c r="BL412" s="57" t="s">
        <v>1283</v>
      </c>
      <c r="BM412" s="57" t="s">
        <v>1283</v>
      </c>
      <c r="BN412" s="57" t="s">
        <v>1283</v>
      </c>
      <c r="BO412" s="57" t="s">
        <v>1283</v>
      </c>
      <c r="BP412" s="57" t="s">
        <v>1283</v>
      </c>
      <c r="BQ412" s="57" t="s">
        <v>1283</v>
      </c>
      <c r="BR412" s="57" t="s">
        <v>1283</v>
      </c>
      <c r="BS412" s="57" t="s">
        <v>1283</v>
      </c>
      <c r="BT412" s="57" t="s">
        <v>1283</v>
      </c>
      <c r="BU412" s="57" t="s">
        <v>1283</v>
      </c>
      <c r="BV412" s="70">
        <f t="shared" si="3693"/>
        <v>25</v>
      </c>
      <c r="BW412" s="71" t="str">
        <f t="shared" si="3694"/>
        <v>-</v>
      </c>
      <c r="BX412" s="72">
        <f t="shared" si="3695"/>
        <v>66</v>
      </c>
      <c r="BY412" s="71" t="str">
        <f t="shared" si="3696"/>
        <v>-</v>
      </c>
      <c r="BZ412" s="72">
        <f t="shared" si="3697"/>
        <v>100</v>
      </c>
      <c r="CA412" s="71" t="str">
        <f t="shared" si="3698"/>
        <v>-</v>
      </c>
      <c r="CB412" s="72">
        <f t="shared" si="3699"/>
        <v>140</v>
      </c>
      <c r="CC412" s="71">
        <f t="shared" si="3700"/>
        <v>173</v>
      </c>
      <c r="CD412" s="72">
        <f t="shared" si="3701"/>
        <v>183</v>
      </c>
      <c r="CE412" s="71">
        <f t="shared" si="3702"/>
        <v>222</v>
      </c>
      <c r="CF412" s="72">
        <f t="shared" si="3703"/>
        <v>262</v>
      </c>
      <c r="CG412" s="71">
        <f t="shared" si="3704"/>
        <v>295</v>
      </c>
      <c r="CH412" s="70">
        <f t="shared" si="3705"/>
        <v>60</v>
      </c>
      <c r="CI412" s="71" t="str">
        <f t="shared" si="3706"/>
        <v>-</v>
      </c>
      <c r="CJ412" s="72">
        <f t="shared" si="3707"/>
        <v>95</v>
      </c>
      <c r="CK412" s="72" t="str">
        <f t="shared" si="3708"/>
        <v>-</v>
      </c>
      <c r="CL412" s="72">
        <f t="shared" si="3709"/>
        <v>134</v>
      </c>
      <c r="CM412" s="72" t="str">
        <f t="shared" si="3710"/>
        <v>-</v>
      </c>
      <c r="CN412" s="72">
        <f t="shared" si="3711"/>
        <v>164</v>
      </c>
      <c r="CO412" s="72">
        <f t="shared" si="3712"/>
        <v>175</v>
      </c>
      <c r="CP412" s="72">
        <f t="shared" si="3713"/>
        <v>218</v>
      </c>
      <c r="CQ412" s="72">
        <f t="shared" si="3714"/>
        <v>257</v>
      </c>
      <c r="CR412" s="72">
        <f t="shared" si="3715"/>
        <v>294</v>
      </c>
      <c r="CS412" s="72">
        <f t="shared" si="3716"/>
        <v>307</v>
      </c>
      <c r="CT412" s="23" t="e">
        <f t="shared" si="3717"/>
        <v>#VALUE!</v>
      </c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  <c r="ND412" s="6"/>
      <c r="NE412" s="6"/>
      <c r="NF412" s="6"/>
      <c r="NG412" s="6"/>
      <c r="NH412" s="6"/>
      <c r="NI412" s="6"/>
      <c r="NJ412" s="6"/>
      <c r="NK412" s="6"/>
      <c r="NL412" s="6"/>
      <c r="NM412" s="6"/>
      <c r="NN412" s="6"/>
      <c r="NO412" s="6"/>
      <c r="NP412" s="6"/>
      <c r="NQ412" s="6"/>
      <c r="NR412" s="6"/>
      <c r="NS412" s="6"/>
      <c r="NT412" s="6"/>
      <c r="NU412" s="6"/>
      <c r="NV412" s="6"/>
      <c r="NW412" s="6"/>
      <c r="NX412" s="6"/>
      <c r="NY412" s="6"/>
      <c r="NZ412" s="6"/>
      <c r="OA412" s="6"/>
      <c r="OB412" s="6"/>
      <c r="OC412" s="6"/>
      <c r="OD412" s="6"/>
      <c r="OE412" s="6"/>
      <c r="OF412" s="6"/>
      <c r="OG412" s="6"/>
      <c r="OH412" s="6"/>
      <c r="OI412" s="6"/>
      <c r="OJ412" s="6"/>
      <c r="OK412" s="6"/>
      <c r="OL412" s="6"/>
      <c r="OM412" s="6"/>
      <c r="ON412" s="6"/>
      <c r="OO412" s="6"/>
      <c r="OP412" s="6"/>
      <c r="OQ412" s="6"/>
      <c r="OR412" s="6"/>
      <c r="OS412" s="6"/>
      <c r="OT412" s="6"/>
      <c r="OU412" s="6"/>
      <c r="OV412" s="6"/>
      <c r="OW412" s="6"/>
      <c r="OX412" s="6"/>
      <c r="OY412" s="6"/>
      <c r="OZ412" s="6"/>
      <c r="PA412" s="6"/>
      <c r="PB412" s="6"/>
      <c r="PC412" s="6"/>
      <c r="PD412" s="6"/>
      <c r="PE412" s="6"/>
      <c r="PF412" s="6"/>
      <c r="PG412" s="6"/>
      <c r="PH412" s="6"/>
      <c r="PI412" s="6"/>
      <c r="PJ412" s="6"/>
      <c r="PK412" s="6"/>
      <c r="PL412" s="6"/>
      <c r="PM412" s="6"/>
      <c r="PN412" s="6"/>
      <c r="PO412" s="6"/>
      <c r="PP412" s="6"/>
      <c r="PQ412" s="6"/>
      <c r="PR412" s="6"/>
      <c r="PS412" s="6"/>
      <c r="PT412" s="6"/>
      <c r="PU412" s="6"/>
      <c r="PV412" s="6"/>
      <c r="PW412" s="6"/>
      <c r="PX412" s="6"/>
      <c r="PY412" s="6"/>
      <c r="PZ412" s="6"/>
      <c r="QA412" s="6"/>
      <c r="QB412" s="6"/>
      <c r="QC412" s="6"/>
      <c r="QD412" s="6"/>
      <c r="QE412" s="6"/>
      <c r="QF412" s="6"/>
      <c r="QG412" s="6"/>
      <c r="QH412" s="6"/>
      <c r="QI412" s="6"/>
      <c r="QJ412" s="6"/>
      <c r="QK412" s="6"/>
      <c r="QL412" s="6"/>
      <c r="QM412" s="6"/>
      <c r="QN412" s="6"/>
      <c r="QO412" s="6"/>
      <c r="QP412" s="6"/>
      <c r="QQ412" s="6"/>
      <c r="QR412" s="6"/>
      <c r="QS412" s="6"/>
      <c r="QT412" s="6"/>
      <c r="QU412" s="6"/>
      <c r="QV412" s="6"/>
      <c r="QW412" s="6"/>
      <c r="QX412" s="6"/>
      <c r="QY412" s="6"/>
      <c r="QZ412" s="6"/>
      <c r="RA412" s="6"/>
      <c r="RB412" s="6"/>
      <c r="RC412" s="6"/>
      <c r="RD412" s="6"/>
      <c r="RE412" s="6"/>
      <c r="RF412" s="6"/>
      <c r="RG412" s="6"/>
      <c r="RH412" s="6"/>
      <c r="RI412" s="6"/>
      <c r="RJ412" s="6"/>
      <c r="RK412" s="6"/>
      <c r="RL412" s="6"/>
      <c r="RM412" s="6"/>
      <c r="RN412" s="6"/>
      <c r="RO412" s="6"/>
      <c r="RP412" s="6"/>
      <c r="RQ412" s="6"/>
      <c r="RR412" s="6"/>
      <c r="RS412" s="6"/>
      <c r="RT412" s="6"/>
      <c r="RU412" s="6"/>
      <c r="RV412" s="6"/>
      <c r="RW412" s="6"/>
      <c r="RX412" s="6"/>
      <c r="RY412" s="6"/>
      <c r="RZ412" s="6"/>
      <c r="SA412" s="6"/>
      <c r="SB412" s="6"/>
      <c r="SC412" s="6"/>
      <c r="SD412" s="6"/>
      <c r="SE412" s="6"/>
      <c r="SF412" s="6"/>
      <c r="SG412" s="6"/>
      <c r="SH412" s="6"/>
      <c r="SI412" s="6"/>
      <c r="SJ412" s="6"/>
      <c r="SK412" s="6"/>
      <c r="SL412" s="6"/>
      <c r="SM412" s="6"/>
      <c r="SN412" s="6"/>
      <c r="SO412" s="6"/>
      <c r="SP412" s="6"/>
      <c r="SQ412" s="6"/>
      <c r="SR412" s="6"/>
      <c r="SS412" s="6"/>
      <c r="ST412" s="6"/>
      <c r="SU412" s="6"/>
      <c r="SV412" s="6"/>
      <c r="SW412" s="6"/>
      <c r="SX412" s="6"/>
      <c r="SY412" s="6"/>
      <c r="SZ412" s="6"/>
      <c r="TA412" s="6"/>
      <c r="TB412" s="6"/>
      <c r="TC412" s="6"/>
      <c r="TD412" s="6"/>
      <c r="TE412" s="6"/>
      <c r="TF412" s="6"/>
      <c r="TG412" s="6"/>
      <c r="TH412" s="6"/>
      <c r="TI412" s="6"/>
      <c r="TJ412" s="6"/>
      <c r="TK412" s="6"/>
      <c r="TL412" s="6"/>
      <c r="TM412" s="6"/>
      <c r="TN412" s="6"/>
      <c r="TO412" s="6"/>
      <c r="TP412" s="6"/>
      <c r="TQ412" s="6"/>
      <c r="TR412" s="6"/>
      <c r="TS412" s="6"/>
      <c r="TT412" s="6"/>
      <c r="TU412" s="6"/>
      <c r="TV412" s="6"/>
      <c r="TW412" s="6"/>
      <c r="TX412" s="6"/>
      <c r="TY412" s="6"/>
      <c r="TZ412" s="6"/>
      <c r="UA412" s="6"/>
      <c r="UB412" s="6"/>
      <c r="UC412" s="6"/>
      <c r="UD412" s="6"/>
      <c r="UE412" s="6"/>
      <c r="UF412" s="6"/>
      <c r="UG412" s="6"/>
      <c r="UH412" s="6"/>
      <c r="UI412" s="6"/>
      <c r="UJ412" s="6"/>
      <c r="UK412" s="6"/>
      <c r="UL412" s="6"/>
      <c r="UM412" s="6"/>
      <c r="UN412" s="6"/>
      <c r="UO412" s="6"/>
      <c r="UP412" s="6"/>
      <c r="UQ412" s="6"/>
      <c r="UR412" s="6"/>
      <c r="US412" s="6"/>
      <c r="UT412" s="6"/>
      <c r="UU412" s="6"/>
      <c r="UV412" s="6"/>
      <c r="UW412" s="6"/>
      <c r="UX412" s="6"/>
      <c r="UY412" s="6"/>
      <c r="UZ412" s="6"/>
      <c r="VA412" s="6"/>
      <c r="VB412" s="6"/>
      <c r="VC412" s="6"/>
      <c r="VD412" s="6"/>
      <c r="VE412" s="6"/>
      <c r="VF412" s="6"/>
      <c r="VG412" s="6"/>
      <c r="VH412" s="6"/>
      <c r="VI412" s="6"/>
      <c r="VJ412" s="6"/>
      <c r="VK412" s="6"/>
      <c r="VL412" s="6"/>
      <c r="VM412" s="6"/>
      <c r="VN412" s="6"/>
      <c r="VO412" s="6"/>
      <c r="VP412" s="6"/>
      <c r="VQ412" s="6"/>
      <c r="VR412" s="6"/>
      <c r="VS412" s="6"/>
      <c r="VT412" s="6"/>
      <c r="VU412" s="6"/>
      <c r="VV412" s="6"/>
      <c r="VW412" s="6"/>
      <c r="VX412" s="6"/>
      <c r="VY412" s="6"/>
      <c r="VZ412" s="6"/>
      <c r="WA412" s="6"/>
      <c r="WB412" s="6"/>
      <c r="WC412" s="6"/>
      <c r="WD412" s="6"/>
      <c r="WE412" s="6"/>
      <c r="WF412" s="6"/>
      <c r="WG412" s="6"/>
      <c r="WH412" s="6"/>
      <c r="WI412" s="6"/>
      <c r="WJ412" s="6"/>
      <c r="WK412" s="6"/>
      <c r="WL412" s="6"/>
      <c r="WM412" s="6"/>
      <c r="WN412" s="6"/>
      <c r="WO412" s="6"/>
      <c r="WP412" s="6"/>
      <c r="WQ412" s="6"/>
      <c r="WR412" s="6"/>
      <c r="WS412" s="6"/>
      <c r="WT412" s="6"/>
      <c r="WU412" s="6"/>
      <c r="WV412" s="6"/>
      <c r="WW412" s="6"/>
      <c r="WX412" s="6"/>
      <c r="WY412" s="6"/>
      <c r="WZ412" s="6"/>
      <c r="XA412" s="6"/>
      <c r="XB412" s="6"/>
      <c r="XC412" s="6"/>
      <c r="XD412" s="6"/>
      <c r="XE412" s="6"/>
      <c r="XF412" s="6"/>
      <c r="XG412" s="6"/>
      <c r="XH412" s="6"/>
      <c r="XI412" s="6"/>
      <c r="XJ412" s="6"/>
      <c r="XK412" s="6"/>
      <c r="XL412" s="6"/>
      <c r="XM412" s="6"/>
      <c r="XN412" s="6"/>
      <c r="XO412" s="6"/>
      <c r="XP412" s="6"/>
      <c r="XQ412" s="6"/>
      <c r="XR412" s="6"/>
      <c r="XS412" s="6"/>
      <c r="XT412" s="6"/>
      <c r="XU412" s="6"/>
      <c r="XV412" s="6"/>
      <c r="XW412" s="6"/>
      <c r="XX412" s="6"/>
      <c r="XY412" s="6"/>
      <c r="XZ412" s="6"/>
      <c r="YA412" s="6"/>
      <c r="YB412" s="6"/>
      <c r="YC412" s="6"/>
      <c r="YD412" s="6"/>
      <c r="YE412" s="6"/>
      <c r="YF412" s="6"/>
      <c r="YG412" s="6"/>
      <c r="YH412" s="6"/>
      <c r="YI412" s="6"/>
      <c r="YJ412" s="6"/>
      <c r="YK412" s="6"/>
      <c r="YL412" s="6"/>
      <c r="YM412" s="6"/>
      <c r="YN412" s="6"/>
      <c r="YO412" s="6"/>
      <c r="YP412" s="6"/>
      <c r="YQ412" s="6"/>
      <c r="YR412" s="6"/>
      <c r="YS412" s="6"/>
      <c r="YT412" s="6"/>
      <c r="YU412" s="6"/>
      <c r="YV412" s="6"/>
      <c r="YW412" s="6"/>
      <c r="YX412" s="6"/>
      <c r="YY412" s="6"/>
      <c r="YZ412" s="6"/>
      <c r="ZA412" s="6"/>
      <c r="ZB412" s="6"/>
      <c r="ZC412" s="6"/>
      <c r="ZD412" s="6"/>
      <c r="ZE412" s="6"/>
      <c r="ZF412" s="6"/>
      <c r="ZG412" s="6"/>
      <c r="ZH412" s="6"/>
      <c r="ZI412" s="6"/>
      <c r="ZJ412" s="6"/>
      <c r="ZK412" s="6"/>
      <c r="ZL412" s="6"/>
      <c r="ZM412" s="6"/>
      <c r="ZN412" s="6"/>
      <c r="ZO412" s="6"/>
      <c r="ZP412" s="6"/>
      <c r="ZQ412" s="6"/>
      <c r="ZR412" s="6"/>
      <c r="ZS412" s="6"/>
      <c r="ZT412" s="6"/>
      <c r="ZU412" s="6"/>
      <c r="ZV412" s="6"/>
      <c r="ZW412" s="6"/>
      <c r="ZX412" s="6"/>
      <c r="ZY412" s="6"/>
      <c r="ZZ412" s="6"/>
      <c r="AAA412" s="6"/>
      <c r="AAB412" s="6"/>
      <c r="AAC412" s="6"/>
      <c r="AAD412" s="6"/>
      <c r="AAE412" s="6"/>
      <c r="AAF412" s="6"/>
      <c r="AAG412" s="6"/>
      <c r="AAH412" s="6"/>
      <c r="AAI412" s="6"/>
      <c r="AAJ412" s="6"/>
      <c r="AAK412" s="6"/>
      <c r="AAL412" s="6"/>
      <c r="AAM412" s="6"/>
      <c r="AAN412" s="6"/>
      <c r="AAO412" s="6"/>
      <c r="AAP412" s="6"/>
      <c r="AAQ412" s="6"/>
      <c r="AAR412" s="6"/>
      <c r="AAS412" s="6"/>
      <c r="AAT412" s="6"/>
      <c r="AAU412" s="6"/>
      <c r="AAV412" s="6"/>
      <c r="AAW412" s="6"/>
      <c r="AAX412" s="6"/>
      <c r="AAY412" s="6"/>
      <c r="AAZ412" s="6"/>
      <c r="ABA412" s="6"/>
      <c r="ABB412" s="6"/>
      <c r="ABC412" s="6"/>
      <c r="ABD412" s="6"/>
      <c r="ABE412" s="6"/>
      <c r="ABF412" s="6"/>
      <c r="ABG412" s="6"/>
      <c r="ABH412" s="6"/>
      <c r="ABI412" s="6"/>
      <c r="ABJ412" s="6"/>
      <c r="ABK412" s="6"/>
      <c r="ABL412" s="6"/>
      <c r="ABM412" s="6"/>
      <c r="ABN412" s="6"/>
      <c r="ABO412" s="6"/>
      <c r="ABP412" s="6"/>
      <c r="ABQ412" s="6"/>
      <c r="ABR412" s="6"/>
      <c r="ABS412" s="6"/>
      <c r="ABT412" s="6"/>
      <c r="ABU412" s="6"/>
      <c r="ABV412" s="6"/>
      <c r="ABW412" s="6"/>
      <c r="ABX412" s="6"/>
      <c r="ABY412" s="6"/>
      <c r="ABZ412" s="6"/>
      <c r="ACA412" s="6"/>
      <c r="ACB412" s="6"/>
      <c r="ACC412" s="6"/>
      <c r="ACD412" s="6"/>
      <c r="ACE412" s="6"/>
      <c r="ACF412" s="6"/>
      <c r="ACG412" s="6"/>
      <c r="ACH412" s="6"/>
      <c r="ACI412" s="6"/>
      <c r="ACJ412" s="6"/>
      <c r="ACK412" s="6"/>
      <c r="ACL412" s="6"/>
      <c r="ACM412" s="6"/>
      <c r="ACN412" s="6"/>
      <c r="ACO412" s="6"/>
      <c r="ACP412" s="6"/>
      <c r="ACQ412" s="6"/>
      <c r="ACR412" s="6"/>
      <c r="ACS412" s="6"/>
      <c r="ACT412" s="6"/>
      <c r="ACU412" s="6"/>
      <c r="ACV412" s="6"/>
      <c r="ACW412" s="6"/>
      <c r="ACX412" s="6"/>
      <c r="ACY412" s="6"/>
      <c r="ACZ412" s="6"/>
      <c r="ADA412" s="6"/>
      <c r="ADB412" s="6"/>
      <c r="ADC412" s="6"/>
      <c r="ADD412" s="6"/>
      <c r="ADE412" s="6"/>
      <c r="ADF412" s="6"/>
      <c r="ADG412" s="6"/>
      <c r="ADH412" s="6"/>
      <c r="ADI412" s="6"/>
      <c r="ADJ412" s="6"/>
      <c r="ADK412" s="6"/>
      <c r="ADL412" s="6"/>
      <c r="ADM412" s="6"/>
      <c r="ADN412" s="6"/>
      <c r="ADO412" s="6"/>
      <c r="ADP412" s="6"/>
      <c r="ADQ412" s="6"/>
      <c r="ADR412" s="6"/>
      <c r="ADS412" s="6"/>
      <c r="ADT412" s="6"/>
      <c r="ADU412" s="6"/>
      <c r="ADV412" s="6"/>
      <c r="ADW412" s="6"/>
      <c r="ADX412" s="6"/>
      <c r="ADY412" s="6"/>
      <c r="ADZ412" s="6"/>
      <c r="AEA412" s="6"/>
      <c r="AEB412" s="6"/>
      <c r="AEC412" s="6"/>
      <c r="AED412" s="6"/>
      <c r="AEE412" s="6"/>
      <c r="AEF412" s="6"/>
      <c r="AEG412" s="6"/>
      <c r="AEH412" s="6"/>
      <c r="AEI412" s="6"/>
      <c r="AEJ412" s="6"/>
      <c r="AEK412" s="6"/>
      <c r="AEL412" s="6"/>
      <c r="AEM412" s="6"/>
      <c r="AEN412" s="6"/>
      <c r="AEO412" s="6"/>
      <c r="AEP412" s="6"/>
      <c r="AEQ412" s="6"/>
      <c r="AER412" s="6"/>
      <c r="AES412" s="6"/>
      <c r="AET412" s="6"/>
      <c r="AEU412" s="6"/>
      <c r="AEV412" s="6"/>
      <c r="AEW412" s="6"/>
      <c r="AEX412" s="6"/>
      <c r="AEY412" s="6"/>
      <c r="AEZ412" s="6"/>
      <c r="AFA412" s="6"/>
      <c r="AFB412" s="6"/>
      <c r="AFC412" s="6"/>
      <c r="AFD412" s="6"/>
      <c r="AFE412" s="6"/>
      <c r="AFF412" s="6"/>
      <c r="AFG412" s="6"/>
      <c r="AFH412" s="6"/>
      <c r="AFI412" s="6"/>
      <c r="AFJ412" s="6"/>
      <c r="AFK412" s="6"/>
      <c r="AFL412" s="6"/>
      <c r="AFM412" s="6"/>
      <c r="AFN412" s="6"/>
      <c r="AFO412" s="6"/>
      <c r="AFP412" s="6"/>
      <c r="AFQ412" s="6"/>
      <c r="AFR412" s="6"/>
      <c r="AFS412" s="6"/>
      <c r="AFT412" s="6"/>
      <c r="AFU412" s="6"/>
      <c r="AFV412" s="6"/>
      <c r="AFW412" s="6"/>
      <c r="AFX412" s="6"/>
      <c r="AFY412" s="6"/>
      <c r="AFZ412" s="6"/>
      <c r="AGA412" s="6"/>
      <c r="AGB412" s="6"/>
      <c r="AGC412" s="6"/>
      <c r="AGD412" s="6"/>
      <c r="AGE412" s="6"/>
      <c r="AGF412" s="6"/>
      <c r="AGG412" s="6"/>
      <c r="AGH412" s="6"/>
      <c r="AGI412" s="6"/>
      <c r="AGJ412" s="6"/>
      <c r="AGK412" s="6"/>
      <c r="AGL412" s="6"/>
      <c r="AGM412" s="6"/>
      <c r="AGN412" s="6"/>
      <c r="AGO412" s="6"/>
      <c r="AGP412" s="6"/>
      <c r="AGQ412" s="6"/>
      <c r="AGR412" s="6"/>
      <c r="AGS412" s="6"/>
      <c r="AGT412" s="6"/>
      <c r="AGU412" s="6"/>
      <c r="AGV412" s="6"/>
      <c r="AGW412" s="6"/>
      <c r="AGX412" s="6"/>
      <c r="AGY412" s="6"/>
      <c r="AGZ412" s="6"/>
      <c r="AHA412" s="6"/>
      <c r="AHB412" s="6"/>
      <c r="AHC412" s="6"/>
      <c r="AHD412" s="6"/>
      <c r="AHE412" s="6"/>
      <c r="AHF412" s="6"/>
      <c r="AHG412" s="6"/>
      <c r="AHH412" s="6"/>
      <c r="AHI412" s="6"/>
      <c r="AHJ412" s="6"/>
      <c r="AHK412" s="6"/>
      <c r="AHL412" s="6"/>
      <c r="AHM412" s="6"/>
      <c r="AHN412" s="6"/>
      <c r="AHO412" s="6"/>
      <c r="AHP412" s="6"/>
      <c r="AHQ412" s="6"/>
      <c r="AHR412" s="6"/>
      <c r="AHS412" s="6"/>
      <c r="AHT412" s="6"/>
      <c r="AHU412" s="6"/>
      <c r="AHV412" s="6"/>
      <c r="AHW412" s="6"/>
      <c r="AHX412" s="6"/>
      <c r="AHY412" s="6"/>
      <c r="AHZ412" s="6"/>
      <c r="AIA412" s="6"/>
      <c r="AIB412" s="6"/>
      <c r="AIC412" s="6"/>
      <c r="AID412" s="6"/>
      <c r="AIE412" s="6"/>
      <c r="AIF412" s="6"/>
      <c r="AIG412" s="6"/>
      <c r="AIH412" s="6"/>
      <c r="AII412" s="6"/>
      <c r="AIJ412" s="6"/>
      <c r="AIK412" s="6"/>
      <c r="AIL412" s="6"/>
      <c r="AIM412" s="6"/>
      <c r="AIN412" s="6"/>
      <c r="AIO412" s="6"/>
      <c r="AIP412" s="6"/>
      <c r="AIQ412" s="6"/>
      <c r="AIR412" s="6"/>
      <c r="AIS412" s="6"/>
      <c r="AIT412" s="6"/>
      <c r="AIU412" s="6"/>
      <c r="AIV412" s="6"/>
      <c r="AIW412" s="6"/>
      <c r="AIX412" s="6"/>
      <c r="AIY412" s="6"/>
      <c r="AIZ412" s="6"/>
      <c r="AJA412" s="6"/>
      <c r="AJB412" s="6"/>
      <c r="AJC412" s="6"/>
      <c r="AJD412" s="6"/>
      <c r="AJE412" s="6"/>
      <c r="AJF412" s="6"/>
      <c r="AJG412" s="6"/>
      <c r="AJH412" s="6"/>
      <c r="AJI412" s="6"/>
      <c r="AJJ412" s="6"/>
      <c r="AJK412" s="6"/>
      <c r="AJL412" s="6"/>
      <c r="AJM412" s="6"/>
      <c r="AJN412" s="6"/>
      <c r="AJO412" s="6"/>
      <c r="AJP412" s="6"/>
      <c r="AJQ412" s="6"/>
      <c r="AJR412" s="6"/>
      <c r="AJS412" s="6"/>
      <c r="AJT412" s="6"/>
      <c r="AJU412" s="6"/>
      <c r="AJV412" s="6"/>
      <c r="AJW412" s="6"/>
      <c r="AJX412" s="6"/>
      <c r="AJY412" s="6"/>
      <c r="AJZ412" s="6"/>
      <c r="AKA412" s="6"/>
      <c r="AKB412" s="6"/>
      <c r="AKC412" s="6"/>
      <c r="AKD412" s="6"/>
      <c r="AKE412" s="6"/>
      <c r="AKF412" s="6"/>
      <c r="AKG412" s="6"/>
      <c r="AKH412" s="6"/>
      <c r="AKI412" s="6"/>
      <c r="AKJ412" s="6"/>
      <c r="AKK412" s="6"/>
      <c r="AKL412" s="6"/>
      <c r="AKM412" s="6"/>
      <c r="AKN412" s="6"/>
      <c r="AKO412" s="6"/>
      <c r="AKP412" s="6"/>
      <c r="AKQ412" s="6"/>
      <c r="AKR412" s="6"/>
      <c r="AKS412" s="6"/>
      <c r="AKT412" s="6"/>
      <c r="AKU412" s="6"/>
      <c r="AKV412" s="6"/>
      <c r="AKW412" s="6"/>
      <c r="AKX412" s="6"/>
      <c r="AKY412" s="6"/>
      <c r="AKZ412" s="6"/>
      <c r="ALA412" s="6"/>
      <c r="ALB412" s="6"/>
      <c r="ALC412" s="6"/>
      <c r="ALD412" s="6"/>
      <c r="ALE412" s="6"/>
      <c r="ALF412" s="6"/>
      <c r="ALG412" s="6"/>
      <c r="ALH412" s="6"/>
      <c r="ALI412" s="6"/>
      <c r="ALJ412" s="6"/>
      <c r="ALK412" s="6"/>
      <c r="ALL412" s="6"/>
      <c r="ALM412" s="6"/>
      <c r="ALN412" s="6"/>
      <c r="ALO412" s="6"/>
      <c r="ALP412" s="6"/>
      <c r="ALQ412" s="6"/>
      <c r="ALR412" s="6"/>
      <c r="ALS412" s="6"/>
      <c r="ALT412" s="6"/>
      <c r="ALU412" s="6"/>
      <c r="ALV412" s="6"/>
      <c r="ALW412" s="6"/>
      <c r="ALX412" s="6"/>
      <c r="ALY412" s="6"/>
      <c r="ALZ412" s="6"/>
      <c r="AMA412" s="6"/>
      <c r="AMB412" s="6"/>
      <c r="AMC412" s="6"/>
      <c r="AMD412" s="6"/>
      <c r="AME412" s="6"/>
      <c r="AMF412" s="6"/>
      <c r="AMG412" s="6"/>
      <c r="AMH412" s="6"/>
      <c r="AMI412" s="6"/>
      <c r="AMJ412" s="6"/>
      <c r="AMK412" s="6"/>
      <c r="AML412" s="6"/>
      <c r="AMM412" s="6"/>
      <c r="AMN412" s="6"/>
      <c r="AMO412" s="6"/>
      <c r="AMP412" s="6"/>
    </row>
    <row r="413" spans="1:1030" x14ac:dyDescent="0.2">
      <c r="A413" s="3" t="str">
        <f t="shared" ref="A413:A414" si="3719">CONCATENATE(B413,"_",C413)</f>
        <v>ta2r_human__wt</v>
      </c>
      <c r="B413" s="2" t="s">
        <v>469</v>
      </c>
      <c r="C413" s="3" t="s">
        <v>100</v>
      </c>
      <c r="D413" s="3" t="str">
        <f>IFERROR(MID(VLOOKUP($B413,Seqs!$A:$B,2,0),E413,1),"")</f>
        <v>S</v>
      </c>
      <c r="E413" s="3">
        <v>27</v>
      </c>
      <c r="F413" s="3" t="str">
        <f>IFERROR(MID(VLOOKUP($B413,Seqs!$A:$B,2,0),G413,1),"")</f>
        <v>Q</v>
      </c>
      <c r="G413" s="3">
        <v>54</v>
      </c>
      <c r="H413" s="3" t="str">
        <f>IFERROR(MID(VLOOKUP($B413,Seqs!$A:$B,2,0),I413,1),"")</f>
        <v/>
      </c>
      <c r="I413" s="23" t="s">
        <v>23</v>
      </c>
      <c r="J413" s="3" t="str">
        <f>IFERROR(MID(VLOOKUP($B413,Seqs!$A:$B,2,0),K413,1),"")</f>
        <v/>
      </c>
      <c r="K413" s="23" t="s">
        <v>23</v>
      </c>
      <c r="L413" s="3" t="str">
        <f>IFERROR(MID(VLOOKUP($B413,Seqs!$A:$B,2,0),M413,1),"")</f>
        <v>S</v>
      </c>
      <c r="M413" s="3">
        <v>61</v>
      </c>
      <c r="N413" s="3" t="str">
        <f>IFERROR(MID(VLOOKUP($B413,Seqs!$A:$B,2,0),O413,1),"")</f>
        <v>A</v>
      </c>
      <c r="O413" s="3">
        <v>91</v>
      </c>
      <c r="P413" s="3" t="str">
        <f>IFERROR(MID(VLOOKUP($B413,Seqs!$A:$B,2,0),Q413,1),"")</f>
        <v>E</v>
      </c>
      <c r="Q413" s="3">
        <v>94</v>
      </c>
      <c r="R413" s="3" t="str">
        <f>IFERROR(MID(VLOOKUP($B413,Seqs!$A:$B,2,0),S413,1),"")</f>
        <v>V</v>
      </c>
      <c r="S413" s="3">
        <v>98</v>
      </c>
      <c r="T413" s="3" t="str">
        <f>IFERROR(MID(VLOOKUP($B413,Seqs!$A:$B,2,0),U413,1),"")</f>
        <v>C</v>
      </c>
      <c r="U413" s="3">
        <v>102</v>
      </c>
      <c r="V413" s="3" t="str">
        <f>IFERROR(MID(VLOOKUP($B413,Seqs!$A:$B,2,0),W413,1),"")</f>
        <v>R</v>
      </c>
      <c r="W413" s="3">
        <v>136</v>
      </c>
      <c r="X413" s="3" t="str">
        <f>IFERROR(MID(VLOOKUP($B413,Seqs!$A:$B,2,0),Y413,1),"")</f>
        <v>P</v>
      </c>
      <c r="Y413" s="3">
        <v>137</v>
      </c>
      <c r="Z413" s="3" t="str">
        <f>IFERROR(MID(VLOOKUP($B413,Seqs!$A:$B,2,0),AA413,1),"")</f>
        <v>A</v>
      </c>
      <c r="AA413" s="3">
        <v>144</v>
      </c>
      <c r="AB413" s="3" t="str">
        <f>IFERROR(MID(VLOOKUP($B413,Seqs!$A:$B,2,0),AC413,1),"")</f>
        <v>S</v>
      </c>
      <c r="AC413" s="3">
        <v>145</v>
      </c>
      <c r="AD413" s="3" t="str">
        <f>IFERROR(MID(VLOOKUP($B413,Seqs!$A:$B,2,0),AE413,1),"")</f>
        <v>G</v>
      </c>
      <c r="AE413" s="3">
        <v>170</v>
      </c>
      <c r="AF413" s="3" t="str">
        <f>IFERROR(MID(VLOOKUP($B413,Seqs!$A:$B,2,0),AG413,1),"")</f>
        <v>C</v>
      </c>
      <c r="AG413" s="3">
        <v>183</v>
      </c>
      <c r="AH413" s="3" t="str">
        <f>IFERROR(MID(VLOOKUP($B413,Seqs!$A:$B,2,0),AI413,1),"")</f>
        <v>L</v>
      </c>
      <c r="AI413" s="3">
        <v>185</v>
      </c>
      <c r="AJ413" s="3" t="str">
        <f>IFERROR(MID(VLOOKUP($B413,Seqs!$A:$B,2,0),AK413,1),"")</f>
        <v>E</v>
      </c>
      <c r="AK413" s="3">
        <v>190</v>
      </c>
      <c r="AL413" s="3" t="str">
        <f>IFERROR(MID(VLOOKUP($B413,Seqs!$A:$B,2,0),AM413,1),"")</f>
        <v>P</v>
      </c>
      <c r="AM413" s="3">
        <v>236</v>
      </c>
      <c r="AN413" s="3" t="str">
        <f>IFERROR(MID(VLOOKUP($B413,Seqs!$A:$B,2,0),AO413,1),"")</f>
        <v>E</v>
      </c>
      <c r="AO413" s="3">
        <v>240</v>
      </c>
      <c r="AP413" s="3" t="str">
        <f>IFERROR(MID(VLOOKUP($B413,Seqs!$A:$B,2,0),AQ413,1),"")</f>
        <v>R</v>
      </c>
      <c r="AQ413" s="3">
        <v>271</v>
      </c>
      <c r="AR413" s="3" t="str">
        <f>IFERROR(MID(VLOOKUP($B413,Seqs!$A:$B,2,0),AS413,1),"")</f>
        <v>S</v>
      </c>
      <c r="AS413" s="3">
        <v>283</v>
      </c>
      <c r="AT413" s="3" t="str">
        <f>IFERROR(MID(VLOOKUP($B413,Seqs!$A:$B,2,0),AU413,1),"")</f>
        <v>F</v>
      </c>
      <c r="AU413" s="3">
        <v>311</v>
      </c>
      <c r="AV413" s="3" t="str">
        <f>IFERROR(MID(VLOOKUP($B413,Seqs!$A:$B,2,0),AW413,1),"")</f>
        <v>R</v>
      </c>
      <c r="AW413" s="3">
        <v>312</v>
      </c>
      <c r="AX413" s="3" t="str">
        <f>IFERROR(MID(VLOOKUP($B413,Seqs!$A:$B,2,0),AY413,1),"")</f>
        <v>S</v>
      </c>
      <c r="AY413" s="3">
        <v>331</v>
      </c>
      <c r="AZ413" s="77" t="str">
        <f>VLOOKUP(B413,Classification!A:D,2,0)</f>
        <v>A</v>
      </c>
      <c r="BA413" s="94" t="str">
        <f>VLOOKUP(B413,Classification!A:D,4,0)</f>
        <v>Prostanoid</v>
      </c>
      <c r="BB413" s="27" t="b">
        <f t="shared" ref="BB413:BB414" si="3720"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23">
        <f t="shared" ref="BC413:BC414" si="3721">_xlfn.AGGREGATE(9,6,CH413:CS413)-_xlfn.AGGREGATE(9,6,BV413:CG413)+12</f>
        <v>265</v>
      </c>
      <c r="BD413" s="4" t="s">
        <v>23</v>
      </c>
      <c r="BE413" s="3" t="s">
        <v>23</v>
      </c>
      <c r="BF413" s="118" t="s">
        <v>23</v>
      </c>
      <c r="BG413" s="49" t="s">
        <v>1</v>
      </c>
      <c r="BH413" s="49" t="s">
        <v>1</v>
      </c>
      <c r="BI413" s="1"/>
      <c r="BJ413" s="70" t="s">
        <v>1283</v>
      </c>
      <c r="BK413" s="57" t="s">
        <v>1283</v>
      </c>
      <c r="BL413" s="57" t="s">
        <v>1283</v>
      </c>
      <c r="BM413" s="57" t="s">
        <v>1283</v>
      </c>
      <c r="BN413" s="57" t="s">
        <v>1283</v>
      </c>
      <c r="BO413" s="57" t="s">
        <v>1283</v>
      </c>
      <c r="BP413" s="57" t="s">
        <v>1283</v>
      </c>
      <c r="BQ413" s="57" t="s">
        <v>1283</v>
      </c>
      <c r="BR413" s="57" t="s">
        <v>1283</v>
      </c>
      <c r="BS413" s="57" t="s">
        <v>1283</v>
      </c>
      <c r="BT413" s="57" t="s">
        <v>1283</v>
      </c>
      <c r="BU413" s="57" t="s">
        <v>1283</v>
      </c>
      <c r="BV413" s="70">
        <f t="shared" ref="BV413:BV414" si="3722">E413</f>
        <v>27</v>
      </c>
      <c r="BW413" s="71" t="str">
        <f t="shared" ref="BW413:BW414" si="3723">I413</f>
        <v>-</v>
      </c>
      <c r="BX413" s="72">
        <f t="shared" ref="BX413:BX414" si="3724">M413</f>
        <v>61</v>
      </c>
      <c r="BY413" s="71">
        <f t="shared" ref="BY413:BY414" si="3725">Q413</f>
        <v>94</v>
      </c>
      <c r="BZ413" s="72">
        <f t="shared" ref="BZ413:BZ414" si="3726">U413</f>
        <v>102</v>
      </c>
      <c r="CA413" s="71">
        <f t="shared" ref="CA413:CA414" si="3727">Y413</f>
        <v>137</v>
      </c>
      <c r="CB413" s="72">
        <f t="shared" ref="CB413:CB414" si="3728">AC413</f>
        <v>145</v>
      </c>
      <c r="CC413" s="71">
        <f t="shared" ref="CC413:CC414" si="3729">AG413</f>
        <v>183</v>
      </c>
      <c r="CD413" s="72">
        <f t="shared" ref="CD413:CD414" si="3730">AK413</f>
        <v>190</v>
      </c>
      <c r="CE413" s="71">
        <f t="shared" ref="CE413:CE414" si="3731">AO413</f>
        <v>240</v>
      </c>
      <c r="CF413" s="72">
        <f t="shared" ref="CF413:CF414" si="3732">AS413</f>
        <v>283</v>
      </c>
      <c r="CG413" s="71">
        <f t="shared" ref="CG413:CG414" si="3733">AW413</f>
        <v>312</v>
      </c>
      <c r="CH413" s="70">
        <f t="shared" ref="CH413:CH414" si="3734">G413</f>
        <v>54</v>
      </c>
      <c r="CI413" s="71" t="str">
        <f t="shared" ref="CI413:CI414" si="3735">K413</f>
        <v>-</v>
      </c>
      <c r="CJ413" s="72">
        <f t="shared" ref="CJ413:CJ414" si="3736">O413</f>
        <v>91</v>
      </c>
      <c r="CK413" s="72">
        <f t="shared" ref="CK413:CK414" si="3737">S413</f>
        <v>98</v>
      </c>
      <c r="CL413" s="72">
        <f t="shared" ref="CL413:CL414" si="3738">W413</f>
        <v>136</v>
      </c>
      <c r="CM413" s="72">
        <f t="shared" ref="CM413:CM414" si="3739">AA413</f>
        <v>144</v>
      </c>
      <c r="CN413" s="72">
        <f t="shared" ref="CN413:CN414" si="3740">AE413</f>
        <v>170</v>
      </c>
      <c r="CO413" s="72">
        <f t="shared" ref="CO413:CO414" si="3741">AI413</f>
        <v>185</v>
      </c>
      <c r="CP413" s="72">
        <f t="shared" ref="CP413:CP414" si="3742">AM413</f>
        <v>236</v>
      </c>
      <c r="CQ413" s="72">
        <f t="shared" ref="CQ413:CQ414" si="3743">AQ413</f>
        <v>271</v>
      </c>
      <c r="CR413" s="72">
        <f t="shared" ref="CR413:CR414" si="3744">AU413</f>
        <v>311</v>
      </c>
      <c r="CS413" s="72">
        <f t="shared" ref="CS413:CS414" si="3745">AY413</f>
        <v>331</v>
      </c>
      <c r="CT413" s="23" t="e">
        <f t="shared" ref="CT413:CT414" si="3746">M413-K413</f>
        <v>#VALUE!</v>
      </c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Q413" s="6"/>
      <c r="KR413" s="6"/>
      <c r="KS413" s="6"/>
      <c r="KT413" s="6"/>
      <c r="KU413" s="6"/>
      <c r="KV413" s="6"/>
      <c r="KW413" s="6"/>
      <c r="KX413" s="6"/>
      <c r="KY413" s="6"/>
      <c r="KZ413" s="6"/>
      <c r="LA413" s="6"/>
      <c r="LB413" s="6"/>
      <c r="LC413" s="6"/>
      <c r="LD413" s="6"/>
      <c r="LE413" s="6"/>
      <c r="LF413" s="6"/>
      <c r="LG413" s="6"/>
      <c r="LH413" s="6"/>
      <c r="LI413" s="6"/>
      <c r="LJ413" s="6"/>
      <c r="LK413" s="6"/>
      <c r="LL413" s="6"/>
      <c r="LM413" s="6"/>
      <c r="LN413" s="6"/>
      <c r="LO413" s="6"/>
      <c r="LP413" s="6"/>
      <c r="LQ413" s="6"/>
      <c r="LR413" s="6"/>
      <c r="LS413" s="6"/>
      <c r="LT413" s="6"/>
      <c r="LU413" s="6"/>
      <c r="LV413" s="6"/>
      <c r="LW413" s="6"/>
      <c r="LX413" s="6"/>
      <c r="LY413" s="6"/>
      <c r="LZ413" s="6"/>
      <c r="MA413" s="6"/>
      <c r="MB413" s="6"/>
      <c r="MC413" s="6"/>
      <c r="MD413" s="6"/>
      <c r="ME413" s="6"/>
      <c r="MF413" s="6"/>
      <c r="MG413" s="6"/>
      <c r="MH413" s="6"/>
      <c r="MI413" s="6"/>
      <c r="MJ413" s="6"/>
      <c r="MK413" s="6"/>
      <c r="ML413" s="6"/>
      <c r="MM413" s="6"/>
      <c r="MN413" s="6"/>
      <c r="MO413" s="6"/>
      <c r="MP413" s="6"/>
      <c r="MQ413" s="6"/>
      <c r="MR413" s="6"/>
      <c r="MS413" s="6"/>
      <c r="MT413" s="6"/>
      <c r="MU413" s="6"/>
      <c r="MV413" s="6"/>
      <c r="MW413" s="6"/>
      <c r="MX413" s="6"/>
      <c r="MY413" s="6"/>
      <c r="MZ413" s="6"/>
      <c r="NA413" s="6"/>
      <c r="NB413" s="6"/>
      <c r="NC413" s="6"/>
      <c r="ND413" s="6"/>
      <c r="NE413" s="6"/>
      <c r="NF413" s="6"/>
      <c r="NG413" s="6"/>
      <c r="NH413" s="6"/>
      <c r="NI413" s="6"/>
      <c r="NJ413" s="6"/>
      <c r="NK413" s="6"/>
      <c r="NL413" s="6"/>
      <c r="NM413" s="6"/>
      <c r="NN413" s="6"/>
      <c r="NO413" s="6"/>
      <c r="NP413" s="6"/>
      <c r="NQ413" s="6"/>
      <c r="NR413" s="6"/>
      <c r="NS413" s="6"/>
      <c r="NT413" s="6"/>
      <c r="NU413" s="6"/>
      <c r="NV413" s="6"/>
      <c r="NW413" s="6"/>
      <c r="NX413" s="6"/>
      <c r="NY413" s="6"/>
      <c r="NZ413" s="6"/>
      <c r="OA413" s="6"/>
      <c r="OB413" s="6"/>
      <c r="OC413" s="6"/>
      <c r="OD413" s="6"/>
      <c r="OE413" s="6"/>
      <c r="OF413" s="6"/>
      <c r="OG413" s="6"/>
      <c r="OH413" s="6"/>
      <c r="OI413" s="6"/>
      <c r="OJ413" s="6"/>
      <c r="OK413" s="6"/>
      <c r="OL413" s="6"/>
      <c r="OM413" s="6"/>
      <c r="ON413" s="6"/>
      <c r="OO413" s="6"/>
      <c r="OP413" s="6"/>
      <c r="OQ413" s="6"/>
      <c r="OR413" s="6"/>
      <c r="OS413" s="6"/>
      <c r="OT413" s="6"/>
      <c r="OU413" s="6"/>
      <c r="OV413" s="6"/>
      <c r="OW413" s="6"/>
      <c r="OX413" s="6"/>
      <c r="OY413" s="6"/>
      <c r="OZ413" s="6"/>
      <c r="PA413" s="6"/>
      <c r="PB413" s="6"/>
      <c r="PC413" s="6"/>
      <c r="PD413" s="6"/>
      <c r="PE413" s="6"/>
      <c r="PF413" s="6"/>
      <c r="PG413" s="6"/>
      <c r="PH413" s="6"/>
      <c r="PI413" s="6"/>
      <c r="PJ413" s="6"/>
      <c r="PK413" s="6"/>
      <c r="PL413" s="6"/>
      <c r="PM413" s="6"/>
      <c r="PN413" s="6"/>
      <c r="PO413" s="6"/>
      <c r="PP413" s="6"/>
      <c r="PQ413" s="6"/>
      <c r="PR413" s="6"/>
      <c r="PS413" s="6"/>
      <c r="PT413" s="6"/>
      <c r="PU413" s="6"/>
      <c r="PV413" s="6"/>
      <c r="PW413" s="6"/>
      <c r="PX413" s="6"/>
      <c r="PY413" s="6"/>
      <c r="PZ413" s="6"/>
      <c r="QA413" s="6"/>
      <c r="QB413" s="6"/>
      <c r="QC413" s="6"/>
      <c r="QD413" s="6"/>
      <c r="QE413" s="6"/>
      <c r="QF413" s="6"/>
      <c r="QG413" s="6"/>
      <c r="QH413" s="6"/>
      <c r="QI413" s="6"/>
      <c r="QJ413" s="6"/>
      <c r="QK413" s="6"/>
      <c r="QL413" s="6"/>
      <c r="QM413" s="6"/>
      <c r="QN413" s="6"/>
      <c r="QO413" s="6"/>
      <c r="QP413" s="6"/>
      <c r="QQ413" s="6"/>
      <c r="QR413" s="6"/>
      <c r="QS413" s="6"/>
      <c r="QT413" s="6"/>
      <c r="QU413" s="6"/>
      <c r="QV413" s="6"/>
      <c r="QW413" s="6"/>
      <c r="QX413" s="6"/>
      <c r="QY413" s="6"/>
      <c r="QZ413" s="6"/>
      <c r="RA413" s="6"/>
      <c r="RB413" s="6"/>
      <c r="RC413" s="6"/>
      <c r="RD413" s="6"/>
      <c r="RE413" s="6"/>
      <c r="RF413" s="6"/>
      <c r="RG413" s="6"/>
      <c r="RH413" s="6"/>
      <c r="RI413" s="6"/>
      <c r="RJ413" s="6"/>
      <c r="RK413" s="6"/>
      <c r="RL413" s="6"/>
      <c r="RM413" s="6"/>
      <c r="RN413" s="6"/>
      <c r="RO413" s="6"/>
      <c r="RP413" s="6"/>
      <c r="RQ413" s="6"/>
      <c r="RR413" s="6"/>
      <c r="RS413" s="6"/>
      <c r="RT413" s="6"/>
      <c r="RU413" s="6"/>
      <c r="RV413" s="6"/>
      <c r="RW413" s="6"/>
      <c r="RX413" s="6"/>
      <c r="RY413" s="6"/>
      <c r="RZ413" s="6"/>
      <c r="SA413" s="6"/>
      <c r="SB413" s="6"/>
      <c r="SC413" s="6"/>
      <c r="SD413" s="6"/>
      <c r="SE413" s="6"/>
      <c r="SF413" s="6"/>
      <c r="SG413" s="6"/>
      <c r="SH413" s="6"/>
      <c r="SI413" s="6"/>
      <c r="SJ413" s="6"/>
      <c r="SK413" s="6"/>
      <c r="SL413" s="6"/>
      <c r="SM413" s="6"/>
      <c r="SN413" s="6"/>
      <c r="SO413" s="6"/>
      <c r="SP413" s="6"/>
      <c r="SQ413" s="6"/>
      <c r="SR413" s="6"/>
      <c r="SS413" s="6"/>
      <c r="ST413" s="6"/>
      <c r="SU413" s="6"/>
      <c r="SV413" s="6"/>
      <c r="SW413" s="6"/>
      <c r="SX413" s="6"/>
      <c r="SY413" s="6"/>
      <c r="SZ413" s="6"/>
      <c r="TA413" s="6"/>
      <c r="TB413" s="6"/>
      <c r="TC413" s="6"/>
      <c r="TD413" s="6"/>
      <c r="TE413" s="6"/>
      <c r="TF413" s="6"/>
      <c r="TG413" s="6"/>
      <c r="TH413" s="6"/>
      <c r="TI413" s="6"/>
      <c r="TJ413" s="6"/>
      <c r="TK413" s="6"/>
      <c r="TL413" s="6"/>
      <c r="TM413" s="6"/>
      <c r="TN413" s="6"/>
      <c r="TO413" s="6"/>
      <c r="TP413" s="6"/>
      <c r="TQ413" s="6"/>
      <c r="TR413" s="6"/>
      <c r="TS413" s="6"/>
      <c r="TT413" s="6"/>
      <c r="TU413" s="6"/>
      <c r="TV413" s="6"/>
      <c r="TW413" s="6"/>
      <c r="TX413" s="6"/>
      <c r="TY413" s="6"/>
      <c r="TZ413" s="6"/>
      <c r="UA413" s="6"/>
      <c r="UB413" s="6"/>
      <c r="UC413" s="6"/>
      <c r="UD413" s="6"/>
      <c r="UE413" s="6"/>
      <c r="UF413" s="6"/>
      <c r="UG413" s="6"/>
      <c r="UH413" s="6"/>
      <c r="UI413" s="6"/>
      <c r="UJ413" s="6"/>
      <c r="UK413" s="6"/>
      <c r="UL413" s="6"/>
      <c r="UM413" s="6"/>
      <c r="UN413" s="6"/>
      <c r="UO413" s="6"/>
      <c r="UP413" s="6"/>
      <c r="UQ413" s="6"/>
      <c r="UR413" s="6"/>
      <c r="US413" s="6"/>
      <c r="UT413" s="6"/>
      <c r="UU413" s="6"/>
      <c r="UV413" s="6"/>
      <c r="UW413" s="6"/>
      <c r="UX413" s="6"/>
      <c r="UY413" s="6"/>
      <c r="UZ413" s="6"/>
      <c r="VA413" s="6"/>
      <c r="VB413" s="6"/>
      <c r="VC413" s="6"/>
      <c r="VD413" s="6"/>
      <c r="VE413" s="6"/>
      <c r="VF413" s="6"/>
      <c r="VG413" s="6"/>
      <c r="VH413" s="6"/>
      <c r="VI413" s="6"/>
      <c r="VJ413" s="6"/>
      <c r="VK413" s="6"/>
      <c r="VL413" s="6"/>
      <c r="VM413" s="6"/>
      <c r="VN413" s="6"/>
      <c r="VO413" s="6"/>
      <c r="VP413" s="6"/>
      <c r="VQ413" s="6"/>
      <c r="VR413" s="6"/>
      <c r="VS413" s="6"/>
      <c r="VT413" s="6"/>
      <c r="VU413" s="6"/>
      <c r="VV413" s="6"/>
      <c r="VW413" s="6"/>
      <c r="VX413" s="6"/>
      <c r="VY413" s="6"/>
      <c r="VZ413" s="6"/>
      <c r="WA413" s="6"/>
      <c r="WB413" s="6"/>
      <c r="WC413" s="6"/>
      <c r="WD413" s="6"/>
      <c r="WE413" s="6"/>
      <c r="WF413" s="6"/>
      <c r="WG413" s="6"/>
      <c r="WH413" s="6"/>
      <c r="WI413" s="6"/>
      <c r="WJ413" s="6"/>
      <c r="WK413" s="6"/>
      <c r="WL413" s="6"/>
      <c r="WM413" s="6"/>
      <c r="WN413" s="6"/>
      <c r="WO413" s="6"/>
      <c r="WP413" s="6"/>
      <c r="WQ413" s="6"/>
      <c r="WR413" s="6"/>
      <c r="WS413" s="6"/>
      <c r="WT413" s="6"/>
      <c r="WU413" s="6"/>
      <c r="WV413" s="6"/>
      <c r="WW413" s="6"/>
      <c r="WX413" s="6"/>
      <c r="WY413" s="6"/>
      <c r="WZ413" s="6"/>
      <c r="XA413" s="6"/>
      <c r="XB413" s="6"/>
      <c r="XC413" s="6"/>
      <c r="XD413" s="6"/>
      <c r="XE413" s="6"/>
      <c r="XF413" s="6"/>
      <c r="XG413" s="6"/>
      <c r="XH413" s="6"/>
      <c r="XI413" s="6"/>
      <c r="XJ413" s="6"/>
      <c r="XK413" s="6"/>
      <c r="XL413" s="6"/>
      <c r="XM413" s="6"/>
      <c r="XN413" s="6"/>
      <c r="XO413" s="6"/>
      <c r="XP413" s="6"/>
      <c r="XQ413" s="6"/>
      <c r="XR413" s="6"/>
      <c r="XS413" s="6"/>
      <c r="XT413" s="6"/>
      <c r="XU413" s="6"/>
      <c r="XV413" s="6"/>
      <c r="XW413" s="6"/>
      <c r="XX413" s="6"/>
      <c r="XY413" s="6"/>
      <c r="XZ413" s="6"/>
      <c r="YA413" s="6"/>
      <c r="YB413" s="6"/>
      <c r="YC413" s="6"/>
      <c r="YD413" s="6"/>
      <c r="YE413" s="6"/>
      <c r="YF413" s="6"/>
      <c r="YG413" s="6"/>
      <c r="YH413" s="6"/>
      <c r="YI413" s="6"/>
      <c r="YJ413" s="6"/>
      <c r="YK413" s="6"/>
      <c r="YL413" s="6"/>
      <c r="YM413" s="6"/>
      <c r="YN413" s="6"/>
      <c r="YO413" s="6"/>
      <c r="YP413" s="6"/>
      <c r="YQ413" s="6"/>
      <c r="YR413" s="6"/>
      <c r="YS413" s="6"/>
      <c r="YT413" s="6"/>
      <c r="YU413" s="6"/>
      <c r="YV413" s="6"/>
      <c r="YW413" s="6"/>
      <c r="YX413" s="6"/>
      <c r="YY413" s="6"/>
      <c r="YZ413" s="6"/>
      <c r="ZA413" s="6"/>
      <c r="ZB413" s="6"/>
      <c r="ZC413" s="6"/>
      <c r="ZD413" s="6"/>
      <c r="ZE413" s="6"/>
      <c r="ZF413" s="6"/>
      <c r="ZG413" s="6"/>
      <c r="ZH413" s="6"/>
      <c r="ZI413" s="6"/>
      <c r="ZJ413" s="6"/>
      <c r="ZK413" s="6"/>
      <c r="ZL413" s="6"/>
      <c r="ZM413" s="6"/>
      <c r="ZN413" s="6"/>
      <c r="ZO413" s="6"/>
      <c r="ZP413" s="6"/>
      <c r="ZQ413" s="6"/>
      <c r="ZR413" s="6"/>
      <c r="ZS413" s="6"/>
      <c r="ZT413" s="6"/>
      <c r="ZU413" s="6"/>
      <c r="ZV413" s="6"/>
      <c r="ZW413" s="6"/>
      <c r="ZX413" s="6"/>
      <c r="ZY413" s="6"/>
      <c r="ZZ413" s="6"/>
      <c r="AAA413" s="6"/>
      <c r="AAB413" s="6"/>
      <c r="AAC413" s="6"/>
      <c r="AAD413" s="6"/>
      <c r="AAE413" s="6"/>
      <c r="AAF413" s="6"/>
      <c r="AAG413" s="6"/>
      <c r="AAH413" s="6"/>
      <c r="AAI413" s="6"/>
      <c r="AAJ413" s="6"/>
      <c r="AAK413" s="6"/>
      <c r="AAL413" s="6"/>
      <c r="AAM413" s="6"/>
      <c r="AAN413" s="6"/>
      <c r="AAO413" s="6"/>
      <c r="AAP413" s="6"/>
      <c r="AAQ413" s="6"/>
      <c r="AAR413" s="6"/>
      <c r="AAS413" s="6"/>
      <c r="AAT413" s="6"/>
      <c r="AAU413" s="6"/>
      <c r="AAV413" s="6"/>
      <c r="AAW413" s="6"/>
      <c r="AAX413" s="6"/>
      <c r="AAY413" s="6"/>
      <c r="AAZ413" s="6"/>
      <c r="ABA413" s="6"/>
      <c r="ABB413" s="6"/>
      <c r="ABC413" s="6"/>
      <c r="ABD413" s="6"/>
      <c r="ABE413" s="6"/>
      <c r="ABF413" s="6"/>
      <c r="ABG413" s="6"/>
      <c r="ABH413" s="6"/>
      <c r="ABI413" s="6"/>
      <c r="ABJ413" s="6"/>
      <c r="ABK413" s="6"/>
      <c r="ABL413" s="6"/>
      <c r="ABM413" s="6"/>
      <c r="ABN413" s="6"/>
      <c r="ABO413" s="6"/>
      <c r="ABP413" s="6"/>
      <c r="ABQ413" s="6"/>
      <c r="ABR413" s="6"/>
      <c r="ABS413" s="6"/>
      <c r="ABT413" s="6"/>
      <c r="ABU413" s="6"/>
      <c r="ABV413" s="6"/>
      <c r="ABW413" s="6"/>
      <c r="ABX413" s="6"/>
      <c r="ABY413" s="6"/>
      <c r="ABZ413" s="6"/>
      <c r="ACA413" s="6"/>
      <c r="ACB413" s="6"/>
      <c r="ACC413" s="6"/>
      <c r="ACD413" s="6"/>
      <c r="ACE413" s="6"/>
      <c r="ACF413" s="6"/>
      <c r="ACG413" s="6"/>
      <c r="ACH413" s="6"/>
      <c r="ACI413" s="6"/>
      <c r="ACJ413" s="6"/>
      <c r="ACK413" s="6"/>
      <c r="ACL413" s="6"/>
      <c r="ACM413" s="6"/>
      <c r="ACN413" s="6"/>
      <c r="ACO413" s="6"/>
      <c r="ACP413" s="6"/>
      <c r="ACQ413" s="6"/>
      <c r="ACR413" s="6"/>
      <c r="ACS413" s="6"/>
      <c r="ACT413" s="6"/>
      <c r="ACU413" s="6"/>
      <c r="ACV413" s="6"/>
      <c r="ACW413" s="6"/>
      <c r="ACX413" s="6"/>
      <c r="ACY413" s="6"/>
      <c r="ACZ413" s="6"/>
      <c r="ADA413" s="6"/>
      <c r="ADB413" s="6"/>
      <c r="ADC413" s="6"/>
      <c r="ADD413" s="6"/>
      <c r="ADE413" s="6"/>
      <c r="ADF413" s="6"/>
      <c r="ADG413" s="6"/>
      <c r="ADH413" s="6"/>
      <c r="ADI413" s="6"/>
      <c r="ADJ413" s="6"/>
      <c r="ADK413" s="6"/>
      <c r="ADL413" s="6"/>
      <c r="ADM413" s="6"/>
      <c r="ADN413" s="6"/>
      <c r="ADO413" s="6"/>
      <c r="ADP413" s="6"/>
      <c r="ADQ413" s="6"/>
      <c r="ADR413" s="6"/>
      <c r="ADS413" s="6"/>
      <c r="ADT413" s="6"/>
      <c r="ADU413" s="6"/>
      <c r="ADV413" s="6"/>
      <c r="ADW413" s="6"/>
      <c r="ADX413" s="6"/>
      <c r="ADY413" s="6"/>
      <c r="ADZ413" s="6"/>
      <c r="AEA413" s="6"/>
      <c r="AEB413" s="6"/>
      <c r="AEC413" s="6"/>
      <c r="AED413" s="6"/>
      <c r="AEE413" s="6"/>
      <c r="AEF413" s="6"/>
      <c r="AEG413" s="6"/>
      <c r="AEH413" s="6"/>
      <c r="AEI413" s="6"/>
      <c r="AEJ413" s="6"/>
      <c r="AEK413" s="6"/>
      <c r="AEL413" s="6"/>
      <c r="AEM413" s="6"/>
      <c r="AEN413" s="6"/>
      <c r="AEO413" s="6"/>
      <c r="AEP413" s="6"/>
      <c r="AEQ413" s="6"/>
      <c r="AER413" s="6"/>
      <c r="AES413" s="6"/>
      <c r="AET413" s="6"/>
      <c r="AEU413" s="6"/>
      <c r="AEV413" s="6"/>
      <c r="AEW413" s="6"/>
      <c r="AEX413" s="6"/>
      <c r="AEY413" s="6"/>
      <c r="AEZ413" s="6"/>
      <c r="AFA413" s="6"/>
      <c r="AFB413" s="6"/>
      <c r="AFC413" s="6"/>
      <c r="AFD413" s="6"/>
      <c r="AFE413" s="6"/>
      <c r="AFF413" s="6"/>
      <c r="AFG413" s="6"/>
      <c r="AFH413" s="6"/>
      <c r="AFI413" s="6"/>
      <c r="AFJ413" s="6"/>
      <c r="AFK413" s="6"/>
      <c r="AFL413" s="6"/>
      <c r="AFM413" s="6"/>
      <c r="AFN413" s="6"/>
      <c r="AFO413" s="6"/>
      <c r="AFP413" s="6"/>
      <c r="AFQ413" s="6"/>
      <c r="AFR413" s="6"/>
      <c r="AFS413" s="6"/>
      <c r="AFT413" s="6"/>
      <c r="AFU413" s="6"/>
      <c r="AFV413" s="6"/>
      <c r="AFW413" s="6"/>
      <c r="AFX413" s="6"/>
      <c r="AFY413" s="6"/>
      <c r="AFZ413" s="6"/>
      <c r="AGA413" s="6"/>
      <c r="AGB413" s="6"/>
      <c r="AGC413" s="6"/>
      <c r="AGD413" s="6"/>
      <c r="AGE413" s="6"/>
      <c r="AGF413" s="6"/>
      <c r="AGG413" s="6"/>
      <c r="AGH413" s="6"/>
      <c r="AGI413" s="6"/>
      <c r="AGJ413" s="6"/>
      <c r="AGK413" s="6"/>
      <c r="AGL413" s="6"/>
      <c r="AGM413" s="6"/>
      <c r="AGN413" s="6"/>
      <c r="AGO413" s="6"/>
      <c r="AGP413" s="6"/>
      <c r="AGQ413" s="6"/>
      <c r="AGR413" s="6"/>
      <c r="AGS413" s="6"/>
      <c r="AGT413" s="6"/>
      <c r="AGU413" s="6"/>
      <c r="AGV413" s="6"/>
      <c r="AGW413" s="6"/>
      <c r="AGX413" s="6"/>
      <c r="AGY413" s="6"/>
      <c r="AGZ413" s="6"/>
      <c r="AHA413" s="6"/>
      <c r="AHB413" s="6"/>
      <c r="AHC413" s="6"/>
      <c r="AHD413" s="6"/>
      <c r="AHE413" s="6"/>
      <c r="AHF413" s="6"/>
      <c r="AHG413" s="6"/>
      <c r="AHH413" s="6"/>
      <c r="AHI413" s="6"/>
      <c r="AHJ413" s="6"/>
      <c r="AHK413" s="6"/>
      <c r="AHL413" s="6"/>
      <c r="AHM413" s="6"/>
      <c r="AHN413" s="6"/>
      <c r="AHO413" s="6"/>
      <c r="AHP413" s="6"/>
      <c r="AHQ413" s="6"/>
      <c r="AHR413" s="6"/>
      <c r="AHS413" s="6"/>
      <c r="AHT413" s="6"/>
      <c r="AHU413" s="6"/>
      <c r="AHV413" s="6"/>
      <c r="AHW413" s="6"/>
      <c r="AHX413" s="6"/>
      <c r="AHY413" s="6"/>
      <c r="AHZ413" s="6"/>
      <c r="AIA413" s="6"/>
      <c r="AIB413" s="6"/>
      <c r="AIC413" s="6"/>
      <c r="AID413" s="6"/>
      <c r="AIE413" s="6"/>
      <c r="AIF413" s="6"/>
      <c r="AIG413" s="6"/>
      <c r="AIH413" s="6"/>
      <c r="AII413" s="6"/>
      <c r="AIJ413" s="6"/>
      <c r="AIK413" s="6"/>
      <c r="AIL413" s="6"/>
      <c r="AIM413" s="6"/>
      <c r="AIN413" s="6"/>
      <c r="AIO413" s="6"/>
      <c r="AIP413" s="6"/>
      <c r="AIQ413" s="6"/>
      <c r="AIR413" s="6"/>
      <c r="AIS413" s="6"/>
      <c r="AIT413" s="6"/>
      <c r="AIU413" s="6"/>
      <c r="AIV413" s="6"/>
      <c r="AIW413" s="6"/>
      <c r="AIX413" s="6"/>
      <c r="AIY413" s="6"/>
      <c r="AIZ413" s="6"/>
      <c r="AJA413" s="6"/>
      <c r="AJB413" s="6"/>
      <c r="AJC413" s="6"/>
      <c r="AJD413" s="6"/>
      <c r="AJE413" s="6"/>
      <c r="AJF413" s="6"/>
      <c r="AJG413" s="6"/>
      <c r="AJH413" s="6"/>
      <c r="AJI413" s="6"/>
      <c r="AJJ413" s="6"/>
      <c r="AJK413" s="6"/>
      <c r="AJL413" s="6"/>
      <c r="AJM413" s="6"/>
      <c r="AJN413" s="6"/>
      <c r="AJO413" s="6"/>
      <c r="AJP413" s="6"/>
      <c r="AJQ413" s="6"/>
      <c r="AJR413" s="6"/>
      <c r="AJS413" s="6"/>
      <c r="AJT413" s="6"/>
      <c r="AJU413" s="6"/>
      <c r="AJV413" s="6"/>
      <c r="AJW413" s="6"/>
      <c r="AJX413" s="6"/>
      <c r="AJY413" s="6"/>
      <c r="AJZ413" s="6"/>
      <c r="AKA413" s="6"/>
      <c r="AKB413" s="6"/>
      <c r="AKC413" s="6"/>
      <c r="AKD413" s="6"/>
      <c r="AKE413" s="6"/>
      <c r="AKF413" s="6"/>
      <c r="AKG413" s="6"/>
      <c r="AKH413" s="6"/>
      <c r="AKI413" s="6"/>
      <c r="AKJ413" s="6"/>
      <c r="AKK413" s="6"/>
      <c r="AKL413" s="6"/>
      <c r="AKM413" s="6"/>
      <c r="AKN413" s="6"/>
      <c r="AKO413" s="6"/>
      <c r="AKP413" s="6"/>
      <c r="AKQ413" s="6"/>
      <c r="AKR413" s="6"/>
      <c r="AKS413" s="6"/>
      <c r="AKT413" s="6"/>
      <c r="AKU413" s="6"/>
      <c r="AKV413" s="6"/>
      <c r="AKW413" s="6"/>
      <c r="AKX413" s="6"/>
      <c r="AKY413" s="6"/>
      <c r="AKZ413" s="6"/>
      <c r="ALA413" s="6"/>
      <c r="ALB413" s="6"/>
      <c r="ALC413" s="6"/>
      <c r="ALD413" s="6"/>
      <c r="ALE413" s="6"/>
      <c r="ALF413" s="6"/>
      <c r="ALG413" s="6"/>
      <c r="ALH413" s="6"/>
      <c r="ALI413" s="6"/>
      <c r="ALJ413" s="6"/>
      <c r="ALK413" s="6"/>
      <c r="ALL413" s="6"/>
      <c r="ALM413" s="6"/>
      <c r="ALN413" s="6"/>
      <c r="ALO413" s="6"/>
      <c r="ALP413" s="6"/>
      <c r="ALQ413" s="6"/>
      <c r="ALR413" s="6"/>
      <c r="ALS413" s="6"/>
      <c r="ALT413" s="6"/>
      <c r="ALU413" s="6"/>
      <c r="ALV413" s="6"/>
      <c r="ALW413" s="6"/>
      <c r="ALX413" s="6"/>
      <c r="ALY413" s="6"/>
      <c r="ALZ413" s="6"/>
      <c r="AMA413" s="6"/>
      <c r="AMB413" s="6"/>
      <c r="AMC413" s="6"/>
      <c r="AMD413" s="6"/>
      <c r="AME413" s="6"/>
      <c r="AMF413" s="6"/>
      <c r="AMG413" s="6"/>
      <c r="AMH413" s="6"/>
      <c r="AMI413" s="6"/>
      <c r="AMJ413" s="6"/>
      <c r="AMK413" s="6"/>
      <c r="AML413" s="6"/>
      <c r="AMM413" s="6"/>
      <c r="AMN413" s="6"/>
      <c r="AMO413" s="6"/>
      <c r="AMP413" s="6"/>
    </row>
    <row r="414" spans="1:1030" x14ac:dyDescent="0.2">
      <c r="A414" s="3" t="str">
        <f t="shared" si="3719"/>
        <v>ta2r_human_6IIU</v>
      </c>
      <c r="B414" s="2" t="s">
        <v>469</v>
      </c>
      <c r="C414" s="3" t="s">
        <v>1544</v>
      </c>
      <c r="D414" s="3" t="str">
        <f>IFERROR(MID(VLOOKUP($B414,Seqs!$A:$B,2,0),E414,1),"")</f>
        <v>S</v>
      </c>
      <c r="E414" s="3">
        <v>27</v>
      </c>
      <c r="F414" s="3" t="str">
        <f>IFERROR(MID(VLOOKUP($B414,Seqs!$A:$B,2,0),G414,1),"")</f>
        <v>A</v>
      </c>
      <c r="G414" s="3">
        <v>52</v>
      </c>
      <c r="H414" s="3" t="str">
        <f>IFERROR(MID(VLOOKUP($B414,Seqs!$A:$B,2,0),I414,1),"")</f>
        <v/>
      </c>
      <c r="I414" s="23" t="s">
        <v>23</v>
      </c>
      <c r="J414" s="3" t="str">
        <f>IFERROR(MID(VLOOKUP($B414,Seqs!$A:$B,2,0),K414,1),"")</f>
        <v/>
      </c>
      <c r="K414" s="23" t="s">
        <v>23</v>
      </c>
      <c r="L414" s="3" t="str">
        <f>IFERROR(MID(VLOOKUP($B414,Seqs!$A:$B,2,0),M414,1),"")</f>
        <v>S</v>
      </c>
      <c r="M414" s="3">
        <v>61</v>
      </c>
      <c r="N414" s="3" t="str">
        <f>IFERROR(MID(VLOOKUP($B414,Seqs!$A:$B,2,0),O414,1),"")</f>
        <v>A</v>
      </c>
      <c r="O414" s="3">
        <v>91</v>
      </c>
      <c r="P414" s="3" t="str">
        <f>IFERROR(MID(VLOOKUP($B414,Seqs!$A:$B,2,0),Q414,1),"")</f>
        <v>E</v>
      </c>
      <c r="Q414" s="3">
        <v>94</v>
      </c>
      <c r="R414" s="3" t="str">
        <f>IFERROR(MID(VLOOKUP($B414,Seqs!$A:$B,2,0),S414,1),"")</f>
        <v>V</v>
      </c>
      <c r="S414" s="3">
        <v>98</v>
      </c>
      <c r="T414" s="3" t="str">
        <f>IFERROR(MID(VLOOKUP($B414,Seqs!$A:$B,2,0),U414,1),"")</f>
        <v>C</v>
      </c>
      <c r="U414" s="3">
        <v>102</v>
      </c>
      <c r="V414" s="3" t="str">
        <f>IFERROR(MID(VLOOKUP($B414,Seqs!$A:$B,2,0),W414,1),"")</f>
        <v>R</v>
      </c>
      <c r="W414" s="3">
        <v>136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A</v>
      </c>
      <c r="AC414" s="3">
        <v>142</v>
      </c>
      <c r="AD414" s="3" t="str">
        <f>IFERROR(MID(VLOOKUP($B414,Seqs!$A:$B,2,0),AE414,1),"")</f>
        <v>L</v>
      </c>
      <c r="AE414" s="3">
        <v>169</v>
      </c>
      <c r="AF414" s="3" t="str">
        <f>IFERROR(MID(VLOOKUP($B414,Seqs!$A:$B,2,0),AG414,1),"")</f>
        <v>C</v>
      </c>
      <c r="AG414" s="3">
        <v>183</v>
      </c>
      <c r="AH414" s="3" t="str">
        <f>IFERROR(MID(VLOOKUP($B414,Seqs!$A:$B,2,0),AI414,1),"")</f>
        <v>L</v>
      </c>
      <c r="AI414" s="3">
        <v>185</v>
      </c>
      <c r="AJ414" s="3" t="str">
        <f>IFERROR(MID(VLOOKUP($B414,Seqs!$A:$B,2,0),AK414,1),"")</f>
        <v>E</v>
      </c>
      <c r="AK414" s="3">
        <v>190</v>
      </c>
      <c r="AL414" s="3" t="str">
        <f>IFERROR(MID(VLOOKUP($B414,Seqs!$A:$B,2,0),AM414,1),"")</f>
        <v>Y</v>
      </c>
      <c r="AM414" s="3">
        <v>226</v>
      </c>
      <c r="AN414" s="3" t="str">
        <f>IFERROR(MID(VLOOKUP($B414,Seqs!$A:$B,2,0),AO414,1),"")</f>
        <v>R</v>
      </c>
      <c r="AO414" s="3">
        <v>237</v>
      </c>
      <c r="AP414" s="3" t="str">
        <f>IFERROR(MID(VLOOKUP($B414,Seqs!$A:$B,2,0),AQ414,1),"")</f>
        <v>R</v>
      </c>
      <c r="AQ414" s="3">
        <v>271</v>
      </c>
      <c r="AR414" s="3" t="str">
        <f>IFERROR(MID(VLOOKUP($B414,Seqs!$A:$B,2,0),AS414,1),"")</f>
        <v>S</v>
      </c>
      <c r="AS414" s="3">
        <v>283</v>
      </c>
      <c r="AT414" s="3" t="str">
        <f>IFERROR(MID(VLOOKUP($B414,Seqs!$A:$B,2,0),AU414,1),"")</f>
        <v>F</v>
      </c>
      <c r="AU414" s="3">
        <v>311</v>
      </c>
      <c r="AV414" s="3" t="str">
        <f>IFERROR(MID(VLOOKUP($B414,Seqs!$A:$B,2,0),AW414,1),"")</f>
        <v>R</v>
      </c>
      <c r="AW414" s="3">
        <v>312</v>
      </c>
      <c r="AX414" s="3" t="str">
        <f>IFERROR(MID(VLOOKUP($B414,Seqs!$A:$B,2,0),AY414,1),"")</f>
        <v>Q</v>
      </c>
      <c r="AY414" s="3">
        <v>320</v>
      </c>
      <c r="AZ414" s="77" t="str">
        <f>VLOOKUP(B414,Classification!A:D,2,0)</f>
        <v>A</v>
      </c>
      <c r="BA414" s="94" t="str">
        <f>VLOOKUP(B414,Classification!A:D,4,0)</f>
        <v>Prostanoid</v>
      </c>
      <c r="BB414" s="27" t="b">
        <f t="shared" si="3720"/>
        <v>1</v>
      </c>
      <c r="BC414" s="23">
        <f t="shared" si="3721"/>
        <v>240</v>
      </c>
      <c r="BD414" s="4" t="s">
        <v>23</v>
      </c>
      <c r="BE414" s="3" t="s">
        <v>1370</v>
      </c>
      <c r="BF414" s="118">
        <v>2.5</v>
      </c>
      <c r="BG414" s="49" t="s">
        <v>1</v>
      </c>
      <c r="BH414" s="49" t="s">
        <v>1</v>
      </c>
      <c r="BI414" s="1"/>
      <c r="BJ414" s="70" t="s">
        <v>1283</v>
      </c>
      <c r="BK414" s="57" t="s">
        <v>1283</v>
      </c>
      <c r="BL414" s="57" t="s">
        <v>1283</v>
      </c>
      <c r="BM414" s="57" t="s">
        <v>1283</v>
      </c>
      <c r="BN414" s="57" t="s">
        <v>1283</v>
      </c>
      <c r="BO414" s="57" t="s">
        <v>1283</v>
      </c>
      <c r="BP414" s="57" t="s">
        <v>1283</v>
      </c>
      <c r="BQ414" s="57" t="s">
        <v>1283</v>
      </c>
      <c r="BR414" s="57" t="s">
        <v>1283</v>
      </c>
      <c r="BS414" s="57" t="s">
        <v>1283</v>
      </c>
      <c r="BT414" s="57" t="s">
        <v>1283</v>
      </c>
      <c r="BU414" s="57" t="s">
        <v>1283</v>
      </c>
      <c r="BV414" s="70">
        <f t="shared" si="3722"/>
        <v>27</v>
      </c>
      <c r="BW414" s="71" t="str">
        <f t="shared" si="3723"/>
        <v>-</v>
      </c>
      <c r="BX414" s="72">
        <f t="shared" si="3724"/>
        <v>61</v>
      </c>
      <c r="BY414" s="71">
        <f t="shared" si="3725"/>
        <v>94</v>
      </c>
      <c r="BZ414" s="72">
        <f t="shared" si="3726"/>
        <v>102</v>
      </c>
      <c r="CA414" s="71" t="str">
        <f t="shared" si="3727"/>
        <v>-</v>
      </c>
      <c r="CB414" s="72">
        <f t="shared" si="3728"/>
        <v>142</v>
      </c>
      <c r="CC414" s="71">
        <f t="shared" si="3729"/>
        <v>183</v>
      </c>
      <c r="CD414" s="72">
        <f t="shared" si="3730"/>
        <v>190</v>
      </c>
      <c r="CE414" s="71">
        <f t="shared" si="3731"/>
        <v>237</v>
      </c>
      <c r="CF414" s="72">
        <f t="shared" si="3732"/>
        <v>283</v>
      </c>
      <c r="CG414" s="71">
        <f t="shared" si="3733"/>
        <v>312</v>
      </c>
      <c r="CH414" s="70">
        <f t="shared" si="3734"/>
        <v>52</v>
      </c>
      <c r="CI414" s="71" t="str">
        <f t="shared" si="3735"/>
        <v>-</v>
      </c>
      <c r="CJ414" s="72">
        <f t="shared" si="3736"/>
        <v>91</v>
      </c>
      <c r="CK414" s="72">
        <f t="shared" si="3737"/>
        <v>98</v>
      </c>
      <c r="CL414" s="72">
        <f t="shared" si="3738"/>
        <v>136</v>
      </c>
      <c r="CM414" s="72" t="str">
        <f t="shared" si="3739"/>
        <v>-</v>
      </c>
      <c r="CN414" s="72">
        <f t="shared" si="3740"/>
        <v>169</v>
      </c>
      <c r="CO414" s="72">
        <f t="shared" si="3741"/>
        <v>185</v>
      </c>
      <c r="CP414" s="72">
        <f t="shared" si="3742"/>
        <v>226</v>
      </c>
      <c r="CQ414" s="72">
        <f t="shared" si="3743"/>
        <v>271</v>
      </c>
      <c r="CR414" s="72">
        <f t="shared" si="3744"/>
        <v>311</v>
      </c>
      <c r="CS414" s="72">
        <f t="shared" si="3745"/>
        <v>320</v>
      </c>
      <c r="CT414" s="23" t="e">
        <f t="shared" si="3746"/>
        <v>#VALUE!</v>
      </c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6"/>
      <c r="MI414" s="6"/>
      <c r="MJ414" s="6"/>
      <c r="MK414" s="6"/>
      <c r="ML414" s="6"/>
      <c r="MM414" s="6"/>
      <c r="MN414" s="6"/>
      <c r="MO414" s="6"/>
      <c r="MP414" s="6"/>
      <c r="MQ414" s="6"/>
      <c r="MR414" s="6"/>
      <c r="MS414" s="6"/>
      <c r="MT414" s="6"/>
      <c r="MU414" s="6"/>
      <c r="MV414" s="6"/>
      <c r="MW414" s="6"/>
      <c r="MX414" s="6"/>
      <c r="MY414" s="6"/>
      <c r="MZ414" s="6"/>
      <c r="NA414" s="6"/>
      <c r="NB414" s="6"/>
      <c r="NC414" s="6"/>
      <c r="ND414" s="6"/>
      <c r="NE414" s="6"/>
      <c r="NF414" s="6"/>
      <c r="NG414" s="6"/>
      <c r="NH414" s="6"/>
      <c r="NI414" s="6"/>
      <c r="NJ414" s="6"/>
      <c r="NK414" s="6"/>
      <c r="NL414" s="6"/>
      <c r="NM414" s="6"/>
      <c r="NN414" s="6"/>
      <c r="NO414" s="6"/>
      <c r="NP414" s="6"/>
      <c r="NQ414" s="6"/>
      <c r="NR414" s="6"/>
      <c r="NS414" s="6"/>
      <c r="NT414" s="6"/>
      <c r="NU414" s="6"/>
      <c r="NV414" s="6"/>
      <c r="NW414" s="6"/>
      <c r="NX414" s="6"/>
      <c r="NY414" s="6"/>
      <c r="NZ414" s="6"/>
      <c r="OA414" s="6"/>
      <c r="OB414" s="6"/>
      <c r="OC414" s="6"/>
      <c r="OD414" s="6"/>
      <c r="OE414" s="6"/>
      <c r="OF414" s="6"/>
      <c r="OG414" s="6"/>
      <c r="OH414" s="6"/>
      <c r="OI414" s="6"/>
      <c r="OJ414" s="6"/>
      <c r="OK414" s="6"/>
      <c r="OL414" s="6"/>
      <c r="OM414" s="6"/>
      <c r="ON414" s="6"/>
      <c r="OO414" s="6"/>
      <c r="OP414" s="6"/>
      <c r="OQ414" s="6"/>
      <c r="OR414" s="6"/>
      <c r="OS414" s="6"/>
      <c r="OT414" s="6"/>
      <c r="OU414" s="6"/>
      <c r="OV414" s="6"/>
      <c r="OW414" s="6"/>
      <c r="OX414" s="6"/>
      <c r="OY414" s="6"/>
      <c r="OZ414" s="6"/>
      <c r="PA414" s="6"/>
      <c r="PB414" s="6"/>
      <c r="PC414" s="6"/>
      <c r="PD414" s="6"/>
      <c r="PE414" s="6"/>
      <c r="PF414" s="6"/>
      <c r="PG414" s="6"/>
      <c r="PH414" s="6"/>
      <c r="PI414" s="6"/>
      <c r="PJ414" s="6"/>
      <c r="PK414" s="6"/>
      <c r="PL414" s="6"/>
      <c r="PM414" s="6"/>
      <c r="PN414" s="6"/>
      <c r="PO414" s="6"/>
      <c r="PP414" s="6"/>
      <c r="PQ414" s="6"/>
      <c r="PR414" s="6"/>
      <c r="PS414" s="6"/>
      <c r="PT414" s="6"/>
      <c r="PU414" s="6"/>
      <c r="PV414" s="6"/>
      <c r="PW414" s="6"/>
      <c r="PX414" s="6"/>
      <c r="PY414" s="6"/>
      <c r="PZ414" s="6"/>
      <c r="QA414" s="6"/>
      <c r="QB414" s="6"/>
      <c r="QC414" s="6"/>
      <c r="QD414" s="6"/>
      <c r="QE414" s="6"/>
      <c r="QF414" s="6"/>
      <c r="QG414" s="6"/>
      <c r="QH414" s="6"/>
      <c r="QI414" s="6"/>
      <c r="QJ414" s="6"/>
      <c r="QK414" s="6"/>
      <c r="QL414" s="6"/>
      <c r="QM414" s="6"/>
      <c r="QN414" s="6"/>
      <c r="QO414" s="6"/>
      <c r="QP414" s="6"/>
      <c r="QQ414" s="6"/>
      <c r="QR414" s="6"/>
      <c r="QS414" s="6"/>
      <c r="QT414" s="6"/>
      <c r="QU414" s="6"/>
      <c r="QV414" s="6"/>
      <c r="QW414" s="6"/>
      <c r="QX414" s="6"/>
      <c r="QY414" s="6"/>
      <c r="QZ414" s="6"/>
      <c r="RA414" s="6"/>
      <c r="RB414" s="6"/>
      <c r="RC414" s="6"/>
      <c r="RD414" s="6"/>
      <c r="RE414" s="6"/>
      <c r="RF414" s="6"/>
      <c r="RG414" s="6"/>
      <c r="RH414" s="6"/>
      <c r="RI414" s="6"/>
      <c r="RJ414" s="6"/>
      <c r="RK414" s="6"/>
      <c r="RL414" s="6"/>
      <c r="RM414" s="6"/>
      <c r="RN414" s="6"/>
      <c r="RO414" s="6"/>
      <c r="RP414" s="6"/>
      <c r="RQ414" s="6"/>
      <c r="RR414" s="6"/>
      <c r="RS414" s="6"/>
      <c r="RT414" s="6"/>
      <c r="RU414" s="6"/>
      <c r="RV414" s="6"/>
      <c r="RW414" s="6"/>
      <c r="RX414" s="6"/>
      <c r="RY414" s="6"/>
      <c r="RZ414" s="6"/>
      <c r="SA414" s="6"/>
      <c r="SB414" s="6"/>
      <c r="SC414" s="6"/>
      <c r="SD414" s="6"/>
      <c r="SE414" s="6"/>
      <c r="SF414" s="6"/>
      <c r="SG414" s="6"/>
      <c r="SH414" s="6"/>
      <c r="SI414" s="6"/>
      <c r="SJ414" s="6"/>
      <c r="SK414" s="6"/>
      <c r="SL414" s="6"/>
      <c r="SM414" s="6"/>
      <c r="SN414" s="6"/>
      <c r="SO414" s="6"/>
      <c r="SP414" s="6"/>
      <c r="SQ414" s="6"/>
      <c r="SR414" s="6"/>
      <c r="SS414" s="6"/>
      <c r="ST414" s="6"/>
      <c r="SU414" s="6"/>
      <c r="SV414" s="6"/>
      <c r="SW414" s="6"/>
      <c r="SX414" s="6"/>
      <c r="SY414" s="6"/>
      <c r="SZ414" s="6"/>
      <c r="TA414" s="6"/>
      <c r="TB414" s="6"/>
      <c r="TC414" s="6"/>
      <c r="TD414" s="6"/>
      <c r="TE414" s="6"/>
      <c r="TF414" s="6"/>
      <c r="TG414" s="6"/>
      <c r="TH414" s="6"/>
      <c r="TI414" s="6"/>
      <c r="TJ414" s="6"/>
      <c r="TK414" s="6"/>
      <c r="TL414" s="6"/>
      <c r="TM414" s="6"/>
      <c r="TN414" s="6"/>
      <c r="TO414" s="6"/>
      <c r="TP414" s="6"/>
      <c r="TQ414" s="6"/>
      <c r="TR414" s="6"/>
      <c r="TS414" s="6"/>
      <c r="TT414" s="6"/>
      <c r="TU414" s="6"/>
      <c r="TV414" s="6"/>
      <c r="TW414" s="6"/>
      <c r="TX414" s="6"/>
      <c r="TY414" s="6"/>
      <c r="TZ414" s="6"/>
      <c r="UA414" s="6"/>
      <c r="UB414" s="6"/>
      <c r="UC414" s="6"/>
      <c r="UD414" s="6"/>
      <c r="UE414" s="6"/>
      <c r="UF414" s="6"/>
      <c r="UG414" s="6"/>
      <c r="UH414" s="6"/>
      <c r="UI414" s="6"/>
      <c r="UJ414" s="6"/>
      <c r="UK414" s="6"/>
      <c r="UL414" s="6"/>
      <c r="UM414" s="6"/>
      <c r="UN414" s="6"/>
      <c r="UO414" s="6"/>
      <c r="UP414" s="6"/>
      <c r="UQ414" s="6"/>
      <c r="UR414" s="6"/>
      <c r="US414" s="6"/>
      <c r="UT414" s="6"/>
      <c r="UU414" s="6"/>
      <c r="UV414" s="6"/>
      <c r="UW414" s="6"/>
      <c r="UX414" s="6"/>
      <c r="UY414" s="6"/>
      <c r="UZ414" s="6"/>
      <c r="VA414" s="6"/>
      <c r="VB414" s="6"/>
      <c r="VC414" s="6"/>
      <c r="VD414" s="6"/>
      <c r="VE414" s="6"/>
      <c r="VF414" s="6"/>
      <c r="VG414" s="6"/>
      <c r="VH414" s="6"/>
      <c r="VI414" s="6"/>
      <c r="VJ414" s="6"/>
      <c r="VK414" s="6"/>
      <c r="VL414" s="6"/>
      <c r="VM414" s="6"/>
      <c r="VN414" s="6"/>
      <c r="VO414" s="6"/>
      <c r="VP414" s="6"/>
      <c r="VQ414" s="6"/>
      <c r="VR414" s="6"/>
      <c r="VS414" s="6"/>
      <c r="VT414" s="6"/>
      <c r="VU414" s="6"/>
      <c r="VV414" s="6"/>
      <c r="VW414" s="6"/>
      <c r="VX414" s="6"/>
      <c r="VY414" s="6"/>
      <c r="VZ414" s="6"/>
      <c r="WA414" s="6"/>
      <c r="WB414" s="6"/>
      <c r="WC414" s="6"/>
      <c r="WD414" s="6"/>
      <c r="WE414" s="6"/>
      <c r="WF414" s="6"/>
      <c r="WG414" s="6"/>
      <c r="WH414" s="6"/>
      <c r="WI414" s="6"/>
      <c r="WJ414" s="6"/>
      <c r="WK414" s="6"/>
      <c r="WL414" s="6"/>
      <c r="WM414" s="6"/>
      <c r="WN414" s="6"/>
      <c r="WO414" s="6"/>
      <c r="WP414" s="6"/>
      <c r="WQ414" s="6"/>
      <c r="WR414" s="6"/>
      <c r="WS414" s="6"/>
      <c r="WT414" s="6"/>
      <c r="WU414" s="6"/>
      <c r="WV414" s="6"/>
      <c r="WW414" s="6"/>
      <c r="WX414" s="6"/>
      <c r="WY414" s="6"/>
      <c r="WZ414" s="6"/>
      <c r="XA414" s="6"/>
      <c r="XB414" s="6"/>
      <c r="XC414" s="6"/>
      <c r="XD414" s="6"/>
      <c r="XE414" s="6"/>
      <c r="XF414" s="6"/>
      <c r="XG414" s="6"/>
      <c r="XH414" s="6"/>
      <c r="XI414" s="6"/>
      <c r="XJ414" s="6"/>
      <c r="XK414" s="6"/>
      <c r="XL414" s="6"/>
      <c r="XM414" s="6"/>
      <c r="XN414" s="6"/>
      <c r="XO414" s="6"/>
      <c r="XP414" s="6"/>
      <c r="XQ414" s="6"/>
      <c r="XR414" s="6"/>
      <c r="XS414" s="6"/>
      <c r="XT414" s="6"/>
      <c r="XU414" s="6"/>
      <c r="XV414" s="6"/>
      <c r="XW414" s="6"/>
      <c r="XX414" s="6"/>
      <c r="XY414" s="6"/>
      <c r="XZ414" s="6"/>
      <c r="YA414" s="6"/>
      <c r="YB414" s="6"/>
      <c r="YC414" s="6"/>
      <c r="YD414" s="6"/>
      <c r="YE414" s="6"/>
      <c r="YF414" s="6"/>
      <c r="YG414" s="6"/>
      <c r="YH414" s="6"/>
      <c r="YI414" s="6"/>
      <c r="YJ414" s="6"/>
      <c r="YK414" s="6"/>
      <c r="YL414" s="6"/>
      <c r="YM414" s="6"/>
      <c r="YN414" s="6"/>
      <c r="YO414" s="6"/>
      <c r="YP414" s="6"/>
      <c r="YQ414" s="6"/>
      <c r="YR414" s="6"/>
      <c r="YS414" s="6"/>
      <c r="YT414" s="6"/>
      <c r="YU414" s="6"/>
      <c r="YV414" s="6"/>
      <c r="YW414" s="6"/>
      <c r="YX414" s="6"/>
      <c r="YY414" s="6"/>
      <c r="YZ414" s="6"/>
      <c r="ZA414" s="6"/>
      <c r="ZB414" s="6"/>
      <c r="ZC414" s="6"/>
      <c r="ZD414" s="6"/>
      <c r="ZE414" s="6"/>
      <c r="ZF414" s="6"/>
      <c r="ZG414" s="6"/>
      <c r="ZH414" s="6"/>
      <c r="ZI414" s="6"/>
      <c r="ZJ414" s="6"/>
      <c r="ZK414" s="6"/>
      <c r="ZL414" s="6"/>
      <c r="ZM414" s="6"/>
      <c r="ZN414" s="6"/>
      <c r="ZO414" s="6"/>
      <c r="ZP414" s="6"/>
      <c r="ZQ414" s="6"/>
      <c r="ZR414" s="6"/>
      <c r="ZS414" s="6"/>
      <c r="ZT414" s="6"/>
      <c r="ZU414" s="6"/>
      <c r="ZV414" s="6"/>
      <c r="ZW414" s="6"/>
      <c r="ZX414" s="6"/>
      <c r="ZY414" s="6"/>
      <c r="ZZ414" s="6"/>
      <c r="AAA414" s="6"/>
      <c r="AAB414" s="6"/>
      <c r="AAC414" s="6"/>
      <c r="AAD414" s="6"/>
      <c r="AAE414" s="6"/>
      <c r="AAF414" s="6"/>
      <c r="AAG414" s="6"/>
      <c r="AAH414" s="6"/>
      <c r="AAI414" s="6"/>
      <c r="AAJ414" s="6"/>
      <c r="AAK414" s="6"/>
      <c r="AAL414" s="6"/>
      <c r="AAM414" s="6"/>
      <c r="AAN414" s="6"/>
      <c r="AAO414" s="6"/>
      <c r="AAP414" s="6"/>
      <c r="AAQ414" s="6"/>
      <c r="AAR414" s="6"/>
      <c r="AAS414" s="6"/>
      <c r="AAT414" s="6"/>
      <c r="AAU414" s="6"/>
      <c r="AAV414" s="6"/>
      <c r="AAW414" s="6"/>
      <c r="AAX414" s="6"/>
      <c r="AAY414" s="6"/>
      <c r="AAZ414" s="6"/>
      <c r="ABA414" s="6"/>
      <c r="ABB414" s="6"/>
      <c r="ABC414" s="6"/>
      <c r="ABD414" s="6"/>
      <c r="ABE414" s="6"/>
      <c r="ABF414" s="6"/>
      <c r="ABG414" s="6"/>
      <c r="ABH414" s="6"/>
      <c r="ABI414" s="6"/>
      <c r="ABJ414" s="6"/>
      <c r="ABK414" s="6"/>
      <c r="ABL414" s="6"/>
      <c r="ABM414" s="6"/>
      <c r="ABN414" s="6"/>
      <c r="ABO414" s="6"/>
      <c r="ABP414" s="6"/>
      <c r="ABQ414" s="6"/>
      <c r="ABR414" s="6"/>
      <c r="ABS414" s="6"/>
      <c r="ABT414" s="6"/>
      <c r="ABU414" s="6"/>
      <c r="ABV414" s="6"/>
      <c r="ABW414" s="6"/>
      <c r="ABX414" s="6"/>
      <c r="ABY414" s="6"/>
      <c r="ABZ414" s="6"/>
      <c r="ACA414" s="6"/>
      <c r="ACB414" s="6"/>
      <c r="ACC414" s="6"/>
      <c r="ACD414" s="6"/>
      <c r="ACE414" s="6"/>
      <c r="ACF414" s="6"/>
      <c r="ACG414" s="6"/>
      <c r="ACH414" s="6"/>
      <c r="ACI414" s="6"/>
      <c r="ACJ414" s="6"/>
      <c r="ACK414" s="6"/>
      <c r="ACL414" s="6"/>
      <c r="ACM414" s="6"/>
      <c r="ACN414" s="6"/>
      <c r="ACO414" s="6"/>
      <c r="ACP414" s="6"/>
      <c r="ACQ414" s="6"/>
      <c r="ACR414" s="6"/>
      <c r="ACS414" s="6"/>
      <c r="ACT414" s="6"/>
      <c r="ACU414" s="6"/>
      <c r="ACV414" s="6"/>
      <c r="ACW414" s="6"/>
      <c r="ACX414" s="6"/>
      <c r="ACY414" s="6"/>
      <c r="ACZ414" s="6"/>
      <c r="ADA414" s="6"/>
      <c r="ADB414" s="6"/>
      <c r="ADC414" s="6"/>
      <c r="ADD414" s="6"/>
      <c r="ADE414" s="6"/>
      <c r="ADF414" s="6"/>
      <c r="ADG414" s="6"/>
      <c r="ADH414" s="6"/>
      <c r="ADI414" s="6"/>
      <c r="ADJ414" s="6"/>
      <c r="ADK414" s="6"/>
      <c r="ADL414" s="6"/>
      <c r="ADM414" s="6"/>
      <c r="ADN414" s="6"/>
      <c r="ADO414" s="6"/>
      <c r="ADP414" s="6"/>
      <c r="ADQ414" s="6"/>
      <c r="ADR414" s="6"/>
      <c r="ADS414" s="6"/>
      <c r="ADT414" s="6"/>
      <c r="ADU414" s="6"/>
      <c r="ADV414" s="6"/>
      <c r="ADW414" s="6"/>
      <c r="ADX414" s="6"/>
      <c r="ADY414" s="6"/>
      <c r="ADZ414" s="6"/>
      <c r="AEA414" s="6"/>
      <c r="AEB414" s="6"/>
      <c r="AEC414" s="6"/>
      <c r="AED414" s="6"/>
      <c r="AEE414" s="6"/>
      <c r="AEF414" s="6"/>
      <c r="AEG414" s="6"/>
      <c r="AEH414" s="6"/>
      <c r="AEI414" s="6"/>
      <c r="AEJ414" s="6"/>
      <c r="AEK414" s="6"/>
      <c r="AEL414" s="6"/>
      <c r="AEM414" s="6"/>
      <c r="AEN414" s="6"/>
      <c r="AEO414" s="6"/>
      <c r="AEP414" s="6"/>
      <c r="AEQ414" s="6"/>
      <c r="AER414" s="6"/>
      <c r="AES414" s="6"/>
      <c r="AET414" s="6"/>
      <c r="AEU414" s="6"/>
      <c r="AEV414" s="6"/>
      <c r="AEW414" s="6"/>
      <c r="AEX414" s="6"/>
      <c r="AEY414" s="6"/>
      <c r="AEZ414" s="6"/>
      <c r="AFA414" s="6"/>
      <c r="AFB414" s="6"/>
      <c r="AFC414" s="6"/>
      <c r="AFD414" s="6"/>
      <c r="AFE414" s="6"/>
      <c r="AFF414" s="6"/>
      <c r="AFG414" s="6"/>
      <c r="AFH414" s="6"/>
      <c r="AFI414" s="6"/>
      <c r="AFJ414" s="6"/>
      <c r="AFK414" s="6"/>
      <c r="AFL414" s="6"/>
      <c r="AFM414" s="6"/>
      <c r="AFN414" s="6"/>
      <c r="AFO414" s="6"/>
      <c r="AFP414" s="6"/>
      <c r="AFQ414" s="6"/>
      <c r="AFR414" s="6"/>
      <c r="AFS414" s="6"/>
      <c r="AFT414" s="6"/>
      <c r="AFU414" s="6"/>
      <c r="AFV414" s="6"/>
      <c r="AFW414" s="6"/>
      <c r="AFX414" s="6"/>
      <c r="AFY414" s="6"/>
      <c r="AFZ414" s="6"/>
      <c r="AGA414" s="6"/>
      <c r="AGB414" s="6"/>
      <c r="AGC414" s="6"/>
      <c r="AGD414" s="6"/>
      <c r="AGE414" s="6"/>
      <c r="AGF414" s="6"/>
      <c r="AGG414" s="6"/>
      <c r="AGH414" s="6"/>
      <c r="AGI414" s="6"/>
      <c r="AGJ414" s="6"/>
      <c r="AGK414" s="6"/>
      <c r="AGL414" s="6"/>
      <c r="AGM414" s="6"/>
      <c r="AGN414" s="6"/>
      <c r="AGO414" s="6"/>
      <c r="AGP414" s="6"/>
      <c r="AGQ414" s="6"/>
      <c r="AGR414" s="6"/>
      <c r="AGS414" s="6"/>
      <c r="AGT414" s="6"/>
      <c r="AGU414" s="6"/>
      <c r="AGV414" s="6"/>
      <c r="AGW414" s="6"/>
      <c r="AGX414" s="6"/>
      <c r="AGY414" s="6"/>
      <c r="AGZ414" s="6"/>
      <c r="AHA414" s="6"/>
      <c r="AHB414" s="6"/>
      <c r="AHC414" s="6"/>
      <c r="AHD414" s="6"/>
      <c r="AHE414" s="6"/>
      <c r="AHF414" s="6"/>
      <c r="AHG414" s="6"/>
      <c r="AHH414" s="6"/>
      <c r="AHI414" s="6"/>
      <c r="AHJ414" s="6"/>
      <c r="AHK414" s="6"/>
      <c r="AHL414" s="6"/>
      <c r="AHM414" s="6"/>
      <c r="AHN414" s="6"/>
      <c r="AHO414" s="6"/>
      <c r="AHP414" s="6"/>
      <c r="AHQ414" s="6"/>
      <c r="AHR414" s="6"/>
      <c r="AHS414" s="6"/>
      <c r="AHT414" s="6"/>
      <c r="AHU414" s="6"/>
      <c r="AHV414" s="6"/>
      <c r="AHW414" s="6"/>
      <c r="AHX414" s="6"/>
      <c r="AHY414" s="6"/>
      <c r="AHZ414" s="6"/>
      <c r="AIA414" s="6"/>
      <c r="AIB414" s="6"/>
      <c r="AIC414" s="6"/>
      <c r="AID414" s="6"/>
      <c r="AIE414" s="6"/>
      <c r="AIF414" s="6"/>
      <c r="AIG414" s="6"/>
      <c r="AIH414" s="6"/>
      <c r="AII414" s="6"/>
      <c r="AIJ414" s="6"/>
      <c r="AIK414" s="6"/>
      <c r="AIL414" s="6"/>
      <c r="AIM414" s="6"/>
      <c r="AIN414" s="6"/>
      <c r="AIO414" s="6"/>
      <c r="AIP414" s="6"/>
      <c r="AIQ414" s="6"/>
      <c r="AIR414" s="6"/>
      <c r="AIS414" s="6"/>
      <c r="AIT414" s="6"/>
      <c r="AIU414" s="6"/>
      <c r="AIV414" s="6"/>
      <c r="AIW414" s="6"/>
      <c r="AIX414" s="6"/>
      <c r="AIY414" s="6"/>
      <c r="AIZ414" s="6"/>
      <c r="AJA414" s="6"/>
      <c r="AJB414" s="6"/>
      <c r="AJC414" s="6"/>
      <c r="AJD414" s="6"/>
      <c r="AJE414" s="6"/>
      <c r="AJF414" s="6"/>
      <c r="AJG414" s="6"/>
      <c r="AJH414" s="6"/>
      <c r="AJI414" s="6"/>
      <c r="AJJ414" s="6"/>
      <c r="AJK414" s="6"/>
      <c r="AJL414" s="6"/>
      <c r="AJM414" s="6"/>
      <c r="AJN414" s="6"/>
      <c r="AJO414" s="6"/>
      <c r="AJP414" s="6"/>
      <c r="AJQ414" s="6"/>
      <c r="AJR414" s="6"/>
      <c r="AJS414" s="6"/>
      <c r="AJT414" s="6"/>
      <c r="AJU414" s="6"/>
      <c r="AJV414" s="6"/>
      <c r="AJW414" s="6"/>
      <c r="AJX414" s="6"/>
      <c r="AJY414" s="6"/>
      <c r="AJZ414" s="6"/>
      <c r="AKA414" s="6"/>
      <c r="AKB414" s="6"/>
      <c r="AKC414" s="6"/>
      <c r="AKD414" s="6"/>
      <c r="AKE414" s="6"/>
      <c r="AKF414" s="6"/>
      <c r="AKG414" s="6"/>
      <c r="AKH414" s="6"/>
      <c r="AKI414" s="6"/>
      <c r="AKJ414" s="6"/>
      <c r="AKK414" s="6"/>
      <c r="AKL414" s="6"/>
      <c r="AKM414" s="6"/>
      <c r="AKN414" s="6"/>
      <c r="AKO414" s="6"/>
      <c r="AKP414" s="6"/>
      <c r="AKQ414" s="6"/>
      <c r="AKR414" s="6"/>
      <c r="AKS414" s="6"/>
      <c r="AKT414" s="6"/>
      <c r="AKU414" s="6"/>
      <c r="AKV414" s="6"/>
      <c r="AKW414" s="6"/>
      <c r="AKX414" s="6"/>
      <c r="AKY414" s="6"/>
      <c r="AKZ414" s="6"/>
      <c r="ALA414" s="6"/>
      <c r="ALB414" s="6"/>
      <c r="ALC414" s="6"/>
      <c r="ALD414" s="6"/>
      <c r="ALE414" s="6"/>
      <c r="ALF414" s="6"/>
      <c r="ALG414" s="6"/>
      <c r="ALH414" s="6"/>
      <c r="ALI414" s="6"/>
      <c r="ALJ414" s="6"/>
      <c r="ALK414" s="6"/>
      <c r="ALL414" s="6"/>
      <c r="ALM414" s="6"/>
      <c r="ALN414" s="6"/>
      <c r="ALO414" s="6"/>
      <c r="ALP414" s="6"/>
      <c r="ALQ414" s="6"/>
      <c r="ALR414" s="6"/>
      <c r="ALS414" s="6"/>
      <c r="ALT414" s="6"/>
      <c r="ALU414" s="6"/>
      <c r="ALV414" s="6"/>
      <c r="ALW414" s="6"/>
      <c r="ALX414" s="6"/>
      <c r="ALY414" s="6"/>
      <c r="ALZ414" s="6"/>
      <c r="AMA414" s="6"/>
      <c r="AMB414" s="6"/>
      <c r="AMC414" s="6"/>
      <c r="AMD414" s="6"/>
      <c r="AME414" s="6"/>
      <c r="AMF414" s="6"/>
      <c r="AMG414" s="6"/>
      <c r="AMH414" s="6"/>
      <c r="AMI414" s="6"/>
      <c r="AMJ414" s="6"/>
      <c r="AMK414" s="6"/>
      <c r="AML414" s="6"/>
      <c r="AMM414" s="6"/>
      <c r="AMN414" s="6"/>
      <c r="AMO414" s="6"/>
      <c r="AMP414" s="6"/>
    </row>
    <row r="415" spans="1:1030" x14ac:dyDescent="0.2">
      <c r="A415" s="3" t="str">
        <f t="shared" ref="A415" si="3747">CONCATENATE(B415,"_",C415)</f>
        <v>ta2r_human_6IIV</v>
      </c>
      <c r="B415" s="2" t="s">
        <v>469</v>
      </c>
      <c r="C415" s="3" t="s">
        <v>1545</v>
      </c>
      <c r="D415" s="3" t="str">
        <f>IFERROR(MID(VLOOKUP($B415,Seqs!$A:$B,2,0),E415,1),"")</f>
        <v>S</v>
      </c>
      <c r="E415" s="3">
        <v>27</v>
      </c>
      <c r="F415" s="3" t="str">
        <f>IFERROR(MID(VLOOKUP($B415,Seqs!$A:$B,2,0),G415,1),"")</f>
        <v>R</v>
      </c>
      <c r="G415" s="3">
        <v>53</v>
      </c>
      <c r="H415" s="3" t="str">
        <f>IFERROR(MID(VLOOKUP($B415,Seqs!$A:$B,2,0),I415,1),"")</f>
        <v/>
      </c>
      <c r="I415" s="23" t="s">
        <v>23</v>
      </c>
      <c r="J415" s="3" t="str">
        <f>IFERROR(MID(VLOOKUP($B415,Seqs!$A:$B,2,0),K415,1),"")</f>
        <v/>
      </c>
      <c r="K415" s="23" t="s">
        <v>23</v>
      </c>
      <c r="L415" s="3" t="str">
        <f>IFERROR(MID(VLOOKUP($B415,Seqs!$A:$B,2,0),M415,1),"")</f>
        <v>S</v>
      </c>
      <c r="M415" s="3">
        <v>61</v>
      </c>
      <c r="N415" s="3" t="str">
        <f>IFERROR(MID(VLOOKUP($B415,Seqs!$A:$B,2,0),O415,1),"")</f>
        <v>A</v>
      </c>
      <c r="O415" s="3">
        <v>91</v>
      </c>
      <c r="P415" s="3" t="str">
        <f>IFERROR(MID(VLOOKUP($B415,Seqs!$A:$B,2,0),Q415,1),"")</f>
        <v>E</v>
      </c>
      <c r="Q415" s="3">
        <v>94</v>
      </c>
      <c r="R415" s="3" t="str">
        <f>IFERROR(MID(VLOOKUP($B415,Seqs!$A:$B,2,0),S415,1),"")</f>
        <v>V</v>
      </c>
      <c r="S415" s="3">
        <v>98</v>
      </c>
      <c r="T415" s="3" t="str">
        <f>IFERROR(MID(VLOOKUP($B415,Seqs!$A:$B,2,0),U415,1),"")</f>
        <v>C</v>
      </c>
      <c r="U415" s="3">
        <v>102</v>
      </c>
      <c r="V415" s="3" t="str">
        <f>IFERROR(MID(VLOOKUP($B415,Seqs!$A:$B,2,0),W415,1),"")</f>
        <v>R</v>
      </c>
      <c r="W415" s="3">
        <v>136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P</v>
      </c>
      <c r="AC415" s="3">
        <v>141</v>
      </c>
      <c r="AD415" s="3" t="str">
        <f>IFERROR(MID(VLOOKUP($B415,Seqs!$A:$B,2,0),AE415,1),"")</f>
        <v>G</v>
      </c>
      <c r="AE415" s="3">
        <v>170</v>
      </c>
      <c r="AF415" s="3" t="str">
        <f>IFERROR(MID(VLOOKUP($B415,Seqs!$A:$B,2,0),AG415,1),"")</f>
        <v>C</v>
      </c>
      <c r="AG415" s="3">
        <v>183</v>
      </c>
      <c r="AH415" s="3" t="str">
        <f>IFERROR(MID(VLOOKUP($B415,Seqs!$A:$B,2,0),AI415,1),"")</f>
        <v>L</v>
      </c>
      <c r="AI415" s="3">
        <v>185</v>
      </c>
      <c r="AJ415" s="3" t="str">
        <f>IFERROR(MID(VLOOKUP($B415,Seqs!$A:$B,2,0),AK415,1),"")</f>
        <v>E</v>
      </c>
      <c r="AK415" s="3">
        <v>190</v>
      </c>
      <c r="AL415" s="3" t="str">
        <f>IFERROR(MID(VLOOKUP($B415,Seqs!$A:$B,2,0),AM415,1),"")</f>
        <v>Y</v>
      </c>
      <c r="AM415" s="3">
        <v>226</v>
      </c>
      <c r="AN415" s="3" t="str">
        <f>IFERROR(MID(VLOOKUP($B415,Seqs!$A:$B,2,0),AO415,1),"")</f>
        <v>R</v>
      </c>
      <c r="AO415" s="3">
        <v>237</v>
      </c>
      <c r="AP415" s="3" t="str">
        <f>IFERROR(MID(VLOOKUP($B415,Seqs!$A:$B,2,0),AQ415,1),"")</f>
        <v>R</v>
      </c>
      <c r="AQ415" s="3">
        <v>271</v>
      </c>
      <c r="AR415" s="3" t="str">
        <f>IFERROR(MID(VLOOKUP($B415,Seqs!$A:$B,2,0),AS415,1),"")</f>
        <v>S</v>
      </c>
      <c r="AS415" s="3">
        <v>283</v>
      </c>
      <c r="AT415" s="3" t="str">
        <f>IFERROR(MID(VLOOKUP($B415,Seqs!$A:$B,2,0),AU415,1),"")</f>
        <v>F</v>
      </c>
      <c r="AU415" s="3">
        <v>311</v>
      </c>
      <c r="AV415" s="3" t="str">
        <f>IFERROR(MID(VLOOKUP($B415,Seqs!$A:$B,2,0),AW415,1),"")</f>
        <v>R</v>
      </c>
      <c r="AW415" s="3">
        <v>312</v>
      </c>
      <c r="AX415" s="3" t="str">
        <f>IFERROR(MID(VLOOKUP($B415,Seqs!$A:$B,2,0),AY415,1),"")</f>
        <v>L</v>
      </c>
      <c r="AY415" s="3">
        <v>319</v>
      </c>
      <c r="AZ415" s="77" t="str">
        <f>VLOOKUP(B415,Classification!A:D,2,0)</f>
        <v>A</v>
      </c>
      <c r="BA415" s="94" t="str">
        <f>VLOOKUP(B415,Classification!A:D,4,0)</f>
        <v>Prostanoid</v>
      </c>
      <c r="BB415" s="27" t="b">
        <f t="shared" ref="BB415" si="3748">AND(E415&lt;G415,OR(G415&lt;I415,I415="-"),OR(I415&lt;K415,I415="-"),OR(K415&lt;M415,K415="-"),M415&lt;O415,OR(O415&lt;Q415,Q415="-"),OR(Q415&lt;S415,Q415="-"),OR(S415&lt;U415,S415="-"),U415&lt;W415,OR(W415&lt;Y415,Y415="-"),OR(Y415&lt;AA415,Y415="-"),OR(AA415&lt;AC415,AA415="-"),AC415&lt;AE415,OR(AE415&lt;AG415,AG415="-"),OR(AG415&lt;AI415,AG415="-"),OR(AI415&lt;AK415,AI415="-"),AK415&lt;AM415,AM415&lt;AO415,AO415&lt;AQ415,AQ415&lt;AS415,AS415&lt;AU415,OR(AU415&lt;AW415,AW415="-"),OR(AW415&lt;AY415,AW415="-"))</f>
        <v>1</v>
      </c>
      <c r="BC415" s="23">
        <f t="shared" ref="BC415" si="3749">_xlfn.AGGREGATE(9,6,CH415:CS415)-_xlfn.AGGREGATE(9,6,BV415:CG415)+12</f>
        <v>242</v>
      </c>
      <c r="BD415" s="4" t="s">
        <v>1372</v>
      </c>
      <c r="BE415" s="3" t="s">
        <v>1370</v>
      </c>
      <c r="BF415" s="118">
        <v>3</v>
      </c>
      <c r="BG415" s="49" t="s">
        <v>1</v>
      </c>
      <c r="BH415" s="49" t="s">
        <v>1</v>
      </c>
      <c r="BI415" s="1"/>
      <c r="BJ415" s="70" t="s">
        <v>1283</v>
      </c>
      <c r="BK415" s="57" t="s">
        <v>1283</v>
      </c>
      <c r="BL415" s="57" t="s">
        <v>1283</v>
      </c>
      <c r="BM415" s="57" t="s">
        <v>1283</v>
      </c>
      <c r="BN415" s="57" t="s">
        <v>1283</v>
      </c>
      <c r="BO415" s="57" t="s">
        <v>1283</v>
      </c>
      <c r="BP415" s="57" t="s">
        <v>1283</v>
      </c>
      <c r="BQ415" s="57" t="s">
        <v>1283</v>
      </c>
      <c r="BR415" s="57" t="s">
        <v>1283</v>
      </c>
      <c r="BS415" s="57" t="s">
        <v>1283</v>
      </c>
      <c r="BT415" s="57" t="s">
        <v>1283</v>
      </c>
      <c r="BU415" s="57" t="s">
        <v>1283</v>
      </c>
      <c r="BV415" s="70">
        <f t="shared" ref="BV415" si="3750">E415</f>
        <v>27</v>
      </c>
      <c r="BW415" s="71" t="str">
        <f t="shared" ref="BW415" si="3751">I415</f>
        <v>-</v>
      </c>
      <c r="BX415" s="72">
        <f t="shared" ref="BX415" si="3752">M415</f>
        <v>61</v>
      </c>
      <c r="BY415" s="71">
        <f t="shared" ref="BY415" si="3753">Q415</f>
        <v>94</v>
      </c>
      <c r="BZ415" s="72">
        <f t="shared" ref="BZ415" si="3754">U415</f>
        <v>102</v>
      </c>
      <c r="CA415" s="71" t="str">
        <f t="shared" ref="CA415" si="3755">Y415</f>
        <v>-</v>
      </c>
      <c r="CB415" s="72">
        <f t="shared" ref="CB415" si="3756">AC415</f>
        <v>141</v>
      </c>
      <c r="CC415" s="71">
        <f t="shared" ref="CC415" si="3757">AG415</f>
        <v>183</v>
      </c>
      <c r="CD415" s="72">
        <f t="shared" ref="CD415" si="3758">AK415</f>
        <v>190</v>
      </c>
      <c r="CE415" s="71">
        <f t="shared" ref="CE415" si="3759">AO415</f>
        <v>237</v>
      </c>
      <c r="CF415" s="72">
        <f t="shared" ref="CF415" si="3760">AS415</f>
        <v>283</v>
      </c>
      <c r="CG415" s="71">
        <f t="shared" ref="CG415" si="3761">AW415</f>
        <v>312</v>
      </c>
      <c r="CH415" s="70">
        <f t="shared" ref="CH415" si="3762">G415</f>
        <v>53</v>
      </c>
      <c r="CI415" s="71" t="str">
        <f t="shared" ref="CI415" si="3763">K415</f>
        <v>-</v>
      </c>
      <c r="CJ415" s="72">
        <f t="shared" ref="CJ415" si="3764">O415</f>
        <v>91</v>
      </c>
      <c r="CK415" s="72">
        <f t="shared" ref="CK415" si="3765">S415</f>
        <v>98</v>
      </c>
      <c r="CL415" s="72">
        <f t="shared" ref="CL415" si="3766">W415</f>
        <v>136</v>
      </c>
      <c r="CM415" s="72" t="str">
        <f t="shared" ref="CM415" si="3767">AA415</f>
        <v>-</v>
      </c>
      <c r="CN415" s="72">
        <f t="shared" ref="CN415" si="3768">AE415</f>
        <v>170</v>
      </c>
      <c r="CO415" s="72">
        <f t="shared" ref="CO415" si="3769">AI415</f>
        <v>185</v>
      </c>
      <c r="CP415" s="72">
        <f t="shared" ref="CP415" si="3770">AM415</f>
        <v>226</v>
      </c>
      <c r="CQ415" s="72">
        <f t="shared" ref="CQ415" si="3771">AQ415</f>
        <v>271</v>
      </c>
      <c r="CR415" s="72">
        <f t="shared" ref="CR415" si="3772">AU415</f>
        <v>311</v>
      </c>
      <c r="CS415" s="72">
        <f t="shared" ref="CS415" si="3773">AY415</f>
        <v>319</v>
      </c>
      <c r="CT415" s="23" t="e">
        <f t="shared" ref="CT415" si="3774">M415-K415</f>
        <v>#VALUE!</v>
      </c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Q415" s="6"/>
      <c r="KR415" s="6"/>
      <c r="KS415" s="6"/>
      <c r="KT415" s="6"/>
      <c r="KU415" s="6"/>
      <c r="KV415" s="6"/>
      <c r="KW415" s="6"/>
      <c r="KX415" s="6"/>
      <c r="KY415" s="6"/>
      <c r="KZ415" s="6"/>
      <c r="LA415" s="6"/>
      <c r="LB415" s="6"/>
      <c r="LC415" s="6"/>
      <c r="LD415" s="6"/>
      <c r="LE415" s="6"/>
      <c r="LF415" s="6"/>
      <c r="LG415" s="6"/>
      <c r="LH415" s="6"/>
      <c r="LI415" s="6"/>
      <c r="LJ415" s="6"/>
      <c r="LK415" s="6"/>
      <c r="LL415" s="6"/>
      <c r="LM415" s="6"/>
      <c r="LN415" s="6"/>
      <c r="LO415" s="6"/>
      <c r="LP415" s="6"/>
      <c r="LQ415" s="6"/>
      <c r="LR415" s="6"/>
      <c r="LS415" s="6"/>
      <c r="LT415" s="6"/>
      <c r="LU415" s="6"/>
      <c r="LV415" s="6"/>
      <c r="LW415" s="6"/>
      <c r="LX415" s="6"/>
      <c r="LY415" s="6"/>
      <c r="LZ415" s="6"/>
      <c r="MA415" s="6"/>
      <c r="MB415" s="6"/>
      <c r="MC415" s="6"/>
      <c r="MD415" s="6"/>
      <c r="ME415" s="6"/>
      <c r="MF415" s="6"/>
      <c r="MG415" s="6"/>
      <c r="MH415" s="6"/>
      <c r="MI415" s="6"/>
      <c r="MJ415" s="6"/>
      <c r="MK415" s="6"/>
      <c r="ML415" s="6"/>
      <c r="MM415" s="6"/>
      <c r="MN415" s="6"/>
      <c r="MO415" s="6"/>
      <c r="MP415" s="6"/>
      <c r="MQ415" s="6"/>
      <c r="MR415" s="6"/>
      <c r="MS415" s="6"/>
      <c r="MT415" s="6"/>
      <c r="MU415" s="6"/>
      <c r="MV415" s="6"/>
      <c r="MW415" s="6"/>
      <c r="MX415" s="6"/>
      <c r="MY415" s="6"/>
      <c r="MZ415" s="6"/>
      <c r="NA415" s="6"/>
      <c r="NB415" s="6"/>
      <c r="NC415" s="6"/>
      <c r="ND415" s="6"/>
      <c r="NE415" s="6"/>
      <c r="NF415" s="6"/>
      <c r="NG415" s="6"/>
      <c r="NH415" s="6"/>
      <c r="NI415" s="6"/>
      <c r="NJ415" s="6"/>
      <c r="NK415" s="6"/>
      <c r="NL415" s="6"/>
      <c r="NM415" s="6"/>
      <c r="NN415" s="6"/>
      <c r="NO415" s="6"/>
      <c r="NP415" s="6"/>
      <c r="NQ415" s="6"/>
      <c r="NR415" s="6"/>
      <c r="NS415" s="6"/>
      <c r="NT415" s="6"/>
      <c r="NU415" s="6"/>
      <c r="NV415" s="6"/>
      <c r="NW415" s="6"/>
      <c r="NX415" s="6"/>
      <c r="NY415" s="6"/>
      <c r="NZ415" s="6"/>
      <c r="OA415" s="6"/>
      <c r="OB415" s="6"/>
      <c r="OC415" s="6"/>
      <c r="OD415" s="6"/>
      <c r="OE415" s="6"/>
      <c r="OF415" s="6"/>
      <c r="OG415" s="6"/>
      <c r="OH415" s="6"/>
      <c r="OI415" s="6"/>
      <c r="OJ415" s="6"/>
      <c r="OK415" s="6"/>
      <c r="OL415" s="6"/>
      <c r="OM415" s="6"/>
      <c r="ON415" s="6"/>
      <c r="OO415" s="6"/>
      <c r="OP415" s="6"/>
      <c r="OQ415" s="6"/>
      <c r="OR415" s="6"/>
      <c r="OS415" s="6"/>
      <c r="OT415" s="6"/>
      <c r="OU415" s="6"/>
      <c r="OV415" s="6"/>
      <c r="OW415" s="6"/>
      <c r="OX415" s="6"/>
      <c r="OY415" s="6"/>
      <c r="OZ415" s="6"/>
      <c r="PA415" s="6"/>
      <c r="PB415" s="6"/>
      <c r="PC415" s="6"/>
      <c r="PD415" s="6"/>
      <c r="PE415" s="6"/>
      <c r="PF415" s="6"/>
      <c r="PG415" s="6"/>
      <c r="PH415" s="6"/>
      <c r="PI415" s="6"/>
      <c r="PJ415" s="6"/>
      <c r="PK415" s="6"/>
      <c r="PL415" s="6"/>
      <c r="PM415" s="6"/>
      <c r="PN415" s="6"/>
      <c r="PO415" s="6"/>
      <c r="PP415" s="6"/>
      <c r="PQ415" s="6"/>
      <c r="PR415" s="6"/>
      <c r="PS415" s="6"/>
      <c r="PT415" s="6"/>
      <c r="PU415" s="6"/>
      <c r="PV415" s="6"/>
      <c r="PW415" s="6"/>
      <c r="PX415" s="6"/>
      <c r="PY415" s="6"/>
      <c r="PZ415" s="6"/>
      <c r="QA415" s="6"/>
      <c r="QB415" s="6"/>
      <c r="QC415" s="6"/>
      <c r="QD415" s="6"/>
      <c r="QE415" s="6"/>
      <c r="QF415" s="6"/>
      <c r="QG415" s="6"/>
      <c r="QH415" s="6"/>
      <c r="QI415" s="6"/>
      <c r="QJ415" s="6"/>
      <c r="QK415" s="6"/>
      <c r="QL415" s="6"/>
      <c r="QM415" s="6"/>
      <c r="QN415" s="6"/>
      <c r="QO415" s="6"/>
      <c r="QP415" s="6"/>
      <c r="QQ415" s="6"/>
      <c r="QR415" s="6"/>
      <c r="QS415" s="6"/>
      <c r="QT415" s="6"/>
      <c r="QU415" s="6"/>
      <c r="QV415" s="6"/>
      <c r="QW415" s="6"/>
      <c r="QX415" s="6"/>
      <c r="QY415" s="6"/>
      <c r="QZ415" s="6"/>
      <c r="RA415" s="6"/>
      <c r="RB415" s="6"/>
      <c r="RC415" s="6"/>
      <c r="RD415" s="6"/>
      <c r="RE415" s="6"/>
      <c r="RF415" s="6"/>
      <c r="RG415" s="6"/>
      <c r="RH415" s="6"/>
      <c r="RI415" s="6"/>
      <c r="RJ415" s="6"/>
      <c r="RK415" s="6"/>
      <c r="RL415" s="6"/>
      <c r="RM415" s="6"/>
      <c r="RN415" s="6"/>
      <c r="RO415" s="6"/>
      <c r="RP415" s="6"/>
      <c r="RQ415" s="6"/>
      <c r="RR415" s="6"/>
      <c r="RS415" s="6"/>
      <c r="RT415" s="6"/>
      <c r="RU415" s="6"/>
      <c r="RV415" s="6"/>
      <c r="RW415" s="6"/>
      <c r="RX415" s="6"/>
      <c r="RY415" s="6"/>
      <c r="RZ415" s="6"/>
      <c r="SA415" s="6"/>
      <c r="SB415" s="6"/>
      <c r="SC415" s="6"/>
      <c r="SD415" s="6"/>
      <c r="SE415" s="6"/>
      <c r="SF415" s="6"/>
      <c r="SG415" s="6"/>
      <c r="SH415" s="6"/>
      <c r="SI415" s="6"/>
      <c r="SJ415" s="6"/>
      <c r="SK415" s="6"/>
      <c r="SL415" s="6"/>
      <c r="SM415" s="6"/>
      <c r="SN415" s="6"/>
      <c r="SO415" s="6"/>
      <c r="SP415" s="6"/>
      <c r="SQ415" s="6"/>
      <c r="SR415" s="6"/>
      <c r="SS415" s="6"/>
      <c r="ST415" s="6"/>
      <c r="SU415" s="6"/>
      <c r="SV415" s="6"/>
      <c r="SW415" s="6"/>
      <c r="SX415" s="6"/>
      <c r="SY415" s="6"/>
      <c r="SZ415" s="6"/>
      <c r="TA415" s="6"/>
      <c r="TB415" s="6"/>
      <c r="TC415" s="6"/>
      <c r="TD415" s="6"/>
      <c r="TE415" s="6"/>
      <c r="TF415" s="6"/>
      <c r="TG415" s="6"/>
      <c r="TH415" s="6"/>
      <c r="TI415" s="6"/>
      <c r="TJ415" s="6"/>
      <c r="TK415" s="6"/>
      <c r="TL415" s="6"/>
      <c r="TM415" s="6"/>
      <c r="TN415" s="6"/>
      <c r="TO415" s="6"/>
      <c r="TP415" s="6"/>
      <c r="TQ415" s="6"/>
      <c r="TR415" s="6"/>
      <c r="TS415" s="6"/>
      <c r="TT415" s="6"/>
      <c r="TU415" s="6"/>
      <c r="TV415" s="6"/>
      <c r="TW415" s="6"/>
      <c r="TX415" s="6"/>
      <c r="TY415" s="6"/>
      <c r="TZ415" s="6"/>
      <c r="UA415" s="6"/>
      <c r="UB415" s="6"/>
      <c r="UC415" s="6"/>
      <c r="UD415" s="6"/>
      <c r="UE415" s="6"/>
      <c r="UF415" s="6"/>
      <c r="UG415" s="6"/>
      <c r="UH415" s="6"/>
      <c r="UI415" s="6"/>
      <c r="UJ415" s="6"/>
      <c r="UK415" s="6"/>
      <c r="UL415" s="6"/>
      <c r="UM415" s="6"/>
      <c r="UN415" s="6"/>
      <c r="UO415" s="6"/>
      <c r="UP415" s="6"/>
      <c r="UQ415" s="6"/>
      <c r="UR415" s="6"/>
      <c r="US415" s="6"/>
      <c r="UT415" s="6"/>
      <c r="UU415" s="6"/>
      <c r="UV415" s="6"/>
      <c r="UW415" s="6"/>
      <c r="UX415" s="6"/>
      <c r="UY415" s="6"/>
      <c r="UZ415" s="6"/>
      <c r="VA415" s="6"/>
      <c r="VB415" s="6"/>
      <c r="VC415" s="6"/>
      <c r="VD415" s="6"/>
      <c r="VE415" s="6"/>
      <c r="VF415" s="6"/>
      <c r="VG415" s="6"/>
      <c r="VH415" s="6"/>
      <c r="VI415" s="6"/>
      <c r="VJ415" s="6"/>
      <c r="VK415" s="6"/>
      <c r="VL415" s="6"/>
      <c r="VM415" s="6"/>
      <c r="VN415" s="6"/>
      <c r="VO415" s="6"/>
      <c r="VP415" s="6"/>
      <c r="VQ415" s="6"/>
      <c r="VR415" s="6"/>
      <c r="VS415" s="6"/>
      <c r="VT415" s="6"/>
      <c r="VU415" s="6"/>
      <c r="VV415" s="6"/>
      <c r="VW415" s="6"/>
      <c r="VX415" s="6"/>
      <c r="VY415" s="6"/>
      <c r="VZ415" s="6"/>
      <c r="WA415" s="6"/>
      <c r="WB415" s="6"/>
      <c r="WC415" s="6"/>
      <c r="WD415" s="6"/>
      <c r="WE415" s="6"/>
      <c r="WF415" s="6"/>
      <c r="WG415" s="6"/>
      <c r="WH415" s="6"/>
      <c r="WI415" s="6"/>
      <c r="WJ415" s="6"/>
      <c r="WK415" s="6"/>
      <c r="WL415" s="6"/>
      <c r="WM415" s="6"/>
      <c r="WN415" s="6"/>
      <c r="WO415" s="6"/>
      <c r="WP415" s="6"/>
      <c r="WQ415" s="6"/>
      <c r="WR415" s="6"/>
      <c r="WS415" s="6"/>
      <c r="WT415" s="6"/>
      <c r="WU415" s="6"/>
      <c r="WV415" s="6"/>
      <c r="WW415" s="6"/>
      <c r="WX415" s="6"/>
      <c r="WY415" s="6"/>
      <c r="WZ415" s="6"/>
      <c r="XA415" s="6"/>
      <c r="XB415" s="6"/>
      <c r="XC415" s="6"/>
      <c r="XD415" s="6"/>
      <c r="XE415" s="6"/>
      <c r="XF415" s="6"/>
      <c r="XG415" s="6"/>
      <c r="XH415" s="6"/>
      <c r="XI415" s="6"/>
      <c r="XJ415" s="6"/>
      <c r="XK415" s="6"/>
      <c r="XL415" s="6"/>
      <c r="XM415" s="6"/>
      <c r="XN415" s="6"/>
      <c r="XO415" s="6"/>
      <c r="XP415" s="6"/>
      <c r="XQ415" s="6"/>
      <c r="XR415" s="6"/>
      <c r="XS415" s="6"/>
      <c r="XT415" s="6"/>
      <c r="XU415" s="6"/>
      <c r="XV415" s="6"/>
      <c r="XW415" s="6"/>
      <c r="XX415" s="6"/>
      <c r="XY415" s="6"/>
      <c r="XZ415" s="6"/>
      <c r="YA415" s="6"/>
      <c r="YB415" s="6"/>
      <c r="YC415" s="6"/>
      <c r="YD415" s="6"/>
      <c r="YE415" s="6"/>
      <c r="YF415" s="6"/>
      <c r="YG415" s="6"/>
      <c r="YH415" s="6"/>
      <c r="YI415" s="6"/>
      <c r="YJ415" s="6"/>
      <c r="YK415" s="6"/>
      <c r="YL415" s="6"/>
      <c r="YM415" s="6"/>
      <c r="YN415" s="6"/>
      <c r="YO415" s="6"/>
      <c r="YP415" s="6"/>
      <c r="YQ415" s="6"/>
      <c r="YR415" s="6"/>
      <c r="YS415" s="6"/>
      <c r="YT415" s="6"/>
      <c r="YU415" s="6"/>
      <c r="YV415" s="6"/>
      <c r="YW415" s="6"/>
      <c r="YX415" s="6"/>
      <c r="YY415" s="6"/>
      <c r="YZ415" s="6"/>
      <c r="ZA415" s="6"/>
      <c r="ZB415" s="6"/>
      <c r="ZC415" s="6"/>
      <c r="ZD415" s="6"/>
      <c r="ZE415" s="6"/>
      <c r="ZF415" s="6"/>
      <c r="ZG415" s="6"/>
      <c r="ZH415" s="6"/>
      <c r="ZI415" s="6"/>
      <c r="ZJ415" s="6"/>
      <c r="ZK415" s="6"/>
      <c r="ZL415" s="6"/>
      <c r="ZM415" s="6"/>
      <c r="ZN415" s="6"/>
      <c r="ZO415" s="6"/>
      <c r="ZP415" s="6"/>
      <c r="ZQ415" s="6"/>
      <c r="ZR415" s="6"/>
      <c r="ZS415" s="6"/>
      <c r="ZT415" s="6"/>
      <c r="ZU415" s="6"/>
      <c r="ZV415" s="6"/>
      <c r="ZW415" s="6"/>
      <c r="ZX415" s="6"/>
      <c r="ZY415" s="6"/>
      <c r="ZZ415" s="6"/>
      <c r="AAA415" s="6"/>
      <c r="AAB415" s="6"/>
      <c r="AAC415" s="6"/>
      <c r="AAD415" s="6"/>
      <c r="AAE415" s="6"/>
      <c r="AAF415" s="6"/>
      <c r="AAG415" s="6"/>
      <c r="AAH415" s="6"/>
      <c r="AAI415" s="6"/>
      <c r="AAJ415" s="6"/>
      <c r="AAK415" s="6"/>
      <c r="AAL415" s="6"/>
      <c r="AAM415" s="6"/>
      <c r="AAN415" s="6"/>
      <c r="AAO415" s="6"/>
      <c r="AAP415" s="6"/>
      <c r="AAQ415" s="6"/>
      <c r="AAR415" s="6"/>
      <c r="AAS415" s="6"/>
      <c r="AAT415" s="6"/>
      <c r="AAU415" s="6"/>
      <c r="AAV415" s="6"/>
      <c r="AAW415" s="6"/>
      <c r="AAX415" s="6"/>
      <c r="AAY415" s="6"/>
      <c r="AAZ415" s="6"/>
      <c r="ABA415" s="6"/>
      <c r="ABB415" s="6"/>
      <c r="ABC415" s="6"/>
      <c r="ABD415" s="6"/>
      <c r="ABE415" s="6"/>
      <c r="ABF415" s="6"/>
      <c r="ABG415" s="6"/>
      <c r="ABH415" s="6"/>
      <c r="ABI415" s="6"/>
      <c r="ABJ415" s="6"/>
      <c r="ABK415" s="6"/>
      <c r="ABL415" s="6"/>
      <c r="ABM415" s="6"/>
      <c r="ABN415" s="6"/>
      <c r="ABO415" s="6"/>
      <c r="ABP415" s="6"/>
      <c r="ABQ415" s="6"/>
      <c r="ABR415" s="6"/>
      <c r="ABS415" s="6"/>
      <c r="ABT415" s="6"/>
      <c r="ABU415" s="6"/>
      <c r="ABV415" s="6"/>
      <c r="ABW415" s="6"/>
      <c r="ABX415" s="6"/>
      <c r="ABY415" s="6"/>
      <c r="ABZ415" s="6"/>
      <c r="ACA415" s="6"/>
      <c r="ACB415" s="6"/>
      <c r="ACC415" s="6"/>
      <c r="ACD415" s="6"/>
      <c r="ACE415" s="6"/>
      <c r="ACF415" s="6"/>
      <c r="ACG415" s="6"/>
      <c r="ACH415" s="6"/>
      <c r="ACI415" s="6"/>
      <c r="ACJ415" s="6"/>
      <c r="ACK415" s="6"/>
      <c r="ACL415" s="6"/>
      <c r="ACM415" s="6"/>
      <c r="ACN415" s="6"/>
      <c r="ACO415" s="6"/>
      <c r="ACP415" s="6"/>
      <c r="ACQ415" s="6"/>
      <c r="ACR415" s="6"/>
      <c r="ACS415" s="6"/>
      <c r="ACT415" s="6"/>
      <c r="ACU415" s="6"/>
      <c r="ACV415" s="6"/>
      <c r="ACW415" s="6"/>
      <c r="ACX415" s="6"/>
      <c r="ACY415" s="6"/>
      <c r="ACZ415" s="6"/>
      <c r="ADA415" s="6"/>
      <c r="ADB415" s="6"/>
      <c r="ADC415" s="6"/>
      <c r="ADD415" s="6"/>
      <c r="ADE415" s="6"/>
      <c r="ADF415" s="6"/>
      <c r="ADG415" s="6"/>
      <c r="ADH415" s="6"/>
      <c r="ADI415" s="6"/>
      <c r="ADJ415" s="6"/>
      <c r="ADK415" s="6"/>
      <c r="ADL415" s="6"/>
      <c r="ADM415" s="6"/>
      <c r="ADN415" s="6"/>
      <c r="ADO415" s="6"/>
      <c r="ADP415" s="6"/>
      <c r="ADQ415" s="6"/>
      <c r="ADR415" s="6"/>
      <c r="ADS415" s="6"/>
      <c r="ADT415" s="6"/>
      <c r="ADU415" s="6"/>
      <c r="ADV415" s="6"/>
      <c r="ADW415" s="6"/>
      <c r="ADX415" s="6"/>
      <c r="ADY415" s="6"/>
      <c r="ADZ415" s="6"/>
      <c r="AEA415" s="6"/>
      <c r="AEB415" s="6"/>
      <c r="AEC415" s="6"/>
      <c r="AED415" s="6"/>
      <c r="AEE415" s="6"/>
      <c r="AEF415" s="6"/>
      <c r="AEG415" s="6"/>
      <c r="AEH415" s="6"/>
      <c r="AEI415" s="6"/>
      <c r="AEJ415" s="6"/>
      <c r="AEK415" s="6"/>
      <c r="AEL415" s="6"/>
      <c r="AEM415" s="6"/>
      <c r="AEN415" s="6"/>
      <c r="AEO415" s="6"/>
      <c r="AEP415" s="6"/>
      <c r="AEQ415" s="6"/>
      <c r="AER415" s="6"/>
      <c r="AES415" s="6"/>
      <c r="AET415" s="6"/>
      <c r="AEU415" s="6"/>
      <c r="AEV415" s="6"/>
      <c r="AEW415" s="6"/>
      <c r="AEX415" s="6"/>
      <c r="AEY415" s="6"/>
      <c r="AEZ415" s="6"/>
      <c r="AFA415" s="6"/>
      <c r="AFB415" s="6"/>
      <c r="AFC415" s="6"/>
      <c r="AFD415" s="6"/>
      <c r="AFE415" s="6"/>
      <c r="AFF415" s="6"/>
      <c r="AFG415" s="6"/>
      <c r="AFH415" s="6"/>
      <c r="AFI415" s="6"/>
      <c r="AFJ415" s="6"/>
      <c r="AFK415" s="6"/>
      <c r="AFL415" s="6"/>
      <c r="AFM415" s="6"/>
      <c r="AFN415" s="6"/>
      <c r="AFO415" s="6"/>
      <c r="AFP415" s="6"/>
      <c r="AFQ415" s="6"/>
      <c r="AFR415" s="6"/>
      <c r="AFS415" s="6"/>
      <c r="AFT415" s="6"/>
      <c r="AFU415" s="6"/>
      <c r="AFV415" s="6"/>
      <c r="AFW415" s="6"/>
      <c r="AFX415" s="6"/>
      <c r="AFY415" s="6"/>
      <c r="AFZ415" s="6"/>
      <c r="AGA415" s="6"/>
      <c r="AGB415" s="6"/>
      <c r="AGC415" s="6"/>
      <c r="AGD415" s="6"/>
      <c r="AGE415" s="6"/>
      <c r="AGF415" s="6"/>
      <c r="AGG415" s="6"/>
      <c r="AGH415" s="6"/>
      <c r="AGI415" s="6"/>
      <c r="AGJ415" s="6"/>
      <c r="AGK415" s="6"/>
      <c r="AGL415" s="6"/>
      <c r="AGM415" s="6"/>
      <c r="AGN415" s="6"/>
      <c r="AGO415" s="6"/>
      <c r="AGP415" s="6"/>
      <c r="AGQ415" s="6"/>
      <c r="AGR415" s="6"/>
      <c r="AGS415" s="6"/>
      <c r="AGT415" s="6"/>
      <c r="AGU415" s="6"/>
      <c r="AGV415" s="6"/>
      <c r="AGW415" s="6"/>
      <c r="AGX415" s="6"/>
      <c r="AGY415" s="6"/>
      <c r="AGZ415" s="6"/>
      <c r="AHA415" s="6"/>
      <c r="AHB415" s="6"/>
      <c r="AHC415" s="6"/>
      <c r="AHD415" s="6"/>
      <c r="AHE415" s="6"/>
      <c r="AHF415" s="6"/>
      <c r="AHG415" s="6"/>
      <c r="AHH415" s="6"/>
      <c r="AHI415" s="6"/>
      <c r="AHJ415" s="6"/>
      <c r="AHK415" s="6"/>
      <c r="AHL415" s="6"/>
      <c r="AHM415" s="6"/>
      <c r="AHN415" s="6"/>
      <c r="AHO415" s="6"/>
      <c r="AHP415" s="6"/>
      <c r="AHQ415" s="6"/>
      <c r="AHR415" s="6"/>
      <c r="AHS415" s="6"/>
      <c r="AHT415" s="6"/>
      <c r="AHU415" s="6"/>
      <c r="AHV415" s="6"/>
      <c r="AHW415" s="6"/>
      <c r="AHX415" s="6"/>
      <c r="AHY415" s="6"/>
      <c r="AHZ415" s="6"/>
      <c r="AIA415" s="6"/>
      <c r="AIB415" s="6"/>
      <c r="AIC415" s="6"/>
      <c r="AID415" s="6"/>
      <c r="AIE415" s="6"/>
      <c r="AIF415" s="6"/>
      <c r="AIG415" s="6"/>
      <c r="AIH415" s="6"/>
      <c r="AII415" s="6"/>
      <c r="AIJ415" s="6"/>
      <c r="AIK415" s="6"/>
      <c r="AIL415" s="6"/>
      <c r="AIM415" s="6"/>
      <c r="AIN415" s="6"/>
      <c r="AIO415" s="6"/>
      <c r="AIP415" s="6"/>
      <c r="AIQ415" s="6"/>
      <c r="AIR415" s="6"/>
      <c r="AIS415" s="6"/>
      <c r="AIT415" s="6"/>
      <c r="AIU415" s="6"/>
      <c r="AIV415" s="6"/>
      <c r="AIW415" s="6"/>
      <c r="AIX415" s="6"/>
      <c r="AIY415" s="6"/>
      <c r="AIZ415" s="6"/>
      <c r="AJA415" s="6"/>
      <c r="AJB415" s="6"/>
      <c r="AJC415" s="6"/>
      <c r="AJD415" s="6"/>
      <c r="AJE415" s="6"/>
      <c r="AJF415" s="6"/>
      <c r="AJG415" s="6"/>
      <c r="AJH415" s="6"/>
      <c r="AJI415" s="6"/>
      <c r="AJJ415" s="6"/>
      <c r="AJK415" s="6"/>
      <c r="AJL415" s="6"/>
      <c r="AJM415" s="6"/>
      <c r="AJN415" s="6"/>
      <c r="AJO415" s="6"/>
      <c r="AJP415" s="6"/>
      <c r="AJQ415" s="6"/>
      <c r="AJR415" s="6"/>
      <c r="AJS415" s="6"/>
      <c r="AJT415" s="6"/>
      <c r="AJU415" s="6"/>
      <c r="AJV415" s="6"/>
      <c r="AJW415" s="6"/>
      <c r="AJX415" s="6"/>
      <c r="AJY415" s="6"/>
      <c r="AJZ415" s="6"/>
      <c r="AKA415" s="6"/>
      <c r="AKB415" s="6"/>
      <c r="AKC415" s="6"/>
      <c r="AKD415" s="6"/>
      <c r="AKE415" s="6"/>
      <c r="AKF415" s="6"/>
      <c r="AKG415" s="6"/>
      <c r="AKH415" s="6"/>
      <c r="AKI415" s="6"/>
      <c r="AKJ415" s="6"/>
      <c r="AKK415" s="6"/>
      <c r="AKL415" s="6"/>
      <c r="AKM415" s="6"/>
      <c r="AKN415" s="6"/>
      <c r="AKO415" s="6"/>
      <c r="AKP415" s="6"/>
      <c r="AKQ415" s="6"/>
      <c r="AKR415" s="6"/>
      <c r="AKS415" s="6"/>
      <c r="AKT415" s="6"/>
      <c r="AKU415" s="6"/>
      <c r="AKV415" s="6"/>
      <c r="AKW415" s="6"/>
      <c r="AKX415" s="6"/>
      <c r="AKY415" s="6"/>
      <c r="AKZ415" s="6"/>
      <c r="ALA415" s="6"/>
      <c r="ALB415" s="6"/>
      <c r="ALC415" s="6"/>
      <c r="ALD415" s="6"/>
      <c r="ALE415" s="6"/>
      <c r="ALF415" s="6"/>
      <c r="ALG415" s="6"/>
      <c r="ALH415" s="6"/>
      <c r="ALI415" s="6"/>
      <c r="ALJ415" s="6"/>
      <c r="ALK415" s="6"/>
      <c r="ALL415" s="6"/>
      <c r="ALM415" s="6"/>
      <c r="ALN415" s="6"/>
      <c r="ALO415" s="6"/>
      <c r="ALP415" s="6"/>
      <c r="ALQ415" s="6"/>
      <c r="ALR415" s="6"/>
      <c r="ALS415" s="6"/>
      <c r="ALT415" s="6"/>
      <c r="ALU415" s="6"/>
      <c r="ALV415" s="6"/>
      <c r="ALW415" s="6"/>
      <c r="ALX415" s="6"/>
      <c r="ALY415" s="6"/>
      <c r="ALZ415" s="6"/>
      <c r="AMA415" s="6"/>
      <c r="AMB415" s="6"/>
      <c r="AMC415" s="6"/>
      <c r="AMD415" s="6"/>
      <c r="AME415" s="6"/>
      <c r="AMF415" s="6"/>
      <c r="AMG415" s="6"/>
      <c r="AMH415" s="6"/>
      <c r="AMI415" s="6"/>
      <c r="AMJ415" s="6"/>
      <c r="AMK415" s="6"/>
      <c r="AML415" s="6"/>
      <c r="AMM415" s="6"/>
      <c r="AMN415" s="6"/>
      <c r="AMO415" s="6"/>
      <c r="AMP415" s="6"/>
    </row>
    <row r="416" spans="1:1030" x14ac:dyDescent="0.2">
      <c r="A416" s="3" t="str">
        <f t="shared" si="3718"/>
        <v>calcr_human__wt</v>
      </c>
      <c r="B416" s="2" t="s">
        <v>400</v>
      </c>
      <c r="C416" s="3" t="s">
        <v>100</v>
      </c>
      <c r="D416" s="3" t="str">
        <f>IFERROR(MID(VLOOKUP($B416,Seqs!$A:$B,2,0),E416,1),"")</f>
        <v>T</v>
      </c>
      <c r="E416" s="3">
        <v>132</v>
      </c>
      <c r="F416" s="3" t="str">
        <f>IFERROR(MID(VLOOKUP($B416,Seqs!$A:$B,2,0),G416,1),"")</f>
        <v>F</v>
      </c>
      <c r="G416" s="3">
        <v>173</v>
      </c>
      <c r="H416" s="3" t="str">
        <f>IFERROR(MID(VLOOKUP($B416,Seqs!$A:$B,2,0),I416,1),"")</f>
        <v>R</v>
      </c>
      <c r="I416" s="23">
        <v>174</v>
      </c>
      <c r="J416" s="3" t="str">
        <f>IFERROR(MID(VLOOKUP($B416,Seqs!$A:$B,2,0),K416,1),"")</f>
        <v>G</v>
      </c>
      <c r="K416" s="23">
        <v>177</v>
      </c>
      <c r="L416" s="3" t="str">
        <f>IFERROR(MID(VLOOKUP($B416,Seqs!$A:$B,2,0),M416,1),"")</f>
        <v>C</v>
      </c>
      <c r="M416" s="3">
        <v>178</v>
      </c>
      <c r="N416" s="3" t="str">
        <f>IFERROR(MID(VLOOKUP($B416,Seqs!$A:$B,2,0),O416,1),"")</f>
        <v>V</v>
      </c>
      <c r="O416" s="3">
        <v>205</v>
      </c>
      <c r="P416" s="3" t="str">
        <f>IFERROR(MID(VLOOKUP($B416,Seqs!$A:$B,2,0),Q416,1),"")</f>
        <v/>
      </c>
      <c r="Q416" s="3" t="s">
        <v>23</v>
      </c>
      <c r="R416" s="3" t="str">
        <f>IFERROR(MID(VLOOKUP($B416,Seqs!$A:$B,2,0),S416,1),"")</f>
        <v/>
      </c>
      <c r="S416" s="3" t="s">
        <v>23</v>
      </c>
      <c r="T416" s="3" t="str">
        <f>IFERROR(MID(VLOOKUP($B416,Seqs!$A:$B,2,0),U416,1),"")</f>
        <v>V</v>
      </c>
      <c r="U416" s="105">
        <v>217</v>
      </c>
      <c r="V416" s="3" t="str">
        <f>IFERROR(MID(VLOOKUP($B416,Seqs!$A:$B,2,0),W416,1),"")</f>
        <v>V</v>
      </c>
      <c r="W416" s="3">
        <v>250</v>
      </c>
      <c r="X416" s="3" t="str">
        <f>IFERROR(MID(VLOOKUP($B416,Seqs!$A:$B,2,0),Y416,1),"")</f>
        <v/>
      </c>
      <c r="Y416" s="3" t="s">
        <v>23</v>
      </c>
      <c r="Z416" s="3" t="str">
        <f>IFERROR(MID(VLOOKUP($B416,Seqs!$A:$B,2,0),AA416,1),"")</f>
        <v/>
      </c>
      <c r="AA416" s="3" t="s">
        <v>23</v>
      </c>
      <c r="AB416" s="3" t="str">
        <f>IFERROR(MID(VLOOKUP($B416,Seqs!$A:$B,2,0),AC416,1),"")</f>
        <v>R</v>
      </c>
      <c r="AC416" s="3">
        <v>258</v>
      </c>
      <c r="AD416" s="3" t="str">
        <f>IFERROR(MID(VLOOKUP($B416,Seqs!$A:$B,2,0),AE416,1),"")</f>
        <v>F</v>
      </c>
      <c r="AE416" s="3">
        <v>285</v>
      </c>
      <c r="AF416" s="3" t="str">
        <f>IFERROR(MID(VLOOKUP($B416,Seqs!$A:$B,2,0),AG416,1),"")</f>
        <v>C</v>
      </c>
      <c r="AG416" s="3">
        <v>289</v>
      </c>
      <c r="AH416" s="3" t="str">
        <f>IFERROR(MID(VLOOKUP($B416,Seqs!$A:$B,2,0),AI416,1),"")</f>
        <v>L</v>
      </c>
      <c r="AI416" s="3">
        <v>291</v>
      </c>
      <c r="AJ416" s="3" t="str">
        <f>IFERROR(MID(VLOOKUP($B416,Seqs!$A:$B,2,0),AK416,1),"")</f>
        <v>L</v>
      </c>
      <c r="AK416" s="3">
        <v>298</v>
      </c>
      <c r="AL416" s="3" t="str">
        <f>IFERROR(MID(VLOOKUP($B416,Seqs!$A:$B,2,0),AM416,1),"")</f>
        <v>R</v>
      </c>
      <c r="AM416" s="3">
        <v>328</v>
      </c>
      <c r="AN416" s="3" t="str">
        <f>IFERROR(MID(VLOOKUP($B416,Seqs!$A:$B,2,0),AO416,1),"")</f>
        <v>Y</v>
      </c>
      <c r="AO416" s="3">
        <v>338</v>
      </c>
      <c r="AP416" s="3" t="str">
        <f>IFERROR(MID(VLOOKUP($B416,Seqs!$A:$B,2,0),AQ416,1),"")</f>
        <v>W</v>
      </c>
      <c r="AQ416" s="3">
        <v>361</v>
      </c>
      <c r="AR416" s="3" t="str">
        <f>IFERROR(MID(VLOOKUP($B416,Seqs!$A:$B,2,0),AS416,1),"")</f>
        <v>K</v>
      </c>
      <c r="AS416" s="3">
        <v>366</v>
      </c>
      <c r="AT416" s="3" t="str">
        <f>IFERROR(MID(VLOOKUP($B416,Seqs!$A:$B,2,0),AU416,1),"")</f>
        <v>C</v>
      </c>
      <c r="AU416" s="3">
        <v>394</v>
      </c>
      <c r="AV416" s="3" t="str">
        <f>IFERROR(MID(VLOOKUP($B416,Seqs!$A:$B,2,0),AW416,1),"")</f>
        <v>N</v>
      </c>
      <c r="AW416" s="3">
        <v>395</v>
      </c>
      <c r="AX416" s="3" t="str">
        <f>IFERROR(MID(VLOOKUP($B416,Seqs!$A:$B,2,0),AY416,1),"")</f>
        <v>R</v>
      </c>
      <c r="AY416" s="3">
        <v>420</v>
      </c>
      <c r="AZ416" s="77" t="str">
        <f>VLOOKUP(B416,Classification!A:D,2,0)</f>
        <v>B1</v>
      </c>
      <c r="BA416" s="94" t="str">
        <f>VLOOKUP(B416,Classification!A:D,4,0)</f>
        <v>Calcitonin</v>
      </c>
      <c r="BB416" s="27" t="b">
        <f t="shared" si="3691"/>
        <v>1</v>
      </c>
      <c r="BC416" s="23">
        <f t="shared" si="3692"/>
        <v>251</v>
      </c>
      <c r="BD416" s="4" t="s">
        <v>23</v>
      </c>
      <c r="BE416" s="3" t="s">
        <v>23</v>
      </c>
      <c r="BF416" s="118" t="s">
        <v>23</v>
      </c>
      <c r="BG416" s="49" t="s">
        <v>1373</v>
      </c>
      <c r="BH416" s="49" t="s">
        <v>1373</v>
      </c>
      <c r="BI416" s="1"/>
      <c r="BJ416" s="70" t="s">
        <v>1283</v>
      </c>
      <c r="BK416" s="57" t="s">
        <v>1283</v>
      </c>
      <c r="BL416" s="57" t="s">
        <v>1283</v>
      </c>
      <c r="BM416" s="57" t="s">
        <v>1283</v>
      </c>
      <c r="BN416" s="57" t="s">
        <v>1283</v>
      </c>
      <c r="BO416" s="57" t="s">
        <v>1283</v>
      </c>
      <c r="BP416" s="57" t="s">
        <v>1283</v>
      </c>
      <c r="BQ416" s="57" t="s">
        <v>1283</v>
      </c>
      <c r="BR416" s="57" t="s">
        <v>1283</v>
      </c>
      <c r="BS416" s="57" t="s">
        <v>1283</v>
      </c>
      <c r="BT416" s="57" t="s">
        <v>1283</v>
      </c>
      <c r="BU416" s="57" t="s">
        <v>1283</v>
      </c>
      <c r="BV416" s="70">
        <f t="shared" si="3693"/>
        <v>132</v>
      </c>
      <c r="BW416" s="71">
        <f t="shared" si="3694"/>
        <v>174</v>
      </c>
      <c r="BX416" s="72">
        <f t="shared" si="3695"/>
        <v>178</v>
      </c>
      <c r="BY416" s="71" t="str">
        <f t="shared" si="3696"/>
        <v>-</v>
      </c>
      <c r="BZ416" s="72">
        <f t="shared" si="3697"/>
        <v>217</v>
      </c>
      <c r="CA416" s="71" t="str">
        <f t="shared" si="3698"/>
        <v>-</v>
      </c>
      <c r="CB416" s="72">
        <f t="shared" si="3699"/>
        <v>258</v>
      </c>
      <c r="CC416" s="71">
        <f t="shared" si="3700"/>
        <v>289</v>
      </c>
      <c r="CD416" s="72">
        <f t="shared" si="3701"/>
        <v>298</v>
      </c>
      <c r="CE416" s="71">
        <f t="shared" si="3702"/>
        <v>338</v>
      </c>
      <c r="CF416" s="72">
        <f t="shared" si="3703"/>
        <v>366</v>
      </c>
      <c r="CG416" s="71">
        <f t="shared" si="3704"/>
        <v>395</v>
      </c>
      <c r="CH416" s="70">
        <f t="shared" si="3705"/>
        <v>173</v>
      </c>
      <c r="CI416" s="71">
        <f t="shared" si="3706"/>
        <v>177</v>
      </c>
      <c r="CJ416" s="72">
        <f t="shared" si="3707"/>
        <v>205</v>
      </c>
      <c r="CK416" s="72" t="str">
        <f t="shared" si="3708"/>
        <v>-</v>
      </c>
      <c r="CL416" s="72">
        <f t="shared" si="3709"/>
        <v>250</v>
      </c>
      <c r="CM416" s="72" t="str">
        <f t="shared" si="3710"/>
        <v>-</v>
      </c>
      <c r="CN416" s="72">
        <f t="shared" si="3711"/>
        <v>285</v>
      </c>
      <c r="CO416" s="72">
        <f t="shared" si="3712"/>
        <v>291</v>
      </c>
      <c r="CP416" s="72">
        <f t="shared" si="3713"/>
        <v>328</v>
      </c>
      <c r="CQ416" s="72">
        <f t="shared" si="3714"/>
        <v>361</v>
      </c>
      <c r="CR416" s="72">
        <f t="shared" si="3715"/>
        <v>394</v>
      </c>
      <c r="CS416" s="72">
        <f t="shared" si="3716"/>
        <v>420</v>
      </c>
      <c r="CT416" s="23">
        <f t="shared" si="3717"/>
        <v>1</v>
      </c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  <c r="ND416" s="6"/>
      <c r="NE416" s="6"/>
      <c r="NF416" s="6"/>
      <c r="NG416" s="6"/>
      <c r="NH416" s="6"/>
      <c r="NI416" s="6"/>
      <c r="NJ416" s="6"/>
      <c r="NK416" s="6"/>
      <c r="NL416" s="6"/>
      <c r="NM416" s="6"/>
      <c r="NN416" s="6"/>
      <c r="NO416" s="6"/>
      <c r="NP416" s="6"/>
      <c r="NQ416" s="6"/>
      <c r="NR416" s="6"/>
      <c r="NS416" s="6"/>
      <c r="NT416" s="6"/>
      <c r="NU416" s="6"/>
      <c r="NV416" s="6"/>
      <c r="NW416" s="6"/>
      <c r="NX416" s="6"/>
      <c r="NY416" s="6"/>
      <c r="NZ416" s="6"/>
      <c r="OA416" s="6"/>
      <c r="OB416" s="6"/>
      <c r="OC416" s="6"/>
      <c r="OD416" s="6"/>
      <c r="OE416" s="6"/>
      <c r="OF416" s="6"/>
      <c r="OG416" s="6"/>
      <c r="OH416" s="6"/>
      <c r="OI416" s="6"/>
      <c r="OJ416" s="6"/>
      <c r="OK416" s="6"/>
      <c r="OL416" s="6"/>
      <c r="OM416" s="6"/>
      <c r="ON416" s="6"/>
      <c r="OO416" s="6"/>
      <c r="OP416" s="6"/>
      <c r="OQ416" s="6"/>
      <c r="OR416" s="6"/>
      <c r="OS416" s="6"/>
      <c r="OT416" s="6"/>
      <c r="OU416" s="6"/>
      <c r="OV416" s="6"/>
      <c r="OW416" s="6"/>
      <c r="OX416" s="6"/>
      <c r="OY416" s="6"/>
      <c r="OZ416" s="6"/>
      <c r="PA416" s="6"/>
      <c r="PB416" s="6"/>
      <c r="PC416" s="6"/>
      <c r="PD416" s="6"/>
      <c r="PE416" s="6"/>
      <c r="PF416" s="6"/>
      <c r="PG416" s="6"/>
      <c r="PH416" s="6"/>
      <c r="PI416" s="6"/>
      <c r="PJ416" s="6"/>
      <c r="PK416" s="6"/>
      <c r="PL416" s="6"/>
      <c r="PM416" s="6"/>
      <c r="PN416" s="6"/>
      <c r="PO416" s="6"/>
      <c r="PP416" s="6"/>
      <c r="PQ416" s="6"/>
      <c r="PR416" s="6"/>
      <c r="PS416" s="6"/>
      <c r="PT416" s="6"/>
      <c r="PU416" s="6"/>
      <c r="PV416" s="6"/>
      <c r="PW416" s="6"/>
      <c r="PX416" s="6"/>
      <c r="PY416" s="6"/>
      <c r="PZ416" s="6"/>
      <c r="QA416" s="6"/>
      <c r="QB416" s="6"/>
      <c r="QC416" s="6"/>
      <c r="QD416" s="6"/>
      <c r="QE416" s="6"/>
      <c r="QF416" s="6"/>
      <c r="QG416" s="6"/>
      <c r="QH416" s="6"/>
      <c r="QI416" s="6"/>
      <c r="QJ416" s="6"/>
      <c r="QK416" s="6"/>
      <c r="QL416" s="6"/>
      <c r="QM416" s="6"/>
      <c r="QN416" s="6"/>
      <c r="QO416" s="6"/>
      <c r="QP416" s="6"/>
      <c r="QQ416" s="6"/>
      <c r="QR416" s="6"/>
      <c r="QS416" s="6"/>
      <c r="QT416" s="6"/>
      <c r="QU416" s="6"/>
      <c r="QV416" s="6"/>
      <c r="QW416" s="6"/>
      <c r="QX416" s="6"/>
      <c r="QY416" s="6"/>
      <c r="QZ416" s="6"/>
      <c r="RA416" s="6"/>
      <c r="RB416" s="6"/>
      <c r="RC416" s="6"/>
      <c r="RD416" s="6"/>
      <c r="RE416" s="6"/>
      <c r="RF416" s="6"/>
      <c r="RG416" s="6"/>
      <c r="RH416" s="6"/>
      <c r="RI416" s="6"/>
      <c r="RJ416" s="6"/>
      <c r="RK416" s="6"/>
      <c r="RL416" s="6"/>
      <c r="RM416" s="6"/>
      <c r="RN416" s="6"/>
      <c r="RO416" s="6"/>
      <c r="RP416" s="6"/>
      <c r="RQ416" s="6"/>
      <c r="RR416" s="6"/>
      <c r="RS416" s="6"/>
      <c r="RT416" s="6"/>
      <c r="RU416" s="6"/>
      <c r="RV416" s="6"/>
      <c r="RW416" s="6"/>
      <c r="RX416" s="6"/>
      <c r="RY416" s="6"/>
      <c r="RZ416" s="6"/>
      <c r="SA416" s="6"/>
      <c r="SB416" s="6"/>
      <c r="SC416" s="6"/>
      <c r="SD416" s="6"/>
      <c r="SE416" s="6"/>
      <c r="SF416" s="6"/>
      <c r="SG416" s="6"/>
      <c r="SH416" s="6"/>
      <c r="SI416" s="6"/>
      <c r="SJ416" s="6"/>
      <c r="SK416" s="6"/>
      <c r="SL416" s="6"/>
      <c r="SM416" s="6"/>
      <c r="SN416" s="6"/>
      <c r="SO416" s="6"/>
      <c r="SP416" s="6"/>
      <c r="SQ416" s="6"/>
      <c r="SR416" s="6"/>
      <c r="SS416" s="6"/>
      <c r="ST416" s="6"/>
      <c r="SU416" s="6"/>
      <c r="SV416" s="6"/>
      <c r="SW416" s="6"/>
      <c r="SX416" s="6"/>
      <c r="SY416" s="6"/>
      <c r="SZ416" s="6"/>
      <c r="TA416" s="6"/>
      <c r="TB416" s="6"/>
      <c r="TC416" s="6"/>
      <c r="TD416" s="6"/>
      <c r="TE416" s="6"/>
      <c r="TF416" s="6"/>
      <c r="TG416" s="6"/>
      <c r="TH416" s="6"/>
      <c r="TI416" s="6"/>
      <c r="TJ416" s="6"/>
      <c r="TK416" s="6"/>
      <c r="TL416" s="6"/>
      <c r="TM416" s="6"/>
      <c r="TN416" s="6"/>
      <c r="TO416" s="6"/>
      <c r="TP416" s="6"/>
      <c r="TQ416" s="6"/>
      <c r="TR416" s="6"/>
      <c r="TS416" s="6"/>
      <c r="TT416" s="6"/>
      <c r="TU416" s="6"/>
      <c r="TV416" s="6"/>
      <c r="TW416" s="6"/>
      <c r="TX416" s="6"/>
      <c r="TY416" s="6"/>
      <c r="TZ416" s="6"/>
      <c r="UA416" s="6"/>
      <c r="UB416" s="6"/>
      <c r="UC416" s="6"/>
      <c r="UD416" s="6"/>
      <c r="UE416" s="6"/>
      <c r="UF416" s="6"/>
      <c r="UG416" s="6"/>
      <c r="UH416" s="6"/>
      <c r="UI416" s="6"/>
      <c r="UJ416" s="6"/>
      <c r="UK416" s="6"/>
      <c r="UL416" s="6"/>
      <c r="UM416" s="6"/>
      <c r="UN416" s="6"/>
      <c r="UO416" s="6"/>
      <c r="UP416" s="6"/>
      <c r="UQ416" s="6"/>
      <c r="UR416" s="6"/>
      <c r="US416" s="6"/>
      <c r="UT416" s="6"/>
      <c r="UU416" s="6"/>
      <c r="UV416" s="6"/>
      <c r="UW416" s="6"/>
      <c r="UX416" s="6"/>
      <c r="UY416" s="6"/>
      <c r="UZ416" s="6"/>
      <c r="VA416" s="6"/>
      <c r="VB416" s="6"/>
      <c r="VC416" s="6"/>
      <c r="VD416" s="6"/>
      <c r="VE416" s="6"/>
      <c r="VF416" s="6"/>
      <c r="VG416" s="6"/>
      <c r="VH416" s="6"/>
      <c r="VI416" s="6"/>
      <c r="VJ416" s="6"/>
      <c r="VK416" s="6"/>
      <c r="VL416" s="6"/>
      <c r="VM416" s="6"/>
      <c r="VN416" s="6"/>
      <c r="VO416" s="6"/>
      <c r="VP416" s="6"/>
      <c r="VQ416" s="6"/>
      <c r="VR416" s="6"/>
      <c r="VS416" s="6"/>
      <c r="VT416" s="6"/>
      <c r="VU416" s="6"/>
      <c r="VV416" s="6"/>
      <c r="VW416" s="6"/>
      <c r="VX416" s="6"/>
      <c r="VY416" s="6"/>
      <c r="VZ416" s="6"/>
      <c r="WA416" s="6"/>
      <c r="WB416" s="6"/>
      <c r="WC416" s="6"/>
      <c r="WD416" s="6"/>
      <c r="WE416" s="6"/>
      <c r="WF416" s="6"/>
      <c r="WG416" s="6"/>
      <c r="WH416" s="6"/>
      <c r="WI416" s="6"/>
      <c r="WJ416" s="6"/>
      <c r="WK416" s="6"/>
      <c r="WL416" s="6"/>
      <c r="WM416" s="6"/>
      <c r="WN416" s="6"/>
      <c r="WO416" s="6"/>
      <c r="WP416" s="6"/>
      <c r="WQ416" s="6"/>
      <c r="WR416" s="6"/>
      <c r="WS416" s="6"/>
      <c r="WT416" s="6"/>
      <c r="WU416" s="6"/>
      <c r="WV416" s="6"/>
      <c r="WW416" s="6"/>
      <c r="WX416" s="6"/>
      <c r="WY416" s="6"/>
      <c r="WZ416" s="6"/>
      <c r="XA416" s="6"/>
      <c r="XB416" s="6"/>
      <c r="XC416" s="6"/>
      <c r="XD416" s="6"/>
      <c r="XE416" s="6"/>
      <c r="XF416" s="6"/>
      <c r="XG416" s="6"/>
      <c r="XH416" s="6"/>
      <c r="XI416" s="6"/>
      <c r="XJ416" s="6"/>
      <c r="XK416" s="6"/>
      <c r="XL416" s="6"/>
      <c r="XM416" s="6"/>
      <c r="XN416" s="6"/>
      <c r="XO416" s="6"/>
      <c r="XP416" s="6"/>
      <c r="XQ416" s="6"/>
      <c r="XR416" s="6"/>
      <c r="XS416" s="6"/>
      <c r="XT416" s="6"/>
      <c r="XU416" s="6"/>
      <c r="XV416" s="6"/>
      <c r="XW416" s="6"/>
      <c r="XX416" s="6"/>
      <c r="XY416" s="6"/>
      <c r="XZ416" s="6"/>
      <c r="YA416" s="6"/>
      <c r="YB416" s="6"/>
      <c r="YC416" s="6"/>
      <c r="YD416" s="6"/>
      <c r="YE416" s="6"/>
      <c r="YF416" s="6"/>
      <c r="YG416" s="6"/>
      <c r="YH416" s="6"/>
      <c r="YI416" s="6"/>
      <c r="YJ416" s="6"/>
      <c r="YK416" s="6"/>
      <c r="YL416" s="6"/>
      <c r="YM416" s="6"/>
      <c r="YN416" s="6"/>
      <c r="YO416" s="6"/>
      <c r="YP416" s="6"/>
      <c r="YQ416" s="6"/>
      <c r="YR416" s="6"/>
      <c r="YS416" s="6"/>
      <c r="YT416" s="6"/>
      <c r="YU416" s="6"/>
      <c r="YV416" s="6"/>
      <c r="YW416" s="6"/>
      <c r="YX416" s="6"/>
      <c r="YY416" s="6"/>
      <c r="YZ416" s="6"/>
      <c r="ZA416" s="6"/>
      <c r="ZB416" s="6"/>
      <c r="ZC416" s="6"/>
      <c r="ZD416" s="6"/>
      <c r="ZE416" s="6"/>
      <c r="ZF416" s="6"/>
      <c r="ZG416" s="6"/>
      <c r="ZH416" s="6"/>
      <c r="ZI416" s="6"/>
      <c r="ZJ416" s="6"/>
      <c r="ZK416" s="6"/>
      <c r="ZL416" s="6"/>
      <c r="ZM416" s="6"/>
      <c r="ZN416" s="6"/>
      <c r="ZO416" s="6"/>
      <c r="ZP416" s="6"/>
      <c r="ZQ416" s="6"/>
      <c r="ZR416" s="6"/>
      <c r="ZS416" s="6"/>
      <c r="ZT416" s="6"/>
      <c r="ZU416" s="6"/>
      <c r="ZV416" s="6"/>
      <c r="ZW416" s="6"/>
      <c r="ZX416" s="6"/>
      <c r="ZY416" s="6"/>
      <c r="ZZ416" s="6"/>
      <c r="AAA416" s="6"/>
      <c r="AAB416" s="6"/>
      <c r="AAC416" s="6"/>
      <c r="AAD416" s="6"/>
      <c r="AAE416" s="6"/>
      <c r="AAF416" s="6"/>
      <c r="AAG416" s="6"/>
      <c r="AAH416" s="6"/>
      <c r="AAI416" s="6"/>
      <c r="AAJ416" s="6"/>
      <c r="AAK416" s="6"/>
      <c r="AAL416" s="6"/>
      <c r="AAM416" s="6"/>
      <c r="AAN416" s="6"/>
      <c r="AAO416" s="6"/>
      <c r="AAP416" s="6"/>
      <c r="AAQ416" s="6"/>
      <c r="AAR416" s="6"/>
      <c r="AAS416" s="6"/>
      <c r="AAT416" s="6"/>
      <c r="AAU416" s="6"/>
      <c r="AAV416" s="6"/>
      <c r="AAW416" s="6"/>
      <c r="AAX416" s="6"/>
      <c r="AAY416" s="6"/>
      <c r="AAZ416" s="6"/>
      <c r="ABA416" s="6"/>
      <c r="ABB416" s="6"/>
      <c r="ABC416" s="6"/>
      <c r="ABD416" s="6"/>
      <c r="ABE416" s="6"/>
      <c r="ABF416" s="6"/>
      <c r="ABG416" s="6"/>
      <c r="ABH416" s="6"/>
      <c r="ABI416" s="6"/>
      <c r="ABJ416" s="6"/>
      <c r="ABK416" s="6"/>
      <c r="ABL416" s="6"/>
      <c r="ABM416" s="6"/>
      <c r="ABN416" s="6"/>
      <c r="ABO416" s="6"/>
      <c r="ABP416" s="6"/>
      <c r="ABQ416" s="6"/>
      <c r="ABR416" s="6"/>
      <c r="ABS416" s="6"/>
      <c r="ABT416" s="6"/>
      <c r="ABU416" s="6"/>
      <c r="ABV416" s="6"/>
      <c r="ABW416" s="6"/>
      <c r="ABX416" s="6"/>
      <c r="ABY416" s="6"/>
      <c r="ABZ416" s="6"/>
      <c r="ACA416" s="6"/>
      <c r="ACB416" s="6"/>
      <c r="ACC416" s="6"/>
      <c r="ACD416" s="6"/>
      <c r="ACE416" s="6"/>
      <c r="ACF416" s="6"/>
      <c r="ACG416" s="6"/>
      <c r="ACH416" s="6"/>
      <c r="ACI416" s="6"/>
      <c r="ACJ416" s="6"/>
      <c r="ACK416" s="6"/>
      <c r="ACL416" s="6"/>
      <c r="ACM416" s="6"/>
      <c r="ACN416" s="6"/>
      <c r="ACO416" s="6"/>
      <c r="ACP416" s="6"/>
      <c r="ACQ416" s="6"/>
      <c r="ACR416" s="6"/>
      <c r="ACS416" s="6"/>
      <c r="ACT416" s="6"/>
      <c r="ACU416" s="6"/>
      <c r="ACV416" s="6"/>
      <c r="ACW416" s="6"/>
      <c r="ACX416" s="6"/>
      <c r="ACY416" s="6"/>
      <c r="ACZ416" s="6"/>
      <c r="ADA416" s="6"/>
      <c r="ADB416" s="6"/>
      <c r="ADC416" s="6"/>
      <c r="ADD416" s="6"/>
      <c r="ADE416" s="6"/>
      <c r="ADF416" s="6"/>
      <c r="ADG416" s="6"/>
      <c r="ADH416" s="6"/>
      <c r="ADI416" s="6"/>
      <c r="ADJ416" s="6"/>
      <c r="ADK416" s="6"/>
      <c r="ADL416" s="6"/>
      <c r="ADM416" s="6"/>
      <c r="ADN416" s="6"/>
      <c r="ADO416" s="6"/>
      <c r="ADP416" s="6"/>
      <c r="ADQ416" s="6"/>
      <c r="ADR416" s="6"/>
      <c r="ADS416" s="6"/>
      <c r="ADT416" s="6"/>
      <c r="ADU416" s="6"/>
      <c r="ADV416" s="6"/>
      <c r="ADW416" s="6"/>
      <c r="ADX416" s="6"/>
      <c r="ADY416" s="6"/>
      <c r="ADZ416" s="6"/>
      <c r="AEA416" s="6"/>
      <c r="AEB416" s="6"/>
      <c r="AEC416" s="6"/>
      <c r="AED416" s="6"/>
      <c r="AEE416" s="6"/>
      <c r="AEF416" s="6"/>
      <c r="AEG416" s="6"/>
      <c r="AEH416" s="6"/>
      <c r="AEI416" s="6"/>
      <c r="AEJ416" s="6"/>
      <c r="AEK416" s="6"/>
      <c r="AEL416" s="6"/>
      <c r="AEM416" s="6"/>
      <c r="AEN416" s="6"/>
      <c r="AEO416" s="6"/>
      <c r="AEP416" s="6"/>
      <c r="AEQ416" s="6"/>
      <c r="AER416" s="6"/>
      <c r="AES416" s="6"/>
      <c r="AET416" s="6"/>
      <c r="AEU416" s="6"/>
      <c r="AEV416" s="6"/>
      <c r="AEW416" s="6"/>
      <c r="AEX416" s="6"/>
      <c r="AEY416" s="6"/>
      <c r="AEZ416" s="6"/>
      <c r="AFA416" s="6"/>
      <c r="AFB416" s="6"/>
      <c r="AFC416" s="6"/>
      <c r="AFD416" s="6"/>
      <c r="AFE416" s="6"/>
      <c r="AFF416" s="6"/>
      <c r="AFG416" s="6"/>
      <c r="AFH416" s="6"/>
      <c r="AFI416" s="6"/>
      <c r="AFJ416" s="6"/>
      <c r="AFK416" s="6"/>
      <c r="AFL416" s="6"/>
      <c r="AFM416" s="6"/>
      <c r="AFN416" s="6"/>
      <c r="AFO416" s="6"/>
      <c r="AFP416" s="6"/>
      <c r="AFQ416" s="6"/>
      <c r="AFR416" s="6"/>
      <c r="AFS416" s="6"/>
      <c r="AFT416" s="6"/>
      <c r="AFU416" s="6"/>
      <c r="AFV416" s="6"/>
      <c r="AFW416" s="6"/>
      <c r="AFX416" s="6"/>
      <c r="AFY416" s="6"/>
      <c r="AFZ416" s="6"/>
      <c r="AGA416" s="6"/>
      <c r="AGB416" s="6"/>
      <c r="AGC416" s="6"/>
      <c r="AGD416" s="6"/>
      <c r="AGE416" s="6"/>
      <c r="AGF416" s="6"/>
      <c r="AGG416" s="6"/>
      <c r="AGH416" s="6"/>
      <c r="AGI416" s="6"/>
      <c r="AGJ416" s="6"/>
      <c r="AGK416" s="6"/>
      <c r="AGL416" s="6"/>
      <c r="AGM416" s="6"/>
      <c r="AGN416" s="6"/>
      <c r="AGO416" s="6"/>
      <c r="AGP416" s="6"/>
      <c r="AGQ416" s="6"/>
      <c r="AGR416" s="6"/>
      <c r="AGS416" s="6"/>
      <c r="AGT416" s="6"/>
      <c r="AGU416" s="6"/>
      <c r="AGV416" s="6"/>
      <c r="AGW416" s="6"/>
      <c r="AGX416" s="6"/>
      <c r="AGY416" s="6"/>
      <c r="AGZ416" s="6"/>
      <c r="AHA416" s="6"/>
      <c r="AHB416" s="6"/>
      <c r="AHC416" s="6"/>
      <c r="AHD416" s="6"/>
      <c r="AHE416" s="6"/>
      <c r="AHF416" s="6"/>
      <c r="AHG416" s="6"/>
      <c r="AHH416" s="6"/>
      <c r="AHI416" s="6"/>
      <c r="AHJ416" s="6"/>
      <c r="AHK416" s="6"/>
      <c r="AHL416" s="6"/>
      <c r="AHM416" s="6"/>
      <c r="AHN416" s="6"/>
      <c r="AHO416" s="6"/>
      <c r="AHP416" s="6"/>
      <c r="AHQ416" s="6"/>
      <c r="AHR416" s="6"/>
      <c r="AHS416" s="6"/>
      <c r="AHT416" s="6"/>
      <c r="AHU416" s="6"/>
      <c r="AHV416" s="6"/>
      <c r="AHW416" s="6"/>
      <c r="AHX416" s="6"/>
      <c r="AHY416" s="6"/>
      <c r="AHZ416" s="6"/>
      <c r="AIA416" s="6"/>
      <c r="AIB416" s="6"/>
      <c r="AIC416" s="6"/>
      <c r="AID416" s="6"/>
      <c r="AIE416" s="6"/>
      <c r="AIF416" s="6"/>
      <c r="AIG416" s="6"/>
      <c r="AIH416" s="6"/>
      <c r="AII416" s="6"/>
      <c r="AIJ416" s="6"/>
      <c r="AIK416" s="6"/>
      <c r="AIL416" s="6"/>
      <c r="AIM416" s="6"/>
      <c r="AIN416" s="6"/>
      <c r="AIO416" s="6"/>
      <c r="AIP416" s="6"/>
      <c r="AIQ416" s="6"/>
      <c r="AIR416" s="6"/>
      <c r="AIS416" s="6"/>
      <c r="AIT416" s="6"/>
      <c r="AIU416" s="6"/>
      <c r="AIV416" s="6"/>
      <c r="AIW416" s="6"/>
      <c r="AIX416" s="6"/>
      <c r="AIY416" s="6"/>
      <c r="AIZ416" s="6"/>
      <c r="AJA416" s="6"/>
      <c r="AJB416" s="6"/>
      <c r="AJC416" s="6"/>
      <c r="AJD416" s="6"/>
      <c r="AJE416" s="6"/>
      <c r="AJF416" s="6"/>
      <c r="AJG416" s="6"/>
      <c r="AJH416" s="6"/>
      <c r="AJI416" s="6"/>
      <c r="AJJ416" s="6"/>
      <c r="AJK416" s="6"/>
      <c r="AJL416" s="6"/>
      <c r="AJM416" s="6"/>
      <c r="AJN416" s="6"/>
      <c r="AJO416" s="6"/>
      <c r="AJP416" s="6"/>
      <c r="AJQ416" s="6"/>
      <c r="AJR416" s="6"/>
      <c r="AJS416" s="6"/>
      <c r="AJT416" s="6"/>
      <c r="AJU416" s="6"/>
      <c r="AJV416" s="6"/>
      <c r="AJW416" s="6"/>
      <c r="AJX416" s="6"/>
      <c r="AJY416" s="6"/>
      <c r="AJZ416" s="6"/>
      <c r="AKA416" s="6"/>
      <c r="AKB416" s="6"/>
      <c r="AKC416" s="6"/>
      <c r="AKD416" s="6"/>
      <c r="AKE416" s="6"/>
      <c r="AKF416" s="6"/>
      <c r="AKG416" s="6"/>
      <c r="AKH416" s="6"/>
      <c r="AKI416" s="6"/>
      <c r="AKJ416" s="6"/>
      <c r="AKK416" s="6"/>
      <c r="AKL416" s="6"/>
      <c r="AKM416" s="6"/>
      <c r="AKN416" s="6"/>
      <c r="AKO416" s="6"/>
      <c r="AKP416" s="6"/>
      <c r="AKQ416" s="6"/>
      <c r="AKR416" s="6"/>
      <c r="AKS416" s="6"/>
      <c r="AKT416" s="6"/>
      <c r="AKU416" s="6"/>
      <c r="AKV416" s="6"/>
      <c r="AKW416" s="6"/>
      <c r="AKX416" s="6"/>
      <c r="AKY416" s="6"/>
      <c r="AKZ416" s="6"/>
      <c r="ALA416" s="6"/>
      <c r="ALB416" s="6"/>
      <c r="ALC416" s="6"/>
      <c r="ALD416" s="6"/>
      <c r="ALE416" s="6"/>
      <c r="ALF416" s="6"/>
      <c r="ALG416" s="6"/>
      <c r="ALH416" s="6"/>
      <c r="ALI416" s="6"/>
      <c r="ALJ416" s="6"/>
      <c r="ALK416" s="6"/>
      <c r="ALL416" s="6"/>
      <c r="ALM416" s="6"/>
      <c r="ALN416" s="6"/>
      <c r="ALO416" s="6"/>
      <c r="ALP416" s="6"/>
      <c r="ALQ416" s="6"/>
      <c r="ALR416" s="6"/>
      <c r="ALS416" s="6"/>
      <c r="ALT416" s="6"/>
      <c r="ALU416" s="6"/>
      <c r="ALV416" s="6"/>
      <c r="ALW416" s="6"/>
      <c r="ALX416" s="6"/>
      <c r="ALY416" s="6"/>
      <c r="ALZ416" s="6"/>
      <c r="AMA416" s="6"/>
      <c r="AMB416" s="6"/>
      <c r="AMC416" s="6"/>
      <c r="AMD416" s="6"/>
      <c r="AME416" s="6"/>
      <c r="AMF416" s="6"/>
      <c r="AMG416" s="6"/>
      <c r="AMH416" s="6"/>
      <c r="AMI416" s="6"/>
      <c r="AMJ416" s="6"/>
      <c r="AMK416" s="6"/>
      <c r="AML416" s="6"/>
      <c r="AMM416" s="6"/>
      <c r="AMN416" s="6"/>
      <c r="AMO416" s="6"/>
      <c r="AMP416" s="6"/>
    </row>
    <row r="417" spans="1:1030" x14ac:dyDescent="0.2">
      <c r="A417" s="3" t="str">
        <f t="shared" si="3718"/>
        <v>calcr_human_5UZ7</v>
      </c>
      <c r="B417" s="2" t="s">
        <v>400</v>
      </c>
      <c r="C417" s="3" t="s">
        <v>1397</v>
      </c>
      <c r="D417" s="3" t="str">
        <f>IFERROR(MID(VLOOKUP($B417,Seqs!$A:$B,2,0),E417,1),"")</f>
        <v>A</v>
      </c>
      <c r="E417" s="3">
        <v>136</v>
      </c>
      <c r="F417" s="3" t="str">
        <f>IFERROR(MID(VLOOKUP($B417,Seqs!$A:$B,2,0),G417,1),"")</f>
        <v>F</v>
      </c>
      <c r="G417" s="3">
        <v>173</v>
      </c>
      <c r="H417" s="3" t="str">
        <f>IFERROR(MID(VLOOKUP($B417,Seqs!$A:$B,2,0),I417,1),"")</f>
        <v>R</v>
      </c>
      <c r="I417" s="23">
        <v>174</v>
      </c>
      <c r="J417" s="3" t="str">
        <f>IFERROR(MID(VLOOKUP($B417,Seqs!$A:$B,2,0),K417,1),"")</f>
        <v>G</v>
      </c>
      <c r="K417" s="23">
        <v>177</v>
      </c>
      <c r="L417" s="3" t="str">
        <f>IFERROR(MID(VLOOKUP($B417,Seqs!$A:$B,2,0),M417,1),"")</f>
        <v>C</v>
      </c>
      <c r="M417" s="3">
        <v>178</v>
      </c>
      <c r="N417" s="3" t="str">
        <f>IFERROR(MID(VLOOKUP($B417,Seqs!$A:$B,2,0),O417,1),"")</f>
        <v>V</v>
      </c>
      <c r="O417" s="3">
        <v>205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D</v>
      </c>
      <c r="U417" s="3">
        <v>215</v>
      </c>
      <c r="V417" s="3" t="str">
        <f>IFERROR(MID(VLOOKUP($B417,Seqs!$A:$B,2,0),W417,1),"")</f>
        <v>V</v>
      </c>
      <c r="W417" s="3">
        <v>250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R</v>
      </c>
      <c r="AC417" s="3">
        <v>258</v>
      </c>
      <c r="AD417" s="3" t="str">
        <f>IFERROR(MID(VLOOKUP($B417,Seqs!$A:$B,2,0),AE417,1),"")</f>
        <v>F</v>
      </c>
      <c r="AE417" s="3">
        <v>285</v>
      </c>
      <c r="AF417" s="3" t="str">
        <f>IFERROR(MID(VLOOKUP($B417,Seqs!$A:$B,2,0),AG417,1),"")</f>
        <v>C</v>
      </c>
      <c r="AG417" s="3">
        <v>289</v>
      </c>
      <c r="AH417" s="3" t="str">
        <f>IFERROR(MID(VLOOKUP($B417,Seqs!$A:$B,2,0),AI417,1),"")</f>
        <v>L</v>
      </c>
      <c r="AI417" s="3">
        <v>291</v>
      </c>
      <c r="AJ417" s="3" t="str">
        <f>IFERROR(MID(VLOOKUP($B417,Seqs!$A:$B,2,0),AK417,1),"")</f>
        <v>L</v>
      </c>
      <c r="AK417" s="3">
        <v>298</v>
      </c>
      <c r="AL417" s="3" t="str">
        <f>IFERROR(MID(VLOOKUP($B417,Seqs!$A:$B,2,0),AM417,1),"")</f>
        <v>R</v>
      </c>
      <c r="AM417" s="3">
        <v>328</v>
      </c>
      <c r="AN417" s="3" t="str">
        <f>IFERROR(MID(VLOOKUP($B417,Seqs!$A:$B,2,0),AO417,1),"")</f>
        <v>L</v>
      </c>
      <c r="AO417" s="3">
        <v>352</v>
      </c>
      <c r="AP417" s="3" t="str">
        <f>IFERROR(MID(VLOOKUP($B417,Seqs!$A:$B,2,0),AQ417,1),"")</f>
        <v>P</v>
      </c>
      <c r="AQ417" s="3">
        <v>360</v>
      </c>
      <c r="AR417" s="3" t="str">
        <f>IFERROR(MID(VLOOKUP($B417,Seqs!$A:$B,2,0),AS417,1),"")</f>
        <v>K</v>
      </c>
      <c r="AS417" s="3">
        <v>366</v>
      </c>
      <c r="AT417" s="3" t="str">
        <f>IFERROR(MID(VLOOKUP($B417,Seqs!$A:$B,2,0),AU417,1),"")</f>
        <v>C</v>
      </c>
      <c r="AU417" s="3">
        <v>394</v>
      </c>
      <c r="AV417" s="3" t="str">
        <f>IFERROR(MID(VLOOKUP($B417,Seqs!$A:$B,2,0),AW417,1),"")</f>
        <v>N</v>
      </c>
      <c r="AW417" s="3">
        <v>395</v>
      </c>
      <c r="AX417" s="3" t="str">
        <f>IFERROR(MID(VLOOKUP($B417,Seqs!$A:$B,2,0),AY417,1),"")</f>
        <v>G</v>
      </c>
      <c r="AY417" s="3">
        <v>418</v>
      </c>
      <c r="AZ417" s="77" t="str">
        <f>VLOOKUP(B417,Classification!A:D,2,0)</f>
        <v>B1</v>
      </c>
      <c r="BA417" s="94" t="str">
        <f>VLOOKUP(B417,Classification!A:D,4,0)</f>
        <v>Calcitonin</v>
      </c>
      <c r="BB417" s="27" t="b">
        <f t="shared" si="3691"/>
        <v>1</v>
      </c>
      <c r="BC417" s="23">
        <f t="shared" si="3692"/>
        <v>232</v>
      </c>
      <c r="BD417" s="4" t="s">
        <v>23</v>
      </c>
      <c r="BE417" s="3" t="s">
        <v>1287</v>
      </c>
      <c r="BF417" s="118">
        <v>4.0999999999999996</v>
      </c>
      <c r="BG417" s="49" t="s">
        <v>1373</v>
      </c>
      <c r="BH417" s="49" t="s">
        <v>1373</v>
      </c>
      <c r="BI417" s="1"/>
      <c r="BJ417" s="70" t="s">
        <v>1283</v>
      </c>
      <c r="BK417" s="57" t="s">
        <v>1283</v>
      </c>
      <c r="BL417" s="57" t="s">
        <v>1283</v>
      </c>
      <c r="BM417" s="57" t="s">
        <v>1283</v>
      </c>
      <c r="BN417" s="57" t="s">
        <v>1283</v>
      </c>
      <c r="BO417" s="57" t="s">
        <v>1283</v>
      </c>
      <c r="BP417" s="57" t="s">
        <v>1283</v>
      </c>
      <c r="BQ417" s="57" t="s">
        <v>1283</v>
      </c>
      <c r="BR417" s="57" t="s">
        <v>1283</v>
      </c>
      <c r="BS417" s="57" t="s">
        <v>1283</v>
      </c>
      <c r="BT417" s="57" t="s">
        <v>1283</v>
      </c>
      <c r="BU417" s="57" t="s">
        <v>1283</v>
      </c>
      <c r="BV417" s="70">
        <f t="shared" si="3693"/>
        <v>136</v>
      </c>
      <c r="BW417" s="71">
        <f t="shared" si="3694"/>
        <v>174</v>
      </c>
      <c r="BX417" s="72">
        <f t="shared" si="3695"/>
        <v>178</v>
      </c>
      <c r="BY417" s="71" t="str">
        <f t="shared" si="3696"/>
        <v>-</v>
      </c>
      <c r="BZ417" s="72">
        <f t="shared" si="3697"/>
        <v>215</v>
      </c>
      <c r="CA417" s="71" t="str">
        <f t="shared" si="3698"/>
        <v>-</v>
      </c>
      <c r="CB417" s="72">
        <f t="shared" si="3699"/>
        <v>258</v>
      </c>
      <c r="CC417" s="71">
        <f t="shared" si="3700"/>
        <v>289</v>
      </c>
      <c r="CD417" s="72">
        <f t="shared" si="3701"/>
        <v>298</v>
      </c>
      <c r="CE417" s="71">
        <f t="shared" si="3702"/>
        <v>352</v>
      </c>
      <c r="CF417" s="72">
        <f t="shared" si="3703"/>
        <v>366</v>
      </c>
      <c r="CG417" s="71">
        <f t="shared" si="3704"/>
        <v>395</v>
      </c>
      <c r="CH417" s="70">
        <f t="shared" si="3705"/>
        <v>173</v>
      </c>
      <c r="CI417" s="71">
        <f t="shared" si="3706"/>
        <v>177</v>
      </c>
      <c r="CJ417" s="72">
        <f t="shared" si="3707"/>
        <v>205</v>
      </c>
      <c r="CK417" s="72" t="str">
        <f t="shared" si="3708"/>
        <v>-</v>
      </c>
      <c r="CL417" s="72">
        <f t="shared" si="3709"/>
        <v>250</v>
      </c>
      <c r="CM417" s="72" t="str">
        <f t="shared" si="3710"/>
        <v>-</v>
      </c>
      <c r="CN417" s="72">
        <f t="shared" si="3711"/>
        <v>285</v>
      </c>
      <c r="CO417" s="72">
        <f t="shared" si="3712"/>
        <v>291</v>
      </c>
      <c r="CP417" s="72">
        <f t="shared" si="3713"/>
        <v>328</v>
      </c>
      <c r="CQ417" s="72">
        <f t="shared" si="3714"/>
        <v>360</v>
      </c>
      <c r="CR417" s="72">
        <f t="shared" si="3715"/>
        <v>394</v>
      </c>
      <c r="CS417" s="72">
        <f t="shared" si="3716"/>
        <v>418</v>
      </c>
      <c r="CT417" s="23">
        <f t="shared" si="3717"/>
        <v>1</v>
      </c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  <c r="ND417" s="6"/>
      <c r="NE417" s="6"/>
      <c r="NF417" s="6"/>
      <c r="NG417" s="6"/>
      <c r="NH417" s="6"/>
      <c r="NI417" s="6"/>
      <c r="NJ417" s="6"/>
      <c r="NK417" s="6"/>
      <c r="NL417" s="6"/>
      <c r="NM417" s="6"/>
      <c r="NN417" s="6"/>
      <c r="NO417" s="6"/>
      <c r="NP417" s="6"/>
      <c r="NQ417" s="6"/>
      <c r="NR417" s="6"/>
      <c r="NS417" s="6"/>
      <c r="NT417" s="6"/>
      <c r="NU417" s="6"/>
      <c r="NV417" s="6"/>
      <c r="NW417" s="6"/>
      <c r="NX417" s="6"/>
      <c r="NY417" s="6"/>
      <c r="NZ417" s="6"/>
      <c r="OA417" s="6"/>
      <c r="OB417" s="6"/>
      <c r="OC417" s="6"/>
      <c r="OD417" s="6"/>
      <c r="OE417" s="6"/>
      <c r="OF417" s="6"/>
      <c r="OG417" s="6"/>
      <c r="OH417" s="6"/>
      <c r="OI417" s="6"/>
      <c r="OJ417" s="6"/>
      <c r="OK417" s="6"/>
      <c r="OL417" s="6"/>
      <c r="OM417" s="6"/>
      <c r="ON417" s="6"/>
      <c r="OO417" s="6"/>
      <c r="OP417" s="6"/>
      <c r="OQ417" s="6"/>
      <c r="OR417" s="6"/>
      <c r="OS417" s="6"/>
      <c r="OT417" s="6"/>
      <c r="OU417" s="6"/>
      <c r="OV417" s="6"/>
      <c r="OW417" s="6"/>
      <c r="OX417" s="6"/>
      <c r="OY417" s="6"/>
      <c r="OZ417" s="6"/>
      <c r="PA417" s="6"/>
      <c r="PB417" s="6"/>
      <c r="PC417" s="6"/>
      <c r="PD417" s="6"/>
      <c r="PE417" s="6"/>
      <c r="PF417" s="6"/>
      <c r="PG417" s="6"/>
      <c r="PH417" s="6"/>
      <c r="PI417" s="6"/>
      <c r="PJ417" s="6"/>
      <c r="PK417" s="6"/>
      <c r="PL417" s="6"/>
      <c r="PM417" s="6"/>
      <c r="PN417" s="6"/>
      <c r="PO417" s="6"/>
      <c r="PP417" s="6"/>
      <c r="PQ417" s="6"/>
      <c r="PR417" s="6"/>
      <c r="PS417" s="6"/>
      <c r="PT417" s="6"/>
      <c r="PU417" s="6"/>
      <c r="PV417" s="6"/>
      <c r="PW417" s="6"/>
      <c r="PX417" s="6"/>
      <c r="PY417" s="6"/>
      <c r="PZ417" s="6"/>
      <c r="QA417" s="6"/>
      <c r="QB417" s="6"/>
      <c r="QC417" s="6"/>
      <c r="QD417" s="6"/>
      <c r="QE417" s="6"/>
      <c r="QF417" s="6"/>
      <c r="QG417" s="6"/>
      <c r="QH417" s="6"/>
      <c r="QI417" s="6"/>
      <c r="QJ417" s="6"/>
      <c r="QK417" s="6"/>
      <c r="QL417" s="6"/>
      <c r="QM417" s="6"/>
      <c r="QN417" s="6"/>
      <c r="QO417" s="6"/>
      <c r="QP417" s="6"/>
      <c r="QQ417" s="6"/>
      <c r="QR417" s="6"/>
      <c r="QS417" s="6"/>
      <c r="QT417" s="6"/>
      <c r="QU417" s="6"/>
      <c r="QV417" s="6"/>
      <c r="QW417" s="6"/>
      <c r="QX417" s="6"/>
      <c r="QY417" s="6"/>
      <c r="QZ417" s="6"/>
      <c r="RA417" s="6"/>
      <c r="RB417" s="6"/>
      <c r="RC417" s="6"/>
      <c r="RD417" s="6"/>
      <c r="RE417" s="6"/>
      <c r="RF417" s="6"/>
      <c r="RG417" s="6"/>
      <c r="RH417" s="6"/>
      <c r="RI417" s="6"/>
      <c r="RJ417" s="6"/>
      <c r="RK417" s="6"/>
      <c r="RL417" s="6"/>
      <c r="RM417" s="6"/>
      <c r="RN417" s="6"/>
      <c r="RO417" s="6"/>
      <c r="RP417" s="6"/>
      <c r="RQ417" s="6"/>
      <c r="RR417" s="6"/>
      <c r="RS417" s="6"/>
      <c r="RT417" s="6"/>
      <c r="RU417" s="6"/>
      <c r="RV417" s="6"/>
      <c r="RW417" s="6"/>
      <c r="RX417" s="6"/>
      <c r="RY417" s="6"/>
      <c r="RZ417" s="6"/>
      <c r="SA417" s="6"/>
      <c r="SB417" s="6"/>
      <c r="SC417" s="6"/>
      <c r="SD417" s="6"/>
      <c r="SE417" s="6"/>
      <c r="SF417" s="6"/>
      <c r="SG417" s="6"/>
      <c r="SH417" s="6"/>
      <c r="SI417" s="6"/>
      <c r="SJ417" s="6"/>
      <c r="SK417" s="6"/>
      <c r="SL417" s="6"/>
      <c r="SM417" s="6"/>
      <c r="SN417" s="6"/>
      <c r="SO417" s="6"/>
      <c r="SP417" s="6"/>
      <c r="SQ417" s="6"/>
      <c r="SR417" s="6"/>
      <c r="SS417" s="6"/>
      <c r="ST417" s="6"/>
      <c r="SU417" s="6"/>
      <c r="SV417" s="6"/>
      <c r="SW417" s="6"/>
      <c r="SX417" s="6"/>
      <c r="SY417" s="6"/>
      <c r="SZ417" s="6"/>
      <c r="TA417" s="6"/>
      <c r="TB417" s="6"/>
      <c r="TC417" s="6"/>
      <c r="TD417" s="6"/>
      <c r="TE417" s="6"/>
      <c r="TF417" s="6"/>
      <c r="TG417" s="6"/>
      <c r="TH417" s="6"/>
      <c r="TI417" s="6"/>
      <c r="TJ417" s="6"/>
      <c r="TK417" s="6"/>
      <c r="TL417" s="6"/>
      <c r="TM417" s="6"/>
      <c r="TN417" s="6"/>
      <c r="TO417" s="6"/>
      <c r="TP417" s="6"/>
      <c r="TQ417" s="6"/>
      <c r="TR417" s="6"/>
      <c r="TS417" s="6"/>
      <c r="TT417" s="6"/>
      <c r="TU417" s="6"/>
      <c r="TV417" s="6"/>
      <c r="TW417" s="6"/>
      <c r="TX417" s="6"/>
      <c r="TY417" s="6"/>
      <c r="TZ417" s="6"/>
      <c r="UA417" s="6"/>
      <c r="UB417" s="6"/>
      <c r="UC417" s="6"/>
      <c r="UD417" s="6"/>
      <c r="UE417" s="6"/>
      <c r="UF417" s="6"/>
      <c r="UG417" s="6"/>
      <c r="UH417" s="6"/>
      <c r="UI417" s="6"/>
      <c r="UJ417" s="6"/>
      <c r="UK417" s="6"/>
      <c r="UL417" s="6"/>
      <c r="UM417" s="6"/>
      <c r="UN417" s="6"/>
      <c r="UO417" s="6"/>
      <c r="UP417" s="6"/>
      <c r="UQ417" s="6"/>
      <c r="UR417" s="6"/>
      <c r="US417" s="6"/>
      <c r="UT417" s="6"/>
      <c r="UU417" s="6"/>
      <c r="UV417" s="6"/>
      <c r="UW417" s="6"/>
      <c r="UX417" s="6"/>
      <c r="UY417" s="6"/>
      <c r="UZ417" s="6"/>
      <c r="VA417" s="6"/>
      <c r="VB417" s="6"/>
      <c r="VC417" s="6"/>
      <c r="VD417" s="6"/>
      <c r="VE417" s="6"/>
      <c r="VF417" s="6"/>
      <c r="VG417" s="6"/>
      <c r="VH417" s="6"/>
      <c r="VI417" s="6"/>
      <c r="VJ417" s="6"/>
      <c r="VK417" s="6"/>
      <c r="VL417" s="6"/>
      <c r="VM417" s="6"/>
      <c r="VN417" s="6"/>
      <c r="VO417" s="6"/>
      <c r="VP417" s="6"/>
      <c r="VQ417" s="6"/>
      <c r="VR417" s="6"/>
      <c r="VS417" s="6"/>
      <c r="VT417" s="6"/>
      <c r="VU417" s="6"/>
      <c r="VV417" s="6"/>
      <c r="VW417" s="6"/>
      <c r="VX417" s="6"/>
      <c r="VY417" s="6"/>
      <c r="VZ417" s="6"/>
      <c r="WA417" s="6"/>
      <c r="WB417" s="6"/>
      <c r="WC417" s="6"/>
      <c r="WD417" s="6"/>
      <c r="WE417" s="6"/>
      <c r="WF417" s="6"/>
      <c r="WG417" s="6"/>
      <c r="WH417" s="6"/>
      <c r="WI417" s="6"/>
      <c r="WJ417" s="6"/>
      <c r="WK417" s="6"/>
      <c r="WL417" s="6"/>
      <c r="WM417" s="6"/>
      <c r="WN417" s="6"/>
      <c r="WO417" s="6"/>
      <c r="WP417" s="6"/>
      <c r="WQ417" s="6"/>
      <c r="WR417" s="6"/>
      <c r="WS417" s="6"/>
      <c r="WT417" s="6"/>
      <c r="WU417" s="6"/>
      <c r="WV417" s="6"/>
      <c r="WW417" s="6"/>
      <c r="WX417" s="6"/>
      <c r="WY417" s="6"/>
      <c r="WZ417" s="6"/>
      <c r="XA417" s="6"/>
      <c r="XB417" s="6"/>
      <c r="XC417" s="6"/>
      <c r="XD417" s="6"/>
      <c r="XE417" s="6"/>
      <c r="XF417" s="6"/>
      <c r="XG417" s="6"/>
      <c r="XH417" s="6"/>
      <c r="XI417" s="6"/>
      <c r="XJ417" s="6"/>
      <c r="XK417" s="6"/>
      <c r="XL417" s="6"/>
      <c r="XM417" s="6"/>
      <c r="XN417" s="6"/>
      <c r="XO417" s="6"/>
      <c r="XP417" s="6"/>
      <c r="XQ417" s="6"/>
      <c r="XR417" s="6"/>
      <c r="XS417" s="6"/>
      <c r="XT417" s="6"/>
      <c r="XU417" s="6"/>
      <c r="XV417" s="6"/>
      <c r="XW417" s="6"/>
      <c r="XX417" s="6"/>
      <c r="XY417" s="6"/>
      <c r="XZ417" s="6"/>
      <c r="YA417" s="6"/>
      <c r="YB417" s="6"/>
      <c r="YC417" s="6"/>
      <c r="YD417" s="6"/>
      <c r="YE417" s="6"/>
      <c r="YF417" s="6"/>
      <c r="YG417" s="6"/>
      <c r="YH417" s="6"/>
      <c r="YI417" s="6"/>
      <c r="YJ417" s="6"/>
      <c r="YK417" s="6"/>
      <c r="YL417" s="6"/>
      <c r="YM417" s="6"/>
      <c r="YN417" s="6"/>
      <c r="YO417" s="6"/>
      <c r="YP417" s="6"/>
      <c r="YQ417" s="6"/>
      <c r="YR417" s="6"/>
      <c r="YS417" s="6"/>
      <c r="YT417" s="6"/>
      <c r="YU417" s="6"/>
      <c r="YV417" s="6"/>
      <c r="YW417" s="6"/>
      <c r="YX417" s="6"/>
      <c r="YY417" s="6"/>
      <c r="YZ417" s="6"/>
      <c r="ZA417" s="6"/>
      <c r="ZB417" s="6"/>
      <c r="ZC417" s="6"/>
      <c r="ZD417" s="6"/>
      <c r="ZE417" s="6"/>
      <c r="ZF417" s="6"/>
      <c r="ZG417" s="6"/>
      <c r="ZH417" s="6"/>
      <c r="ZI417" s="6"/>
      <c r="ZJ417" s="6"/>
      <c r="ZK417" s="6"/>
      <c r="ZL417" s="6"/>
      <c r="ZM417" s="6"/>
      <c r="ZN417" s="6"/>
      <c r="ZO417" s="6"/>
      <c r="ZP417" s="6"/>
      <c r="ZQ417" s="6"/>
      <c r="ZR417" s="6"/>
      <c r="ZS417" s="6"/>
      <c r="ZT417" s="6"/>
      <c r="ZU417" s="6"/>
      <c r="ZV417" s="6"/>
      <c r="ZW417" s="6"/>
      <c r="ZX417" s="6"/>
      <c r="ZY417" s="6"/>
      <c r="ZZ417" s="6"/>
      <c r="AAA417" s="6"/>
      <c r="AAB417" s="6"/>
      <c r="AAC417" s="6"/>
      <c r="AAD417" s="6"/>
      <c r="AAE417" s="6"/>
      <c r="AAF417" s="6"/>
      <c r="AAG417" s="6"/>
      <c r="AAH417" s="6"/>
      <c r="AAI417" s="6"/>
      <c r="AAJ417" s="6"/>
      <c r="AAK417" s="6"/>
      <c r="AAL417" s="6"/>
      <c r="AAM417" s="6"/>
      <c r="AAN417" s="6"/>
      <c r="AAO417" s="6"/>
      <c r="AAP417" s="6"/>
      <c r="AAQ417" s="6"/>
      <c r="AAR417" s="6"/>
      <c r="AAS417" s="6"/>
      <c r="AAT417" s="6"/>
      <c r="AAU417" s="6"/>
      <c r="AAV417" s="6"/>
      <c r="AAW417" s="6"/>
      <c r="AAX417" s="6"/>
      <c r="AAY417" s="6"/>
      <c r="AAZ417" s="6"/>
      <c r="ABA417" s="6"/>
      <c r="ABB417" s="6"/>
      <c r="ABC417" s="6"/>
      <c r="ABD417" s="6"/>
      <c r="ABE417" s="6"/>
      <c r="ABF417" s="6"/>
      <c r="ABG417" s="6"/>
      <c r="ABH417" s="6"/>
      <c r="ABI417" s="6"/>
      <c r="ABJ417" s="6"/>
      <c r="ABK417" s="6"/>
      <c r="ABL417" s="6"/>
      <c r="ABM417" s="6"/>
      <c r="ABN417" s="6"/>
      <c r="ABO417" s="6"/>
      <c r="ABP417" s="6"/>
      <c r="ABQ417" s="6"/>
      <c r="ABR417" s="6"/>
      <c r="ABS417" s="6"/>
      <c r="ABT417" s="6"/>
      <c r="ABU417" s="6"/>
      <c r="ABV417" s="6"/>
      <c r="ABW417" s="6"/>
      <c r="ABX417" s="6"/>
      <c r="ABY417" s="6"/>
      <c r="ABZ417" s="6"/>
      <c r="ACA417" s="6"/>
      <c r="ACB417" s="6"/>
      <c r="ACC417" s="6"/>
      <c r="ACD417" s="6"/>
      <c r="ACE417" s="6"/>
      <c r="ACF417" s="6"/>
      <c r="ACG417" s="6"/>
      <c r="ACH417" s="6"/>
      <c r="ACI417" s="6"/>
      <c r="ACJ417" s="6"/>
      <c r="ACK417" s="6"/>
      <c r="ACL417" s="6"/>
      <c r="ACM417" s="6"/>
      <c r="ACN417" s="6"/>
      <c r="ACO417" s="6"/>
      <c r="ACP417" s="6"/>
      <c r="ACQ417" s="6"/>
      <c r="ACR417" s="6"/>
      <c r="ACS417" s="6"/>
      <c r="ACT417" s="6"/>
      <c r="ACU417" s="6"/>
      <c r="ACV417" s="6"/>
      <c r="ACW417" s="6"/>
      <c r="ACX417" s="6"/>
      <c r="ACY417" s="6"/>
      <c r="ACZ417" s="6"/>
      <c r="ADA417" s="6"/>
      <c r="ADB417" s="6"/>
      <c r="ADC417" s="6"/>
      <c r="ADD417" s="6"/>
      <c r="ADE417" s="6"/>
      <c r="ADF417" s="6"/>
      <c r="ADG417" s="6"/>
      <c r="ADH417" s="6"/>
      <c r="ADI417" s="6"/>
      <c r="ADJ417" s="6"/>
      <c r="ADK417" s="6"/>
      <c r="ADL417" s="6"/>
      <c r="ADM417" s="6"/>
      <c r="ADN417" s="6"/>
      <c r="ADO417" s="6"/>
      <c r="ADP417" s="6"/>
      <c r="ADQ417" s="6"/>
      <c r="ADR417" s="6"/>
      <c r="ADS417" s="6"/>
      <c r="ADT417" s="6"/>
      <c r="ADU417" s="6"/>
      <c r="ADV417" s="6"/>
      <c r="ADW417" s="6"/>
      <c r="ADX417" s="6"/>
      <c r="ADY417" s="6"/>
      <c r="ADZ417" s="6"/>
      <c r="AEA417" s="6"/>
      <c r="AEB417" s="6"/>
      <c r="AEC417" s="6"/>
      <c r="AED417" s="6"/>
      <c r="AEE417" s="6"/>
      <c r="AEF417" s="6"/>
      <c r="AEG417" s="6"/>
      <c r="AEH417" s="6"/>
      <c r="AEI417" s="6"/>
      <c r="AEJ417" s="6"/>
      <c r="AEK417" s="6"/>
      <c r="AEL417" s="6"/>
      <c r="AEM417" s="6"/>
      <c r="AEN417" s="6"/>
      <c r="AEO417" s="6"/>
      <c r="AEP417" s="6"/>
      <c r="AEQ417" s="6"/>
      <c r="AER417" s="6"/>
      <c r="AES417" s="6"/>
      <c r="AET417" s="6"/>
      <c r="AEU417" s="6"/>
      <c r="AEV417" s="6"/>
      <c r="AEW417" s="6"/>
      <c r="AEX417" s="6"/>
      <c r="AEY417" s="6"/>
      <c r="AEZ417" s="6"/>
      <c r="AFA417" s="6"/>
      <c r="AFB417" s="6"/>
      <c r="AFC417" s="6"/>
      <c r="AFD417" s="6"/>
      <c r="AFE417" s="6"/>
      <c r="AFF417" s="6"/>
      <c r="AFG417" s="6"/>
      <c r="AFH417" s="6"/>
      <c r="AFI417" s="6"/>
      <c r="AFJ417" s="6"/>
      <c r="AFK417" s="6"/>
      <c r="AFL417" s="6"/>
      <c r="AFM417" s="6"/>
      <c r="AFN417" s="6"/>
      <c r="AFO417" s="6"/>
      <c r="AFP417" s="6"/>
      <c r="AFQ417" s="6"/>
      <c r="AFR417" s="6"/>
      <c r="AFS417" s="6"/>
      <c r="AFT417" s="6"/>
      <c r="AFU417" s="6"/>
      <c r="AFV417" s="6"/>
      <c r="AFW417" s="6"/>
      <c r="AFX417" s="6"/>
      <c r="AFY417" s="6"/>
      <c r="AFZ417" s="6"/>
      <c r="AGA417" s="6"/>
      <c r="AGB417" s="6"/>
      <c r="AGC417" s="6"/>
      <c r="AGD417" s="6"/>
      <c r="AGE417" s="6"/>
      <c r="AGF417" s="6"/>
      <c r="AGG417" s="6"/>
      <c r="AGH417" s="6"/>
      <c r="AGI417" s="6"/>
      <c r="AGJ417" s="6"/>
      <c r="AGK417" s="6"/>
      <c r="AGL417" s="6"/>
      <c r="AGM417" s="6"/>
      <c r="AGN417" s="6"/>
      <c r="AGO417" s="6"/>
      <c r="AGP417" s="6"/>
      <c r="AGQ417" s="6"/>
      <c r="AGR417" s="6"/>
      <c r="AGS417" s="6"/>
      <c r="AGT417" s="6"/>
      <c r="AGU417" s="6"/>
      <c r="AGV417" s="6"/>
      <c r="AGW417" s="6"/>
      <c r="AGX417" s="6"/>
      <c r="AGY417" s="6"/>
      <c r="AGZ417" s="6"/>
      <c r="AHA417" s="6"/>
      <c r="AHB417" s="6"/>
      <c r="AHC417" s="6"/>
      <c r="AHD417" s="6"/>
      <c r="AHE417" s="6"/>
      <c r="AHF417" s="6"/>
      <c r="AHG417" s="6"/>
      <c r="AHH417" s="6"/>
      <c r="AHI417" s="6"/>
      <c r="AHJ417" s="6"/>
      <c r="AHK417" s="6"/>
      <c r="AHL417" s="6"/>
      <c r="AHM417" s="6"/>
      <c r="AHN417" s="6"/>
      <c r="AHO417" s="6"/>
      <c r="AHP417" s="6"/>
      <c r="AHQ417" s="6"/>
      <c r="AHR417" s="6"/>
      <c r="AHS417" s="6"/>
      <c r="AHT417" s="6"/>
      <c r="AHU417" s="6"/>
      <c r="AHV417" s="6"/>
      <c r="AHW417" s="6"/>
      <c r="AHX417" s="6"/>
      <c r="AHY417" s="6"/>
      <c r="AHZ417" s="6"/>
      <c r="AIA417" s="6"/>
      <c r="AIB417" s="6"/>
      <c r="AIC417" s="6"/>
      <c r="AID417" s="6"/>
      <c r="AIE417" s="6"/>
      <c r="AIF417" s="6"/>
      <c r="AIG417" s="6"/>
      <c r="AIH417" s="6"/>
      <c r="AII417" s="6"/>
      <c r="AIJ417" s="6"/>
      <c r="AIK417" s="6"/>
      <c r="AIL417" s="6"/>
      <c r="AIM417" s="6"/>
      <c r="AIN417" s="6"/>
      <c r="AIO417" s="6"/>
      <c r="AIP417" s="6"/>
      <c r="AIQ417" s="6"/>
      <c r="AIR417" s="6"/>
      <c r="AIS417" s="6"/>
      <c r="AIT417" s="6"/>
      <c r="AIU417" s="6"/>
      <c r="AIV417" s="6"/>
      <c r="AIW417" s="6"/>
      <c r="AIX417" s="6"/>
      <c r="AIY417" s="6"/>
      <c r="AIZ417" s="6"/>
      <c r="AJA417" s="6"/>
      <c r="AJB417" s="6"/>
      <c r="AJC417" s="6"/>
      <c r="AJD417" s="6"/>
      <c r="AJE417" s="6"/>
      <c r="AJF417" s="6"/>
      <c r="AJG417" s="6"/>
      <c r="AJH417" s="6"/>
      <c r="AJI417" s="6"/>
      <c r="AJJ417" s="6"/>
      <c r="AJK417" s="6"/>
      <c r="AJL417" s="6"/>
      <c r="AJM417" s="6"/>
      <c r="AJN417" s="6"/>
      <c r="AJO417" s="6"/>
      <c r="AJP417" s="6"/>
      <c r="AJQ417" s="6"/>
      <c r="AJR417" s="6"/>
      <c r="AJS417" s="6"/>
      <c r="AJT417" s="6"/>
      <c r="AJU417" s="6"/>
      <c r="AJV417" s="6"/>
      <c r="AJW417" s="6"/>
      <c r="AJX417" s="6"/>
      <c r="AJY417" s="6"/>
      <c r="AJZ417" s="6"/>
      <c r="AKA417" s="6"/>
      <c r="AKB417" s="6"/>
      <c r="AKC417" s="6"/>
      <c r="AKD417" s="6"/>
      <c r="AKE417" s="6"/>
      <c r="AKF417" s="6"/>
      <c r="AKG417" s="6"/>
      <c r="AKH417" s="6"/>
      <c r="AKI417" s="6"/>
      <c r="AKJ417" s="6"/>
      <c r="AKK417" s="6"/>
      <c r="AKL417" s="6"/>
      <c r="AKM417" s="6"/>
      <c r="AKN417" s="6"/>
      <c r="AKO417" s="6"/>
      <c r="AKP417" s="6"/>
      <c r="AKQ417" s="6"/>
      <c r="AKR417" s="6"/>
      <c r="AKS417" s="6"/>
      <c r="AKT417" s="6"/>
      <c r="AKU417" s="6"/>
      <c r="AKV417" s="6"/>
      <c r="AKW417" s="6"/>
      <c r="AKX417" s="6"/>
      <c r="AKY417" s="6"/>
      <c r="AKZ417" s="6"/>
      <c r="ALA417" s="6"/>
      <c r="ALB417" s="6"/>
      <c r="ALC417" s="6"/>
      <c r="ALD417" s="6"/>
      <c r="ALE417" s="6"/>
      <c r="ALF417" s="6"/>
      <c r="ALG417" s="6"/>
      <c r="ALH417" s="6"/>
      <c r="ALI417" s="6"/>
      <c r="ALJ417" s="6"/>
      <c r="ALK417" s="6"/>
      <c r="ALL417" s="6"/>
      <c r="ALM417" s="6"/>
      <c r="ALN417" s="6"/>
      <c r="ALO417" s="6"/>
      <c r="ALP417" s="6"/>
      <c r="ALQ417" s="6"/>
      <c r="ALR417" s="6"/>
      <c r="ALS417" s="6"/>
      <c r="ALT417" s="6"/>
      <c r="ALU417" s="6"/>
      <c r="ALV417" s="6"/>
      <c r="ALW417" s="6"/>
      <c r="ALX417" s="6"/>
      <c r="ALY417" s="6"/>
      <c r="ALZ417" s="6"/>
      <c r="AMA417" s="6"/>
      <c r="AMB417" s="6"/>
      <c r="AMC417" s="6"/>
      <c r="AMD417" s="6"/>
      <c r="AME417" s="6"/>
      <c r="AMF417" s="6"/>
      <c r="AMG417" s="6"/>
      <c r="AMH417" s="6"/>
      <c r="AMI417" s="6"/>
      <c r="AMJ417" s="6"/>
      <c r="AMK417" s="6"/>
      <c r="AML417" s="6"/>
      <c r="AMM417" s="6"/>
      <c r="AMN417" s="6"/>
      <c r="AMO417" s="6"/>
      <c r="AMP417" s="6"/>
    </row>
    <row r="418" spans="1:1030" x14ac:dyDescent="0.2">
      <c r="A418" s="3" t="str">
        <f t="shared" ref="A418" si="3775">CONCATENATE(B418,"_",C418)</f>
        <v>calcr_human_6NIY</v>
      </c>
      <c r="B418" s="2" t="s">
        <v>400</v>
      </c>
      <c r="C418" s="3" t="s">
        <v>1547</v>
      </c>
      <c r="D418" s="3" t="str">
        <f>IFERROR(MID(VLOOKUP($B418,Seqs!$A:$B,2,0),E418,1),"")</f>
        <v>T</v>
      </c>
      <c r="E418" s="3">
        <v>138</v>
      </c>
      <c r="F418" s="3" t="str">
        <f>IFERROR(MID(VLOOKUP($B418,Seqs!$A:$B,2,0),G418,1),"")</f>
        <v>F</v>
      </c>
      <c r="G418" s="3">
        <v>173</v>
      </c>
      <c r="H418" s="3" t="str">
        <f>IFERROR(MID(VLOOKUP($B418,Seqs!$A:$B,2,0),I418,1),"")</f>
        <v>R</v>
      </c>
      <c r="I418" s="23">
        <v>174</v>
      </c>
      <c r="J418" s="3" t="str">
        <f>IFERROR(MID(VLOOKUP($B418,Seqs!$A:$B,2,0),K418,1),"")</f>
        <v>G</v>
      </c>
      <c r="K418" s="23">
        <v>177</v>
      </c>
      <c r="L418" s="3" t="str">
        <f>IFERROR(MID(VLOOKUP($B418,Seqs!$A:$B,2,0),M418,1),"")</f>
        <v>C</v>
      </c>
      <c r="M418" s="3">
        <v>178</v>
      </c>
      <c r="N418" s="3" t="str">
        <f>IFERROR(MID(VLOOKUP($B418,Seqs!$A:$B,2,0),O418,1),"")</f>
        <v>V</v>
      </c>
      <c r="O418" s="3">
        <v>205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V</v>
      </c>
      <c r="U418" s="3">
        <v>217</v>
      </c>
      <c r="V418" s="3" t="str">
        <f>IFERROR(MID(VLOOKUP($B418,Seqs!$A:$B,2,0),W418,1),"")</f>
        <v>V</v>
      </c>
      <c r="W418" s="3">
        <v>250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R</v>
      </c>
      <c r="AC418" s="3">
        <v>258</v>
      </c>
      <c r="AD418" s="3" t="str">
        <f>IFERROR(MID(VLOOKUP($B418,Seqs!$A:$B,2,0),AE418,1),"")</f>
        <v>F</v>
      </c>
      <c r="AE418" s="3">
        <v>285</v>
      </c>
      <c r="AF418" s="3" t="str">
        <f>IFERROR(MID(VLOOKUP($B418,Seqs!$A:$B,2,0),AG418,1),"")</f>
        <v>C</v>
      </c>
      <c r="AG418" s="3">
        <v>289</v>
      </c>
      <c r="AH418" s="3" t="str">
        <f>IFERROR(MID(VLOOKUP($B418,Seqs!$A:$B,2,0),AI418,1),"")</f>
        <v>L</v>
      </c>
      <c r="AI418" s="3">
        <v>291</v>
      </c>
      <c r="AJ418" s="3" t="str">
        <f>IFERROR(MID(VLOOKUP($B418,Seqs!$A:$B,2,0),AK418,1),"")</f>
        <v>L</v>
      </c>
      <c r="AK418" s="3">
        <v>298</v>
      </c>
      <c r="AL418" s="3" t="str">
        <f>IFERROR(MID(VLOOKUP($B418,Seqs!$A:$B,2,0),AM418,1),"")</f>
        <v>T</v>
      </c>
      <c r="AM418" s="3">
        <v>330</v>
      </c>
      <c r="AN418" s="3" t="str">
        <f>IFERROR(MID(VLOOKUP($B418,Seqs!$A:$B,2,0),AO418,1),"")</f>
        <v>H</v>
      </c>
      <c r="AO418" s="3">
        <v>336</v>
      </c>
      <c r="AP418" s="3" t="str">
        <f>IFERROR(MID(VLOOKUP($B418,Seqs!$A:$B,2,0),AQ418,1),"")</f>
        <v>F</v>
      </c>
      <c r="AQ418" s="3">
        <v>359</v>
      </c>
      <c r="AR418" s="3" t="str">
        <f>IFERROR(MID(VLOOKUP($B418,Seqs!$A:$B,2,0),AS418,1),"")</f>
        <v>N</v>
      </c>
      <c r="AS418" s="3">
        <v>365</v>
      </c>
      <c r="AT418" s="3" t="str">
        <f>IFERROR(MID(VLOOKUP($B418,Seqs!$A:$B,2,0),AU418,1),"")</f>
        <v>C</v>
      </c>
      <c r="AU418" s="3">
        <v>394</v>
      </c>
      <c r="AV418" s="3" t="str">
        <f>IFERROR(MID(VLOOKUP($B418,Seqs!$A:$B,2,0),AW418,1),"")</f>
        <v>N</v>
      </c>
      <c r="AW418" s="3">
        <v>395</v>
      </c>
      <c r="AX418" s="3" t="str">
        <f>IFERROR(MID(VLOOKUP($B418,Seqs!$A:$B,2,0),AY418,1),"")</f>
        <v>Q</v>
      </c>
      <c r="AY418" s="3">
        <v>412</v>
      </c>
      <c r="AZ418" s="77" t="str">
        <f>VLOOKUP(B418,Classification!A:D,2,0)</f>
        <v>B1</v>
      </c>
      <c r="BA418" s="94" t="str">
        <f>VLOOKUP(B418,Classification!A:D,4,0)</f>
        <v>Calcitonin</v>
      </c>
      <c r="BB418" s="27" t="b">
        <f t="shared" ref="BB418" si="3776">AND(E418&lt;G418,OR(G418&lt;I418,I418="-"),OR(I418&lt;K418,I418="-"),OR(K418&lt;M418,K418="-"),M418&lt;O418,OR(O418&lt;Q418,Q418="-"),OR(Q418&lt;S418,Q418="-"),OR(S418&lt;U418,S418="-"),U418&lt;W418,OR(W418&lt;Y418,Y418="-"),OR(Y418&lt;AA418,Y418="-"),OR(AA418&lt;AC418,AA418="-"),AC418&lt;AE418,OR(AE418&lt;AG418,AG418="-"),OR(AG418&lt;AI418,AG418="-"),OR(AI418&lt;AK418,AI418="-"),AK418&lt;AM418,AM418&lt;AO418,AO418&lt;AQ418,AQ418&lt;AS418,AS418&lt;AU418,OR(AU418&lt;AW418,AW418="-"),OR(AW418&lt;AY418,AW418="-"))</f>
        <v>1</v>
      </c>
      <c r="BC418" s="23">
        <f t="shared" ref="BC418" si="3777">_xlfn.AGGREGATE(9,6,CH418:CS418)-_xlfn.AGGREGATE(9,6,BV418:CG418)+12</f>
        <v>240</v>
      </c>
      <c r="BD418" s="4" t="s">
        <v>1371</v>
      </c>
      <c r="BE418" s="3" t="s">
        <v>1287</v>
      </c>
      <c r="BF418" s="118">
        <v>3.34</v>
      </c>
      <c r="BG418" s="49" t="s">
        <v>1418</v>
      </c>
      <c r="BH418" s="49" t="s">
        <v>1418</v>
      </c>
      <c r="BI418" s="1"/>
      <c r="BJ418" s="70" t="s">
        <v>1283</v>
      </c>
      <c r="BK418" s="57" t="s">
        <v>1283</v>
      </c>
      <c r="BL418" s="57" t="s">
        <v>1283</v>
      </c>
      <c r="BM418" s="57" t="s">
        <v>1283</v>
      </c>
      <c r="BN418" s="57" t="s">
        <v>1283</v>
      </c>
      <c r="BO418" s="57" t="s">
        <v>1283</v>
      </c>
      <c r="BP418" s="57" t="s">
        <v>1283</v>
      </c>
      <c r="BQ418" s="57" t="s">
        <v>1283</v>
      </c>
      <c r="BR418" s="57" t="s">
        <v>1283</v>
      </c>
      <c r="BS418" s="57" t="s">
        <v>1283</v>
      </c>
      <c r="BT418" s="57" t="s">
        <v>1283</v>
      </c>
      <c r="BU418" s="57" t="s">
        <v>1283</v>
      </c>
      <c r="BV418" s="70">
        <f t="shared" ref="BV418" si="3778">E418</f>
        <v>138</v>
      </c>
      <c r="BW418" s="71">
        <f t="shared" ref="BW418" si="3779">I418</f>
        <v>174</v>
      </c>
      <c r="BX418" s="72">
        <f t="shared" ref="BX418" si="3780">M418</f>
        <v>178</v>
      </c>
      <c r="BY418" s="71" t="str">
        <f t="shared" ref="BY418" si="3781">Q418</f>
        <v>-</v>
      </c>
      <c r="BZ418" s="72">
        <f t="shared" ref="BZ418" si="3782">U418</f>
        <v>217</v>
      </c>
      <c r="CA418" s="71" t="str">
        <f t="shared" ref="CA418" si="3783">Y418</f>
        <v>-</v>
      </c>
      <c r="CB418" s="72">
        <f t="shared" ref="CB418" si="3784">AC418</f>
        <v>258</v>
      </c>
      <c r="CC418" s="71">
        <f t="shared" ref="CC418" si="3785">AG418</f>
        <v>289</v>
      </c>
      <c r="CD418" s="72">
        <f t="shared" ref="CD418" si="3786">AK418</f>
        <v>298</v>
      </c>
      <c r="CE418" s="71">
        <f t="shared" ref="CE418" si="3787">AO418</f>
        <v>336</v>
      </c>
      <c r="CF418" s="72">
        <f t="shared" ref="CF418" si="3788">AS418</f>
        <v>365</v>
      </c>
      <c r="CG418" s="71">
        <f t="shared" ref="CG418" si="3789">AW418</f>
        <v>395</v>
      </c>
      <c r="CH418" s="70">
        <f t="shared" ref="CH418" si="3790">G418</f>
        <v>173</v>
      </c>
      <c r="CI418" s="71">
        <f t="shared" ref="CI418" si="3791">K418</f>
        <v>177</v>
      </c>
      <c r="CJ418" s="72">
        <f t="shared" ref="CJ418" si="3792">O418</f>
        <v>205</v>
      </c>
      <c r="CK418" s="72" t="str">
        <f t="shared" ref="CK418" si="3793">S418</f>
        <v>-</v>
      </c>
      <c r="CL418" s="72">
        <f t="shared" ref="CL418" si="3794">W418</f>
        <v>250</v>
      </c>
      <c r="CM418" s="72" t="str">
        <f t="shared" ref="CM418" si="3795">AA418</f>
        <v>-</v>
      </c>
      <c r="CN418" s="72">
        <f t="shared" ref="CN418" si="3796">AE418</f>
        <v>285</v>
      </c>
      <c r="CO418" s="72">
        <f t="shared" ref="CO418" si="3797">AI418</f>
        <v>291</v>
      </c>
      <c r="CP418" s="72">
        <f t="shared" ref="CP418" si="3798">AM418</f>
        <v>330</v>
      </c>
      <c r="CQ418" s="72">
        <f t="shared" ref="CQ418" si="3799">AQ418</f>
        <v>359</v>
      </c>
      <c r="CR418" s="72">
        <f t="shared" ref="CR418" si="3800">AU418</f>
        <v>394</v>
      </c>
      <c r="CS418" s="72">
        <f t="shared" ref="CS418" si="3801">AY418</f>
        <v>412</v>
      </c>
      <c r="CT418" s="23">
        <f t="shared" ref="CT418" si="3802">M418-K418</f>
        <v>1</v>
      </c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r="TY418" s="6"/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  <c r="VA418" s="6"/>
      <c r="VB418" s="6"/>
      <c r="VC418" s="6"/>
      <c r="VD418" s="6"/>
      <c r="VE418" s="6"/>
      <c r="VF418" s="6"/>
      <c r="VG418" s="6"/>
      <c r="VH418" s="6"/>
      <c r="VI418" s="6"/>
      <c r="VJ418" s="6"/>
      <c r="VK418" s="6"/>
      <c r="VL418" s="6"/>
      <c r="VM418" s="6"/>
      <c r="VN418" s="6"/>
      <c r="VO418" s="6"/>
      <c r="VP418" s="6"/>
      <c r="VQ418" s="6"/>
      <c r="VR418" s="6"/>
      <c r="VS418" s="6"/>
      <c r="VT418" s="6"/>
      <c r="VU418" s="6"/>
      <c r="VV418" s="6"/>
      <c r="VW418" s="6"/>
      <c r="VX418" s="6"/>
      <c r="VY418" s="6"/>
      <c r="VZ418" s="6"/>
      <c r="WA418" s="6"/>
      <c r="WB418" s="6"/>
      <c r="WC418" s="6"/>
      <c r="WD418" s="6"/>
      <c r="WE418" s="6"/>
      <c r="WF418" s="6"/>
      <c r="WG418" s="6"/>
      <c r="WH418" s="6"/>
      <c r="WI418" s="6"/>
      <c r="WJ418" s="6"/>
      <c r="WK418" s="6"/>
      <c r="WL418" s="6"/>
      <c r="WM418" s="6"/>
      <c r="WN418" s="6"/>
      <c r="WO418" s="6"/>
      <c r="WP418" s="6"/>
      <c r="WQ418" s="6"/>
      <c r="WR418" s="6"/>
      <c r="WS418" s="6"/>
      <c r="WT418" s="6"/>
      <c r="WU418" s="6"/>
      <c r="WV418" s="6"/>
      <c r="WW418" s="6"/>
      <c r="WX418" s="6"/>
      <c r="WY418" s="6"/>
      <c r="WZ418" s="6"/>
      <c r="XA418" s="6"/>
      <c r="XB418" s="6"/>
      <c r="XC418" s="6"/>
      <c r="XD418" s="6"/>
      <c r="XE418" s="6"/>
      <c r="XF418" s="6"/>
      <c r="XG418" s="6"/>
      <c r="XH418" s="6"/>
      <c r="XI418" s="6"/>
      <c r="XJ418" s="6"/>
      <c r="XK418" s="6"/>
      <c r="XL418" s="6"/>
      <c r="XM418" s="6"/>
      <c r="XN418" s="6"/>
      <c r="XO418" s="6"/>
      <c r="XP418" s="6"/>
      <c r="XQ418" s="6"/>
      <c r="XR418" s="6"/>
      <c r="XS418" s="6"/>
      <c r="XT418" s="6"/>
      <c r="XU418" s="6"/>
      <c r="XV418" s="6"/>
      <c r="XW418" s="6"/>
      <c r="XX418" s="6"/>
      <c r="XY418" s="6"/>
      <c r="XZ418" s="6"/>
      <c r="YA418" s="6"/>
      <c r="YB418" s="6"/>
      <c r="YC418" s="6"/>
      <c r="YD418" s="6"/>
      <c r="YE418" s="6"/>
      <c r="YF418" s="6"/>
      <c r="YG418" s="6"/>
      <c r="YH418" s="6"/>
      <c r="YI418" s="6"/>
      <c r="YJ418" s="6"/>
      <c r="YK418" s="6"/>
      <c r="YL418" s="6"/>
      <c r="YM418" s="6"/>
      <c r="YN418" s="6"/>
      <c r="YO418" s="6"/>
      <c r="YP418" s="6"/>
      <c r="YQ418" s="6"/>
      <c r="YR418" s="6"/>
      <c r="YS418" s="6"/>
      <c r="YT418" s="6"/>
      <c r="YU418" s="6"/>
      <c r="YV418" s="6"/>
      <c r="YW418" s="6"/>
      <c r="YX418" s="6"/>
      <c r="YY418" s="6"/>
      <c r="YZ418" s="6"/>
      <c r="ZA418" s="6"/>
      <c r="ZB418" s="6"/>
      <c r="ZC418" s="6"/>
      <c r="ZD418" s="6"/>
      <c r="ZE418" s="6"/>
      <c r="ZF418" s="6"/>
      <c r="ZG418" s="6"/>
      <c r="ZH418" s="6"/>
      <c r="ZI418" s="6"/>
      <c r="ZJ418" s="6"/>
      <c r="ZK418" s="6"/>
      <c r="ZL418" s="6"/>
      <c r="ZM418" s="6"/>
      <c r="ZN418" s="6"/>
      <c r="ZO418" s="6"/>
      <c r="ZP418" s="6"/>
      <c r="ZQ418" s="6"/>
      <c r="ZR418" s="6"/>
      <c r="ZS418" s="6"/>
      <c r="ZT418" s="6"/>
      <c r="ZU418" s="6"/>
      <c r="ZV418" s="6"/>
      <c r="ZW418" s="6"/>
      <c r="ZX418" s="6"/>
      <c r="ZY418" s="6"/>
      <c r="ZZ418" s="6"/>
      <c r="AAA418" s="6"/>
      <c r="AAB418" s="6"/>
      <c r="AAC418" s="6"/>
      <c r="AAD418" s="6"/>
      <c r="AAE418" s="6"/>
      <c r="AAF418" s="6"/>
      <c r="AAG418" s="6"/>
      <c r="AAH418" s="6"/>
      <c r="AAI418" s="6"/>
      <c r="AAJ418" s="6"/>
      <c r="AAK418" s="6"/>
      <c r="AAL418" s="6"/>
      <c r="AAM418" s="6"/>
      <c r="AAN418" s="6"/>
      <c r="AAO418" s="6"/>
      <c r="AAP418" s="6"/>
      <c r="AAQ418" s="6"/>
      <c r="AAR418" s="6"/>
      <c r="AAS418" s="6"/>
      <c r="AAT418" s="6"/>
      <c r="AAU418" s="6"/>
      <c r="AAV418" s="6"/>
      <c r="AAW418" s="6"/>
      <c r="AAX418" s="6"/>
      <c r="AAY418" s="6"/>
      <c r="AAZ418" s="6"/>
      <c r="ABA418" s="6"/>
      <c r="ABB418" s="6"/>
      <c r="ABC418" s="6"/>
      <c r="ABD418" s="6"/>
      <c r="ABE418" s="6"/>
      <c r="ABF418" s="6"/>
      <c r="ABG418" s="6"/>
      <c r="ABH418" s="6"/>
      <c r="ABI418" s="6"/>
      <c r="ABJ418" s="6"/>
      <c r="ABK418" s="6"/>
      <c r="ABL418" s="6"/>
      <c r="ABM418" s="6"/>
      <c r="ABN418" s="6"/>
      <c r="ABO418" s="6"/>
      <c r="ABP418" s="6"/>
      <c r="ABQ418" s="6"/>
      <c r="ABR418" s="6"/>
      <c r="ABS418" s="6"/>
      <c r="ABT418" s="6"/>
      <c r="ABU418" s="6"/>
      <c r="ABV418" s="6"/>
      <c r="ABW418" s="6"/>
      <c r="ABX418" s="6"/>
      <c r="ABY418" s="6"/>
      <c r="ABZ418" s="6"/>
      <c r="ACA418" s="6"/>
      <c r="ACB418" s="6"/>
      <c r="ACC418" s="6"/>
      <c r="ACD418" s="6"/>
      <c r="ACE418" s="6"/>
      <c r="ACF418" s="6"/>
      <c r="ACG418" s="6"/>
      <c r="ACH418" s="6"/>
      <c r="ACI418" s="6"/>
      <c r="ACJ418" s="6"/>
      <c r="ACK418" s="6"/>
      <c r="ACL418" s="6"/>
      <c r="ACM418" s="6"/>
      <c r="ACN418" s="6"/>
      <c r="ACO418" s="6"/>
      <c r="ACP418" s="6"/>
      <c r="ACQ418" s="6"/>
      <c r="ACR418" s="6"/>
      <c r="ACS418" s="6"/>
      <c r="ACT418" s="6"/>
      <c r="ACU418" s="6"/>
      <c r="ACV418" s="6"/>
      <c r="ACW418" s="6"/>
      <c r="ACX418" s="6"/>
      <c r="ACY418" s="6"/>
      <c r="ACZ418" s="6"/>
      <c r="ADA418" s="6"/>
      <c r="ADB418" s="6"/>
      <c r="ADC418" s="6"/>
      <c r="ADD418" s="6"/>
      <c r="ADE418" s="6"/>
      <c r="ADF418" s="6"/>
      <c r="ADG418" s="6"/>
      <c r="ADH418" s="6"/>
      <c r="ADI418" s="6"/>
      <c r="ADJ418" s="6"/>
      <c r="ADK418" s="6"/>
      <c r="ADL418" s="6"/>
      <c r="ADM418" s="6"/>
      <c r="ADN418" s="6"/>
      <c r="ADO418" s="6"/>
      <c r="ADP418" s="6"/>
      <c r="ADQ418" s="6"/>
      <c r="ADR418" s="6"/>
      <c r="ADS418" s="6"/>
      <c r="ADT418" s="6"/>
      <c r="ADU418" s="6"/>
      <c r="ADV418" s="6"/>
      <c r="ADW418" s="6"/>
      <c r="ADX418" s="6"/>
      <c r="ADY418" s="6"/>
      <c r="ADZ418" s="6"/>
      <c r="AEA418" s="6"/>
      <c r="AEB418" s="6"/>
      <c r="AEC418" s="6"/>
      <c r="AED418" s="6"/>
      <c r="AEE418" s="6"/>
      <c r="AEF418" s="6"/>
      <c r="AEG418" s="6"/>
      <c r="AEH418" s="6"/>
      <c r="AEI418" s="6"/>
      <c r="AEJ418" s="6"/>
      <c r="AEK418" s="6"/>
      <c r="AEL418" s="6"/>
      <c r="AEM418" s="6"/>
      <c r="AEN418" s="6"/>
      <c r="AEO418" s="6"/>
      <c r="AEP418" s="6"/>
      <c r="AEQ418" s="6"/>
      <c r="AER418" s="6"/>
      <c r="AES418" s="6"/>
      <c r="AET418" s="6"/>
      <c r="AEU418" s="6"/>
      <c r="AEV418" s="6"/>
      <c r="AEW418" s="6"/>
      <c r="AEX418" s="6"/>
      <c r="AEY418" s="6"/>
      <c r="AEZ418" s="6"/>
      <c r="AFA418" s="6"/>
      <c r="AFB418" s="6"/>
      <c r="AFC418" s="6"/>
      <c r="AFD418" s="6"/>
      <c r="AFE418" s="6"/>
      <c r="AFF418" s="6"/>
      <c r="AFG418" s="6"/>
      <c r="AFH418" s="6"/>
      <c r="AFI418" s="6"/>
      <c r="AFJ418" s="6"/>
      <c r="AFK418" s="6"/>
      <c r="AFL418" s="6"/>
      <c r="AFM418" s="6"/>
      <c r="AFN418" s="6"/>
      <c r="AFO418" s="6"/>
      <c r="AFP418" s="6"/>
      <c r="AFQ418" s="6"/>
      <c r="AFR418" s="6"/>
      <c r="AFS418" s="6"/>
      <c r="AFT418" s="6"/>
      <c r="AFU418" s="6"/>
      <c r="AFV418" s="6"/>
      <c r="AFW418" s="6"/>
      <c r="AFX418" s="6"/>
      <c r="AFY418" s="6"/>
      <c r="AFZ418" s="6"/>
      <c r="AGA418" s="6"/>
      <c r="AGB418" s="6"/>
      <c r="AGC418" s="6"/>
      <c r="AGD418" s="6"/>
      <c r="AGE418" s="6"/>
      <c r="AGF418" s="6"/>
      <c r="AGG418" s="6"/>
      <c r="AGH418" s="6"/>
      <c r="AGI418" s="6"/>
      <c r="AGJ418" s="6"/>
      <c r="AGK418" s="6"/>
      <c r="AGL418" s="6"/>
      <c r="AGM418" s="6"/>
      <c r="AGN418" s="6"/>
      <c r="AGO418" s="6"/>
      <c r="AGP418" s="6"/>
      <c r="AGQ418" s="6"/>
      <c r="AGR418" s="6"/>
      <c r="AGS418" s="6"/>
      <c r="AGT418" s="6"/>
      <c r="AGU418" s="6"/>
      <c r="AGV418" s="6"/>
      <c r="AGW418" s="6"/>
      <c r="AGX418" s="6"/>
      <c r="AGY418" s="6"/>
      <c r="AGZ418" s="6"/>
      <c r="AHA418" s="6"/>
      <c r="AHB418" s="6"/>
      <c r="AHC418" s="6"/>
      <c r="AHD418" s="6"/>
      <c r="AHE418" s="6"/>
      <c r="AHF418" s="6"/>
      <c r="AHG418" s="6"/>
      <c r="AHH418" s="6"/>
      <c r="AHI418" s="6"/>
      <c r="AHJ418" s="6"/>
      <c r="AHK418" s="6"/>
      <c r="AHL418" s="6"/>
      <c r="AHM418" s="6"/>
      <c r="AHN418" s="6"/>
      <c r="AHO418" s="6"/>
      <c r="AHP418" s="6"/>
      <c r="AHQ418" s="6"/>
      <c r="AHR418" s="6"/>
      <c r="AHS418" s="6"/>
      <c r="AHT418" s="6"/>
      <c r="AHU418" s="6"/>
      <c r="AHV418" s="6"/>
      <c r="AHW418" s="6"/>
      <c r="AHX418" s="6"/>
      <c r="AHY418" s="6"/>
      <c r="AHZ418" s="6"/>
      <c r="AIA418" s="6"/>
      <c r="AIB418" s="6"/>
      <c r="AIC418" s="6"/>
      <c r="AID418" s="6"/>
      <c r="AIE418" s="6"/>
      <c r="AIF418" s="6"/>
      <c r="AIG418" s="6"/>
      <c r="AIH418" s="6"/>
      <c r="AII418" s="6"/>
      <c r="AIJ418" s="6"/>
      <c r="AIK418" s="6"/>
      <c r="AIL418" s="6"/>
      <c r="AIM418" s="6"/>
      <c r="AIN418" s="6"/>
      <c r="AIO418" s="6"/>
      <c r="AIP418" s="6"/>
      <c r="AIQ418" s="6"/>
      <c r="AIR418" s="6"/>
      <c r="AIS418" s="6"/>
      <c r="AIT418" s="6"/>
      <c r="AIU418" s="6"/>
      <c r="AIV418" s="6"/>
      <c r="AIW418" s="6"/>
      <c r="AIX418" s="6"/>
      <c r="AIY418" s="6"/>
      <c r="AIZ418" s="6"/>
      <c r="AJA418" s="6"/>
      <c r="AJB418" s="6"/>
      <c r="AJC418" s="6"/>
      <c r="AJD418" s="6"/>
      <c r="AJE418" s="6"/>
      <c r="AJF418" s="6"/>
      <c r="AJG418" s="6"/>
      <c r="AJH418" s="6"/>
      <c r="AJI418" s="6"/>
      <c r="AJJ418" s="6"/>
      <c r="AJK418" s="6"/>
      <c r="AJL418" s="6"/>
      <c r="AJM418" s="6"/>
      <c r="AJN418" s="6"/>
      <c r="AJO418" s="6"/>
      <c r="AJP418" s="6"/>
      <c r="AJQ418" s="6"/>
      <c r="AJR418" s="6"/>
      <c r="AJS418" s="6"/>
      <c r="AJT418" s="6"/>
      <c r="AJU418" s="6"/>
      <c r="AJV418" s="6"/>
      <c r="AJW418" s="6"/>
      <c r="AJX418" s="6"/>
      <c r="AJY418" s="6"/>
      <c r="AJZ418" s="6"/>
      <c r="AKA418" s="6"/>
      <c r="AKB418" s="6"/>
      <c r="AKC418" s="6"/>
      <c r="AKD418" s="6"/>
      <c r="AKE418" s="6"/>
      <c r="AKF418" s="6"/>
      <c r="AKG418" s="6"/>
      <c r="AKH418" s="6"/>
      <c r="AKI418" s="6"/>
      <c r="AKJ418" s="6"/>
      <c r="AKK418" s="6"/>
      <c r="AKL418" s="6"/>
      <c r="AKM418" s="6"/>
      <c r="AKN418" s="6"/>
      <c r="AKO418" s="6"/>
      <c r="AKP418" s="6"/>
      <c r="AKQ418" s="6"/>
      <c r="AKR418" s="6"/>
      <c r="AKS418" s="6"/>
      <c r="AKT418" s="6"/>
      <c r="AKU418" s="6"/>
      <c r="AKV418" s="6"/>
      <c r="AKW418" s="6"/>
      <c r="AKX418" s="6"/>
      <c r="AKY418" s="6"/>
      <c r="AKZ418" s="6"/>
      <c r="ALA418" s="6"/>
      <c r="ALB418" s="6"/>
      <c r="ALC418" s="6"/>
      <c r="ALD418" s="6"/>
      <c r="ALE418" s="6"/>
      <c r="ALF418" s="6"/>
      <c r="ALG418" s="6"/>
      <c r="ALH418" s="6"/>
      <c r="ALI418" s="6"/>
      <c r="ALJ418" s="6"/>
      <c r="ALK418" s="6"/>
      <c r="ALL418" s="6"/>
      <c r="ALM418" s="6"/>
      <c r="ALN418" s="6"/>
      <c r="ALO418" s="6"/>
      <c r="ALP418" s="6"/>
      <c r="ALQ418" s="6"/>
      <c r="ALR418" s="6"/>
      <c r="ALS418" s="6"/>
      <c r="ALT418" s="6"/>
      <c r="ALU418" s="6"/>
      <c r="ALV418" s="6"/>
      <c r="ALW418" s="6"/>
      <c r="ALX418" s="6"/>
      <c r="ALY418" s="6"/>
      <c r="ALZ418" s="6"/>
      <c r="AMA418" s="6"/>
      <c r="AMB418" s="6"/>
      <c r="AMC418" s="6"/>
      <c r="AMD418" s="6"/>
      <c r="AME418" s="6"/>
      <c r="AMF418" s="6"/>
      <c r="AMG418" s="6"/>
      <c r="AMH418" s="6"/>
      <c r="AMI418" s="6"/>
      <c r="AMJ418" s="6"/>
      <c r="AMK418" s="6"/>
      <c r="AML418" s="6"/>
      <c r="AMM418" s="6"/>
      <c r="AMN418" s="6"/>
      <c r="AMO418" s="6"/>
      <c r="AMP418" s="6"/>
    </row>
    <row r="419" spans="1:1030" x14ac:dyDescent="0.2">
      <c r="A419" s="3" t="str">
        <f t="shared" si="3718"/>
        <v>calrl_human__wt</v>
      </c>
      <c r="B419" s="2" t="s">
        <v>401</v>
      </c>
      <c r="C419" s="3" t="s">
        <v>100</v>
      </c>
      <c r="D419" s="3" t="str">
        <f>IFERROR(MID(VLOOKUP($B419,Seqs!$A:$B,2,0),E419,1),"")</f>
        <v>N</v>
      </c>
      <c r="E419" s="3">
        <v>130</v>
      </c>
      <c r="F419" s="3" t="str">
        <f>IFERROR(MID(VLOOKUP($B419,Seqs!$A:$B,2,0),G419,1),"")</f>
        <v>F</v>
      </c>
      <c r="G419" s="3">
        <v>166</v>
      </c>
      <c r="H419" s="3" t="str">
        <f>IFERROR(MID(VLOOKUP($B419,Seqs!$A:$B,2,0),I419,1),"")</f>
        <v>K</v>
      </c>
      <c r="I419" s="23">
        <v>167</v>
      </c>
      <c r="J419" s="3" t="str">
        <f>IFERROR(MID(VLOOKUP($B419,Seqs!$A:$B,2,0),K419,1),"")</f>
        <v>S</v>
      </c>
      <c r="K419" s="23">
        <v>170</v>
      </c>
      <c r="L419" s="3" t="str">
        <f>IFERROR(MID(VLOOKUP($B419,Seqs!$A:$B,2,0),M419,1),"")</f>
        <v>C</v>
      </c>
      <c r="M419" s="3">
        <v>171</v>
      </c>
      <c r="N419" s="3" t="str">
        <f>IFERROR(MID(VLOOKUP($B419,Seqs!$A:$B,2,0),O419,1),"")</f>
        <v>V</v>
      </c>
      <c r="O419" s="3">
        <v>198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V</v>
      </c>
      <c r="U419" s="3">
        <v>210</v>
      </c>
      <c r="V419" s="3" t="str">
        <f>IFERROR(MID(VLOOKUP($B419,Seqs!$A:$B,2,0),W419,1),"")</f>
        <v>V</v>
      </c>
      <c r="W419" s="3">
        <v>243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H</v>
      </c>
      <c r="AC419" s="3">
        <v>251</v>
      </c>
      <c r="AD419" s="3" t="str">
        <f>IFERROR(MID(VLOOKUP($B419,Seqs!$A:$B,2,0),AE419,1),"")</f>
        <v>Y</v>
      </c>
      <c r="AE419" s="3">
        <v>277</v>
      </c>
      <c r="AF419" s="3" t="str">
        <f>IFERROR(MID(VLOOKUP($B419,Seqs!$A:$B,2,0),AG419,1),"")</f>
        <v>C</v>
      </c>
      <c r="AG419" s="3">
        <v>282</v>
      </c>
      <c r="AH419" s="3" t="str">
        <f>IFERROR(MID(VLOOKUP($B419,Seqs!$A:$B,2,0),AI419,1),"")</f>
        <v>I</v>
      </c>
      <c r="AI419" s="3">
        <v>284</v>
      </c>
      <c r="AJ419" s="3" t="str">
        <f>IFERROR(MID(VLOOKUP($B419,Seqs!$A:$B,2,0),AK419,1),"")</f>
        <v>L</v>
      </c>
      <c r="AK419" s="3">
        <v>290</v>
      </c>
      <c r="AL419" s="3" t="str">
        <f>IFERROR(MID(VLOOKUP($B419,Seqs!$A:$B,2,0),AM419,1),"")</f>
        <v>K</v>
      </c>
      <c r="AM419" s="3">
        <v>321</v>
      </c>
      <c r="AN419" s="3" t="str">
        <f>IFERROR(MID(VLOOKUP($B419,Seqs!$A:$B,2,0),AO419,1),"")</f>
        <v>Y</v>
      </c>
      <c r="AO419" s="3">
        <v>331</v>
      </c>
      <c r="AP419" s="3" t="str">
        <f>IFERROR(MID(VLOOKUP($B419,Seqs!$A:$B,2,0),AQ419,1),"")</f>
        <v>W</v>
      </c>
      <c r="AQ419" s="3">
        <v>354</v>
      </c>
      <c r="AR419" s="3" t="str">
        <f>IFERROR(MID(VLOOKUP($B419,Seqs!$A:$B,2,0),AS419,1),"")</f>
        <v>K</v>
      </c>
      <c r="AS419" s="3">
        <v>359</v>
      </c>
      <c r="AT419" s="3" t="str">
        <f>IFERROR(MID(VLOOKUP($B419,Seqs!$A:$B,2,0),AU419,1),"")</f>
        <v>F</v>
      </c>
      <c r="AU419" s="3">
        <v>387</v>
      </c>
      <c r="AV419" s="3" t="str">
        <f>IFERROR(MID(VLOOKUP($B419,Seqs!$A:$B,2,0),AW419,1),"")</f>
        <v>N</v>
      </c>
      <c r="AW419" s="3">
        <v>388</v>
      </c>
      <c r="AX419" s="3" t="str">
        <f>IFERROR(MID(VLOOKUP($B419,Seqs!$A:$B,2,0),AY419,1),"")</f>
        <v>S</v>
      </c>
      <c r="AY419" s="3">
        <v>413</v>
      </c>
      <c r="AZ419" s="77" t="str">
        <f>VLOOKUP(B419,Classification!A:D,2,0)</f>
        <v>B1</v>
      </c>
      <c r="BA419" s="94" t="str">
        <f>VLOOKUP(B419,Classification!A:D,4,0)</f>
        <v>Calcitonin</v>
      </c>
      <c r="BB419" s="27" t="b">
        <f t="shared" ref="BB419" si="3803">AND(E419&lt;G419,OR(G419&lt;I419,I419="-"),OR(I419&lt;K419,I419="-"),OR(K419&lt;M419,K419="-"),M419&lt;O419,OR(O419&lt;Q419,Q419="-"),OR(Q419&lt;S419,Q419="-"),OR(S419&lt;U419,S419="-"),U419&lt;W419,OR(W419&lt;Y419,Y419="-"),OR(Y419&lt;AA419,Y419="-"),OR(AA419&lt;AC419,AA419="-"),AC419&lt;AE419,OR(AE419&lt;AG419,AG419="-"),OR(AG419&lt;AI419,AG419="-"),OR(AI419&lt;AK419,AI419="-"),AK419&lt;AM419,AM419&lt;AO419,AO419&lt;AQ419,AQ419&lt;AS419,AS419&lt;AU419,OR(AU419&lt;AW419,AW419="-"),OR(AW419&lt;AY419,AW419="-"))</f>
        <v>1</v>
      </c>
      <c r="BC419" s="23">
        <f t="shared" ref="BC419" si="3804">_xlfn.AGGREGATE(9,6,CH419:CS419)-_xlfn.AGGREGATE(9,6,BV419:CG419)+12</f>
        <v>246</v>
      </c>
      <c r="BD419" s="4" t="s">
        <v>23</v>
      </c>
      <c r="BE419" s="3" t="s">
        <v>23</v>
      </c>
      <c r="BF419" s="118" t="s">
        <v>23</v>
      </c>
      <c r="BG419" s="49" t="s">
        <v>1373</v>
      </c>
      <c r="BH419" s="49" t="s">
        <v>1373</v>
      </c>
      <c r="BI419" s="1"/>
      <c r="BJ419" s="70" t="s">
        <v>1283</v>
      </c>
      <c r="BK419" s="57" t="s">
        <v>1283</v>
      </c>
      <c r="BL419" s="57" t="s">
        <v>1283</v>
      </c>
      <c r="BM419" s="57" t="s">
        <v>1283</v>
      </c>
      <c r="BN419" s="57" t="s">
        <v>1283</v>
      </c>
      <c r="BO419" s="57" t="s">
        <v>1283</v>
      </c>
      <c r="BP419" s="57" t="s">
        <v>1283</v>
      </c>
      <c r="BQ419" s="57" t="s">
        <v>1283</v>
      </c>
      <c r="BR419" s="57" t="s">
        <v>1283</v>
      </c>
      <c r="BS419" s="57" t="s">
        <v>1283</v>
      </c>
      <c r="BT419" s="57" t="s">
        <v>1283</v>
      </c>
      <c r="BU419" s="57" t="s">
        <v>1283</v>
      </c>
      <c r="BV419" s="70">
        <f t="shared" ref="BV419" si="3805">E419</f>
        <v>130</v>
      </c>
      <c r="BW419" s="71">
        <f t="shared" ref="BW419" si="3806">I419</f>
        <v>167</v>
      </c>
      <c r="BX419" s="72">
        <f t="shared" ref="BX419" si="3807">M419</f>
        <v>171</v>
      </c>
      <c r="BY419" s="71" t="str">
        <f t="shared" ref="BY419" si="3808">Q419</f>
        <v>-</v>
      </c>
      <c r="BZ419" s="72">
        <f t="shared" ref="BZ419" si="3809">U419</f>
        <v>210</v>
      </c>
      <c r="CA419" s="71" t="str">
        <f t="shared" ref="CA419" si="3810">Y419</f>
        <v>-</v>
      </c>
      <c r="CB419" s="72">
        <f t="shared" ref="CB419" si="3811">AC419</f>
        <v>251</v>
      </c>
      <c r="CC419" s="71">
        <f t="shared" ref="CC419" si="3812">AG419</f>
        <v>282</v>
      </c>
      <c r="CD419" s="72">
        <f t="shared" ref="CD419" si="3813">AK419</f>
        <v>290</v>
      </c>
      <c r="CE419" s="71">
        <f t="shared" ref="CE419" si="3814">AO419</f>
        <v>331</v>
      </c>
      <c r="CF419" s="72">
        <f t="shared" ref="CF419" si="3815">AS419</f>
        <v>359</v>
      </c>
      <c r="CG419" s="71">
        <f t="shared" ref="CG419" si="3816">AW419</f>
        <v>388</v>
      </c>
      <c r="CH419" s="70">
        <f t="shared" ref="CH419" si="3817">G419</f>
        <v>166</v>
      </c>
      <c r="CI419" s="71">
        <f t="shared" ref="CI419" si="3818">K419</f>
        <v>170</v>
      </c>
      <c r="CJ419" s="72">
        <f t="shared" ref="CJ419" si="3819">O419</f>
        <v>198</v>
      </c>
      <c r="CK419" s="72" t="str">
        <f t="shared" ref="CK419" si="3820">S419</f>
        <v>-</v>
      </c>
      <c r="CL419" s="72">
        <f t="shared" ref="CL419" si="3821">W419</f>
        <v>243</v>
      </c>
      <c r="CM419" s="72" t="str">
        <f t="shared" ref="CM419" si="3822">AA419</f>
        <v>-</v>
      </c>
      <c r="CN419" s="72">
        <f t="shared" ref="CN419" si="3823">AE419</f>
        <v>277</v>
      </c>
      <c r="CO419" s="72">
        <f t="shared" ref="CO419" si="3824">AI419</f>
        <v>284</v>
      </c>
      <c r="CP419" s="72">
        <f t="shared" ref="CP419" si="3825">AM419</f>
        <v>321</v>
      </c>
      <c r="CQ419" s="72">
        <f t="shared" ref="CQ419" si="3826">AQ419</f>
        <v>354</v>
      </c>
      <c r="CR419" s="72">
        <f t="shared" ref="CR419" si="3827">AU419</f>
        <v>387</v>
      </c>
      <c r="CS419" s="72">
        <f t="shared" ref="CS419" si="3828">AY419</f>
        <v>413</v>
      </c>
      <c r="CT419" s="23">
        <f t="shared" ref="CT419" si="3829">M419-K419</f>
        <v>1</v>
      </c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  <c r="SG419" s="6"/>
      <c r="SH419" s="6"/>
      <c r="SI419" s="6"/>
      <c r="SJ419" s="6"/>
      <c r="SK419" s="6"/>
      <c r="SL419" s="6"/>
      <c r="SM419" s="6"/>
      <c r="SN419" s="6"/>
      <c r="SO419" s="6"/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r="UP419" s="6"/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r="WO419" s="6"/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  <c r="XP419" s="6"/>
      <c r="XQ419" s="6"/>
      <c r="XR419" s="6"/>
      <c r="XS419" s="6"/>
      <c r="XT419" s="6"/>
      <c r="XU419" s="6"/>
      <c r="XV419" s="6"/>
      <c r="XW419" s="6"/>
      <c r="XX419" s="6"/>
      <c r="XY419" s="6"/>
      <c r="XZ419" s="6"/>
      <c r="YA419" s="6"/>
      <c r="YB419" s="6"/>
      <c r="YC419" s="6"/>
      <c r="YD419" s="6"/>
      <c r="YE419" s="6"/>
      <c r="YF419" s="6"/>
      <c r="YG419" s="6"/>
      <c r="YH419" s="6"/>
      <c r="YI419" s="6"/>
      <c r="YJ419" s="6"/>
      <c r="YK419" s="6"/>
      <c r="YL419" s="6"/>
      <c r="YM419" s="6"/>
      <c r="YN419" s="6"/>
      <c r="YO419" s="6"/>
      <c r="YP419" s="6"/>
      <c r="YQ419" s="6"/>
      <c r="YR419" s="6"/>
      <c r="YS419" s="6"/>
      <c r="YT419" s="6"/>
      <c r="YU419" s="6"/>
      <c r="YV419" s="6"/>
      <c r="YW419" s="6"/>
      <c r="YX419" s="6"/>
      <c r="YY419" s="6"/>
      <c r="YZ419" s="6"/>
      <c r="ZA419" s="6"/>
      <c r="ZB419" s="6"/>
      <c r="ZC419" s="6"/>
      <c r="ZD419" s="6"/>
      <c r="ZE419" s="6"/>
      <c r="ZF419" s="6"/>
      <c r="ZG419" s="6"/>
      <c r="ZH419" s="6"/>
      <c r="ZI419" s="6"/>
      <c r="ZJ419" s="6"/>
      <c r="ZK419" s="6"/>
      <c r="ZL419" s="6"/>
      <c r="ZM419" s="6"/>
      <c r="ZN419" s="6"/>
      <c r="ZO419" s="6"/>
      <c r="ZP419" s="6"/>
      <c r="ZQ419" s="6"/>
      <c r="ZR419" s="6"/>
      <c r="ZS419" s="6"/>
      <c r="ZT419" s="6"/>
      <c r="ZU419" s="6"/>
      <c r="ZV419" s="6"/>
      <c r="ZW419" s="6"/>
      <c r="ZX419" s="6"/>
      <c r="ZY419" s="6"/>
      <c r="ZZ419" s="6"/>
      <c r="AAA419" s="6"/>
      <c r="AAB419" s="6"/>
      <c r="AAC419" s="6"/>
      <c r="AAD419" s="6"/>
      <c r="AAE419" s="6"/>
      <c r="AAF419" s="6"/>
      <c r="AAG419" s="6"/>
      <c r="AAH419" s="6"/>
      <c r="AAI419" s="6"/>
      <c r="AAJ419" s="6"/>
      <c r="AAK419" s="6"/>
      <c r="AAL419" s="6"/>
      <c r="AAM419" s="6"/>
      <c r="AAN419" s="6"/>
      <c r="AAO419" s="6"/>
      <c r="AAP419" s="6"/>
      <c r="AAQ419" s="6"/>
      <c r="AAR419" s="6"/>
      <c r="AAS419" s="6"/>
      <c r="AAT419" s="6"/>
      <c r="AAU419" s="6"/>
      <c r="AAV419" s="6"/>
      <c r="AAW419" s="6"/>
      <c r="AAX419" s="6"/>
      <c r="AAY419" s="6"/>
      <c r="AAZ419" s="6"/>
      <c r="ABA419" s="6"/>
      <c r="ABB419" s="6"/>
      <c r="ABC419" s="6"/>
      <c r="ABD419" s="6"/>
      <c r="ABE419" s="6"/>
      <c r="ABF419" s="6"/>
      <c r="ABG419" s="6"/>
      <c r="ABH419" s="6"/>
      <c r="ABI419" s="6"/>
      <c r="ABJ419" s="6"/>
      <c r="ABK419" s="6"/>
      <c r="ABL419" s="6"/>
      <c r="ABM419" s="6"/>
      <c r="ABN419" s="6"/>
      <c r="ABO419" s="6"/>
      <c r="ABP419" s="6"/>
      <c r="ABQ419" s="6"/>
      <c r="ABR419" s="6"/>
      <c r="ABS419" s="6"/>
      <c r="ABT419" s="6"/>
      <c r="ABU419" s="6"/>
      <c r="ABV419" s="6"/>
      <c r="ABW419" s="6"/>
      <c r="ABX419" s="6"/>
      <c r="ABY419" s="6"/>
      <c r="ABZ419" s="6"/>
      <c r="ACA419" s="6"/>
      <c r="ACB419" s="6"/>
      <c r="ACC419" s="6"/>
      <c r="ACD419" s="6"/>
      <c r="ACE419" s="6"/>
      <c r="ACF419" s="6"/>
      <c r="ACG419" s="6"/>
      <c r="ACH419" s="6"/>
      <c r="ACI419" s="6"/>
      <c r="ACJ419" s="6"/>
      <c r="ACK419" s="6"/>
      <c r="ACL419" s="6"/>
      <c r="ACM419" s="6"/>
      <c r="ACN419" s="6"/>
      <c r="ACO419" s="6"/>
      <c r="ACP419" s="6"/>
      <c r="ACQ419" s="6"/>
      <c r="ACR419" s="6"/>
      <c r="ACS419" s="6"/>
      <c r="ACT419" s="6"/>
      <c r="ACU419" s="6"/>
      <c r="ACV419" s="6"/>
      <c r="ACW419" s="6"/>
      <c r="ACX419" s="6"/>
      <c r="ACY419" s="6"/>
      <c r="ACZ419" s="6"/>
      <c r="ADA419" s="6"/>
      <c r="ADB419" s="6"/>
      <c r="ADC419" s="6"/>
      <c r="ADD419" s="6"/>
      <c r="ADE419" s="6"/>
      <c r="ADF419" s="6"/>
      <c r="ADG419" s="6"/>
      <c r="ADH419" s="6"/>
      <c r="ADI419" s="6"/>
      <c r="ADJ419" s="6"/>
      <c r="ADK419" s="6"/>
      <c r="ADL419" s="6"/>
      <c r="ADM419" s="6"/>
      <c r="ADN419" s="6"/>
      <c r="ADO419" s="6"/>
      <c r="ADP419" s="6"/>
      <c r="ADQ419" s="6"/>
      <c r="ADR419" s="6"/>
      <c r="ADS419" s="6"/>
      <c r="ADT419" s="6"/>
      <c r="ADU419" s="6"/>
      <c r="ADV419" s="6"/>
      <c r="ADW419" s="6"/>
      <c r="ADX419" s="6"/>
      <c r="ADY419" s="6"/>
      <c r="ADZ419" s="6"/>
      <c r="AEA419" s="6"/>
      <c r="AEB419" s="6"/>
      <c r="AEC419" s="6"/>
      <c r="AED419" s="6"/>
      <c r="AEE419" s="6"/>
      <c r="AEF419" s="6"/>
      <c r="AEG419" s="6"/>
      <c r="AEH419" s="6"/>
      <c r="AEI419" s="6"/>
      <c r="AEJ419" s="6"/>
      <c r="AEK419" s="6"/>
      <c r="AEL419" s="6"/>
      <c r="AEM419" s="6"/>
      <c r="AEN419" s="6"/>
      <c r="AEO419" s="6"/>
      <c r="AEP419" s="6"/>
      <c r="AEQ419" s="6"/>
      <c r="AER419" s="6"/>
      <c r="AES419" s="6"/>
      <c r="AET419" s="6"/>
      <c r="AEU419" s="6"/>
      <c r="AEV419" s="6"/>
      <c r="AEW419" s="6"/>
      <c r="AEX419" s="6"/>
      <c r="AEY419" s="6"/>
      <c r="AEZ419" s="6"/>
      <c r="AFA419" s="6"/>
      <c r="AFB419" s="6"/>
      <c r="AFC419" s="6"/>
      <c r="AFD419" s="6"/>
      <c r="AFE419" s="6"/>
      <c r="AFF419" s="6"/>
      <c r="AFG419" s="6"/>
      <c r="AFH419" s="6"/>
      <c r="AFI419" s="6"/>
      <c r="AFJ419" s="6"/>
      <c r="AFK419" s="6"/>
      <c r="AFL419" s="6"/>
      <c r="AFM419" s="6"/>
      <c r="AFN419" s="6"/>
      <c r="AFO419" s="6"/>
      <c r="AFP419" s="6"/>
      <c r="AFQ419" s="6"/>
      <c r="AFR419" s="6"/>
      <c r="AFS419" s="6"/>
      <c r="AFT419" s="6"/>
      <c r="AFU419" s="6"/>
      <c r="AFV419" s="6"/>
      <c r="AFW419" s="6"/>
      <c r="AFX419" s="6"/>
      <c r="AFY419" s="6"/>
      <c r="AFZ419" s="6"/>
      <c r="AGA419" s="6"/>
      <c r="AGB419" s="6"/>
      <c r="AGC419" s="6"/>
      <c r="AGD419" s="6"/>
      <c r="AGE419" s="6"/>
      <c r="AGF419" s="6"/>
      <c r="AGG419" s="6"/>
      <c r="AGH419" s="6"/>
      <c r="AGI419" s="6"/>
      <c r="AGJ419" s="6"/>
      <c r="AGK419" s="6"/>
      <c r="AGL419" s="6"/>
      <c r="AGM419" s="6"/>
      <c r="AGN419" s="6"/>
      <c r="AGO419" s="6"/>
      <c r="AGP419" s="6"/>
      <c r="AGQ419" s="6"/>
      <c r="AGR419" s="6"/>
      <c r="AGS419" s="6"/>
      <c r="AGT419" s="6"/>
      <c r="AGU419" s="6"/>
      <c r="AGV419" s="6"/>
      <c r="AGW419" s="6"/>
      <c r="AGX419" s="6"/>
      <c r="AGY419" s="6"/>
      <c r="AGZ419" s="6"/>
      <c r="AHA419" s="6"/>
      <c r="AHB419" s="6"/>
      <c r="AHC419" s="6"/>
      <c r="AHD419" s="6"/>
      <c r="AHE419" s="6"/>
      <c r="AHF419" s="6"/>
      <c r="AHG419" s="6"/>
      <c r="AHH419" s="6"/>
      <c r="AHI419" s="6"/>
      <c r="AHJ419" s="6"/>
      <c r="AHK419" s="6"/>
      <c r="AHL419" s="6"/>
      <c r="AHM419" s="6"/>
      <c r="AHN419" s="6"/>
      <c r="AHO419" s="6"/>
      <c r="AHP419" s="6"/>
      <c r="AHQ419" s="6"/>
      <c r="AHR419" s="6"/>
      <c r="AHS419" s="6"/>
      <c r="AHT419" s="6"/>
      <c r="AHU419" s="6"/>
      <c r="AHV419" s="6"/>
      <c r="AHW419" s="6"/>
      <c r="AHX419" s="6"/>
      <c r="AHY419" s="6"/>
      <c r="AHZ419" s="6"/>
      <c r="AIA419" s="6"/>
      <c r="AIB419" s="6"/>
      <c r="AIC419" s="6"/>
      <c r="AID419" s="6"/>
      <c r="AIE419" s="6"/>
      <c r="AIF419" s="6"/>
      <c r="AIG419" s="6"/>
      <c r="AIH419" s="6"/>
      <c r="AII419" s="6"/>
      <c r="AIJ419" s="6"/>
      <c r="AIK419" s="6"/>
      <c r="AIL419" s="6"/>
      <c r="AIM419" s="6"/>
      <c r="AIN419" s="6"/>
      <c r="AIO419" s="6"/>
      <c r="AIP419" s="6"/>
      <c r="AIQ419" s="6"/>
      <c r="AIR419" s="6"/>
      <c r="AIS419" s="6"/>
      <c r="AIT419" s="6"/>
      <c r="AIU419" s="6"/>
      <c r="AIV419" s="6"/>
      <c r="AIW419" s="6"/>
      <c r="AIX419" s="6"/>
      <c r="AIY419" s="6"/>
      <c r="AIZ419" s="6"/>
      <c r="AJA419" s="6"/>
      <c r="AJB419" s="6"/>
      <c r="AJC419" s="6"/>
      <c r="AJD419" s="6"/>
      <c r="AJE419" s="6"/>
      <c r="AJF419" s="6"/>
      <c r="AJG419" s="6"/>
      <c r="AJH419" s="6"/>
      <c r="AJI419" s="6"/>
      <c r="AJJ419" s="6"/>
      <c r="AJK419" s="6"/>
      <c r="AJL419" s="6"/>
      <c r="AJM419" s="6"/>
      <c r="AJN419" s="6"/>
      <c r="AJO419" s="6"/>
      <c r="AJP419" s="6"/>
      <c r="AJQ419" s="6"/>
      <c r="AJR419" s="6"/>
      <c r="AJS419" s="6"/>
      <c r="AJT419" s="6"/>
      <c r="AJU419" s="6"/>
      <c r="AJV419" s="6"/>
      <c r="AJW419" s="6"/>
      <c r="AJX419" s="6"/>
      <c r="AJY419" s="6"/>
      <c r="AJZ419" s="6"/>
      <c r="AKA419" s="6"/>
      <c r="AKB419" s="6"/>
      <c r="AKC419" s="6"/>
      <c r="AKD419" s="6"/>
      <c r="AKE419" s="6"/>
      <c r="AKF419" s="6"/>
      <c r="AKG419" s="6"/>
      <c r="AKH419" s="6"/>
      <c r="AKI419" s="6"/>
      <c r="AKJ419" s="6"/>
      <c r="AKK419" s="6"/>
      <c r="AKL419" s="6"/>
      <c r="AKM419" s="6"/>
      <c r="AKN419" s="6"/>
      <c r="AKO419" s="6"/>
      <c r="AKP419" s="6"/>
      <c r="AKQ419" s="6"/>
      <c r="AKR419" s="6"/>
      <c r="AKS419" s="6"/>
      <c r="AKT419" s="6"/>
      <c r="AKU419" s="6"/>
      <c r="AKV419" s="6"/>
      <c r="AKW419" s="6"/>
      <c r="AKX419" s="6"/>
      <c r="AKY419" s="6"/>
      <c r="AKZ419" s="6"/>
      <c r="ALA419" s="6"/>
      <c r="ALB419" s="6"/>
      <c r="ALC419" s="6"/>
      <c r="ALD419" s="6"/>
      <c r="ALE419" s="6"/>
      <c r="ALF419" s="6"/>
      <c r="ALG419" s="6"/>
      <c r="ALH419" s="6"/>
      <c r="ALI419" s="6"/>
      <c r="ALJ419" s="6"/>
      <c r="ALK419" s="6"/>
      <c r="ALL419" s="6"/>
      <c r="ALM419" s="6"/>
      <c r="ALN419" s="6"/>
      <c r="ALO419" s="6"/>
      <c r="ALP419" s="6"/>
      <c r="ALQ419" s="6"/>
      <c r="ALR419" s="6"/>
      <c r="ALS419" s="6"/>
      <c r="ALT419" s="6"/>
      <c r="ALU419" s="6"/>
      <c r="ALV419" s="6"/>
      <c r="ALW419" s="6"/>
      <c r="ALX419" s="6"/>
      <c r="ALY419" s="6"/>
      <c r="ALZ419" s="6"/>
      <c r="AMA419" s="6"/>
      <c r="AMB419" s="6"/>
      <c r="AMC419" s="6"/>
      <c r="AMD419" s="6"/>
      <c r="AME419" s="6"/>
      <c r="AMF419" s="6"/>
      <c r="AMG419" s="6"/>
      <c r="AMH419" s="6"/>
      <c r="AMI419" s="6"/>
      <c r="AMJ419" s="6"/>
      <c r="AMK419" s="6"/>
      <c r="AML419" s="6"/>
      <c r="AMM419" s="6"/>
      <c r="AMN419" s="6"/>
      <c r="AMO419" s="6"/>
      <c r="AMP419" s="6"/>
    </row>
    <row r="420" spans="1:1030" x14ac:dyDescent="0.2">
      <c r="A420" s="3" t="str">
        <f t="shared" si="3718"/>
        <v>calrl_human_6E3Y</v>
      </c>
      <c r="B420" s="2" t="s">
        <v>401</v>
      </c>
      <c r="C420" s="3" t="s">
        <v>1512</v>
      </c>
      <c r="D420" s="3" t="str">
        <f>IFERROR(MID(VLOOKUP($B420,Seqs!$A:$B,2,0),E420,1),"")</f>
        <v>N</v>
      </c>
      <c r="E420" s="3">
        <v>130</v>
      </c>
      <c r="F420" s="3" t="str">
        <f>IFERROR(MID(VLOOKUP($B420,Seqs!$A:$B,2,0),G420,1),"")</f>
        <v>F</v>
      </c>
      <c r="G420" s="3">
        <v>166</v>
      </c>
      <c r="H420" s="3" t="str">
        <f>IFERROR(MID(VLOOKUP($B420,Seqs!$A:$B,2,0),I420,1),"")</f>
        <v/>
      </c>
      <c r="I420" s="23" t="s">
        <v>23</v>
      </c>
      <c r="J420" s="3" t="str">
        <f>IFERROR(MID(VLOOKUP($B420,Seqs!$A:$B,2,0),K420,1),"")</f>
        <v/>
      </c>
      <c r="K420" s="23" t="s">
        <v>23</v>
      </c>
      <c r="L420" s="3" t="str">
        <f>IFERROR(MID(VLOOKUP($B420,Seqs!$A:$B,2,0),M420,1),"")</f>
        <v>C</v>
      </c>
      <c r="M420" s="3">
        <v>171</v>
      </c>
      <c r="N420" s="3" t="str">
        <f>IFERROR(MID(VLOOKUP($B420,Seqs!$A:$B,2,0),O420,1),"")</f>
        <v>V</v>
      </c>
      <c r="O420" s="3">
        <v>198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V</v>
      </c>
      <c r="U420" s="3">
        <v>210</v>
      </c>
      <c r="V420" s="3" t="str">
        <f>IFERROR(MID(VLOOKUP($B420,Seqs!$A:$B,2,0),W420,1),"")</f>
        <v>V</v>
      </c>
      <c r="W420" s="3">
        <v>242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M</v>
      </c>
      <c r="AC420" s="3">
        <v>253</v>
      </c>
      <c r="AD420" s="3" t="str">
        <f>IFERROR(MID(VLOOKUP($B420,Seqs!$A:$B,2,0),AE420,1),"")</f>
        <v>Y</v>
      </c>
      <c r="AE420" s="3">
        <v>277</v>
      </c>
      <c r="AF420" s="3" t="str">
        <f>IFERROR(MID(VLOOKUP($B420,Seqs!$A:$B,2,0),AG420,1),"")</f>
        <v>C</v>
      </c>
      <c r="AG420" s="3">
        <v>282</v>
      </c>
      <c r="AH420" s="3" t="str">
        <f>IFERROR(MID(VLOOKUP($B420,Seqs!$A:$B,2,0),AI420,1),"")</f>
        <v>I</v>
      </c>
      <c r="AI420" s="3">
        <v>284</v>
      </c>
      <c r="AJ420" s="3" t="str">
        <f>IFERROR(MID(VLOOKUP($B420,Seqs!$A:$B,2,0),AK420,1),"")</f>
        <v>L</v>
      </c>
      <c r="AK420" s="3">
        <v>290</v>
      </c>
      <c r="AL420" s="3" t="str">
        <f>IFERROR(MID(VLOOKUP($B420,Seqs!$A:$B,2,0),AM420,1),"")</f>
        <v>K</v>
      </c>
      <c r="AM420" s="3">
        <v>321</v>
      </c>
      <c r="AN420" s="3" t="str">
        <f>IFERROR(MID(VLOOKUP($B420,Seqs!$A:$B,2,0),AO420,1),"")</f>
        <v>N</v>
      </c>
      <c r="AO420" s="3">
        <v>329</v>
      </c>
      <c r="AP420" s="3" t="str">
        <f>IFERROR(MID(VLOOKUP($B420,Seqs!$A:$B,2,0),AQ420,1),"")</f>
        <v>L</v>
      </c>
      <c r="AQ420" s="3">
        <v>351</v>
      </c>
      <c r="AR420" s="3" t="str">
        <f>IFERROR(MID(VLOOKUP($B420,Seqs!$A:$B,2,0),AS420,1),"")</f>
        <v>V</v>
      </c>
      <c r="AS420" s="3">
        <v>364</v>
      </c>
      <c r="AT420" s="3" t="str">
        <f>IFERROR(MID(VLOOKUP($B420,Seqs!$A:$B,2,0),AU420,1),"")</f>
        <v>F</v>
      </c>
      <c r="AU420" s="3">
        <v>387</v>
      </c>
      <c r="AV420" s="3" t="str">
        <f>IFERROR(MID(VLOOKUP($B420,Seqs!$A:$B,2,0),AW420,1),"")</f>
        <v>N</v>
      </c>
      <c r="AW420" s="3">
        <v>388</v>
      </c>
      <c r="AX420" s="3" t="str">
        <f>IFERROR(MID(VLOOKUP($B420,Seqs!$A:$B,2,0),AY420,1),"")</f>
        <v>W</v>
      </c>
      <c r="AY420" s="3">
        <v>399</v>
      </c>
      <c r="AZ420" s="77" t="str">
        <f>VLOOKUP(B420,Classification!A:D,2,0)</f>
        <v>B1</v>
      </c>
      <c r="BA420" s="94" t="str">
        <f>VLOOKUP(B420,Classification!A:D,4,0)</f>
        <v>Calcitonin</v>
      </c>
      <c r="BB420" s="27" t="b">
        <f t="shared" ref="BB420" si="3830">AND(E420&lt;G420,OR(G420&lt;I420,I420="-"),OR(I420&lt;K420,I420="-"),OR(K420&lt;M420,K420="-"),M420&lt;O420,OR(O420&lt;Q420,Q420="-"),OR(Q420&lt;S420,Q420="-"),OR(S420&lt;U420,S420="-"),U420&lt;W420,OR(W420&lt;Y420,Y420="-"),OR(Y420&lt;AA420,Y420="-"),OR(AA420&lt;AC420,AA420="-"),AC420&lt;AE420,OR(AE420&lt;AG420,AG420="-"),OR(AG420&lt;AI420,AG420="-"),OR(AI420&lt;AK420,AI420="-"),AK420&lt;AM420,AM420&lt;AO420,AO420&lt;AQ420,AQ420&lt;AS420,AS420&lt;AU420,OR(AU420&lt;AW420,AW420="-"),OR(AW420&lt;AY420,AW420="-"))</f>
        <v>1</v>
      </c>
      <c r="BC420" s="23">
        <f t="shared" ref="BC420" si="3831">_xlfn.AGGREGATE(9,6,CH420:CS420)-_xlfn.AGGREGATE(9,6,BV420:CG420)+12</f>
        <v>220</v>
      </c>
      <c r="BD420" s="4" t="s">
        <v>23</v>
      </c>
      <c r="BE420" s="3" t="s">
        <v>1287</v>
      </c>
      <c r="BF420" s="118">
        <v>3.3</v>
      </c>
      <c r="BG420" s="49" t="s">
        <v>1418</v>
      </c>
      <c r="BH420" s="49" t="s">
        <v>1418</v>
      </c>
      <c r="BI420" s="1"/>
      <c r="BJ420" s="70" t="s">
        <v>1283</v>
      </c>
      <c r="BK420" s="57" t="s">
        <v>1283</v>
      </c>
      <c r="BL420" s="57" t="s">
        <v>1283</v>
      </c>
      <c r="BM420" s="57" t="s">
        <v>1283</v>
      </c>
      <c r="BN420" s="57" t="s">
        <v>1283</v>
      </c>
      <c r="BO420" s="57" t="s">
        <v>1283</v>
      </c>
      <c r="BP420" s="57" t="s">
        <v>1283</v>
      </c>
      <c r="BQ420" s="57" t="s">
        <v>1283</v>
      </c>
      <c r="BR420" s="57" t="s">
        <v>1283</v>
      </c>
      <c r="BS420" s="57" t="s">
        <v>1283</v>
      </c>
      <c r="BT420" s="57" t="s">
        <v>1283</v>
      </c>
      <c r="BU420" s="57" t="s">
        <v>1283</v>
      </c>
      <c r="BV420" s="70">
        <f t="shared" ref="BV420" si="3832">E420</f>
        <v>130</v>
      </c>
      <c r="BW420" s="71" t="str">
        <f t="shared" ref="BW420" si="3833">I420</f>
        <v>-</v>
      </c>
      <c r="BX420" s="72">
        <f t="shared" ref="BX420" si="3834">M420</f>
        <v>171</v>
      </c>
      <c r="BY420" s="71" t="str">
        <f t="shared" ref="BY420" si="3835">Q420</f>
        <v>-</v>
      </c>
      <c r="BZ420" s="72">
        <f t="shared" ref="BZ420" si="3836">U420</f>
        <v>210</v>
      </c>
      <c r="CA420" s="71" t="str">
        <f t="shared" ref="CA420" si="3837">Y420</f>
        <v>-</v>
      </c>
      <c r="CB420" s="72">
        <f t="shared" ref="CB420" si="3838">AC420</f>
        <v>253</v>
      </c>
      <c r="CC420" s="71">
        <f t="shared" ref="CC420" si="3839">AG420</f>
        <v>282</v>
      </c>
      <c r="CD420" s="72">
        <f t="shared" ref="CD420" si="3840">AK420</f>
        <v>290</v>
      </c>
      <c r="CE420" s="71">
        <f t="shared" ref="CE420" si="3841">AO420</f>
        <v>329</v>
      </c>
      <c r="CF420" s="72">
        <f t="shared" ref="CF420" si="3842">AS420</f>
        <v>364</v>
      </c>
      <c r="CG420" s="71">
        <f t="shared" ref="CG420" si="3843">AW420</f>
        <v>388</v>
      </c>
      <c r="CH420" s="70">
        <f t="shared" ref="CH420" si="3844">G420</f>
        <v>166</v>
      </c>
      <c r="CI420" s="71" t="str">
        <f t="shared" ref="CI420" si="3845">K420</f>
        <v>-</v>
      </c>
      <c r="CJ420" s="72">
        <f t="shared" ref="CJ420" si="3846">O420</f>
        <v>198</v>
      </c>
      <c r="CK420" s="72" t="str">
        <f t="shared" ref="CK420" si="3847">S420</f>
        <v>-</v>
      </c>
      <c r="CL420" s="72">
        <f t="shared" ref="CL420" si="3848">W420</f>
        <v>242</v>
      </c>
      <c r="CM420" s="72" t="str">
        <f t="shared" ref="CM420" si="3849">AA420</f>
        <v>-</v>
      </c>
      <c r="CN420" s="72">
        <f t="shared" ref="CN420" si="3850">AE420</f>
        <v>277</v>
      </c>
      <c r="CO420" s="72">
        <f t="shared" ref="CO420" si="3851">AI420</f>
        <v>284</v>
      </c>
      <c r="CP420" s="72">
        <f t="shared" ref="CP420" si="3852">AM420</f>
        <v>321</v>
      </c>
      <c r="CQ420" s="72">
        <f t="shared" ref="CQ420" si="3853">AQ420</f>
        <v>351</v>
      </c>
      <c r="CR420" s="72">
        <f t="shared" ref="CR420" si="3854">AU420</f>
        <v>387</v>
      </c>
      <c r="CS420" s="72">
        <f t="shared" ref="CS420" si="3855">AY420</f>
        <v>399</v>
      </c>
      <c r="CT420" s="23" t="e">
        <f t="shared" ref="CT420" si="3856">M420-K420</f>
        <v>#VALUE!</v>
      </c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  <c r="SG420" s="6"/>
      <c r="SH420" s="6"/>
      <c r="SI420" s="6"/>
      <c r="SJ420" s="6"/>
      <c r="SK420" s="6"/>
      <c r="SL420" s="6"/>
      <c r="SM420" s="6"/>
      <c r="SN420" s="6"/>
      <c r="SO420" s="6"/>
      <c r="SP420" s="6"/>
      <c r="SQ420" s="6"/>
      <c r="SR420" s="6"/>
      <c r="SS420" s="6"/>
      <c r="ST420" s="6"/>
      <c r="SU420" s="6"/>
      <c r="SV420" s="6"/>
      <c r="SW420" s="6"/>
      <c r="SX420" s="6"/>
      <c r="SY420" s="6"/>
      <c r="SZ420" s="6"/>
      <c r="TA420" s="6"/>
      <c r="TB420" s="6"/>
      <c r="TC420" s="6"/>
      <c r="TD420" s="6"/>
      <c r="TE420" s="6"/>
      <c r="TF420" s="6"/>
      <c r="TG420" s="6"/>
      <c r="TH420" s="6"/>
      <c r="TI420" s="6"/>
      <c r="TJ420" s="6"/>
      <c r="TK420" s="6"/>
      <c r="TL420" s="6"/>
      <c r="TM420" s="6"/>
      <c r="TN420" s="6"/>
      <c r="TO420" s="6"/>
      <c r="TP420" s="6"/>
      <c r="TQ420" s="6"/>
      <c r="TR420" s="6"/>
      <c r="TS420" s="6"/>
      <c r="TT420" s="6"/>
      <c r="TU420" s="6"/>
      <c r="TV420" s="6"/>
      <c r="TW420" s="6"/>
      <c r="TX420" s="6"/>
      <c r="TY420" s="6"/>
      <c r="TZ420" s="6"/>
      <c r="UA420" s="6"/>
      <c r="UB420" s="6"/>
      <c r="UC420" s="6"/>
      <c r="UD420" s="6"/>
      <c r="UE420" s="6"/>
      <c r="UF420" s="6"/>
      <c r="UG420" s="6"/>
      <c r="UH420" s="6"/>
      <c r="UI420" s="6"/>
      <c r="UJ420" s="6"/>
      <c r="UK420" s="6"/>
      <c r="UL420" s="6"/>
      <c r="UM420" s="6"/>
      <c r="UN420" s="6"/>
      <c r="UO420" s="6"/>
      <c r="UP420" s="6"/>
      <c r="UQ420" s="6"/>
      <c r="UR420" s="6"/>
      <c r="US420" s="6"/>
      <c r="UT420" s="6"/>
      <c r="UU420" s="6"/>
      <c r="UV420" s="6"/>
      <c r="UW420" s="6"/>
      <c r="UX420" s="6"/>
      <c r="UY420" s="6"/>
      <c r="UZ420" s="6"/>
      <c r="VA420" s="6"/>
      <c r="VB420" s="6"/>
      <c r="VC420" s="6"/>
      <c r="VD420" s="6"/>
      <c r="VE420" s="6"/>
      <c r="VF420" s="6"/>
      <c r="VG420" s="6"/>
      <c r="VH420" s="6"/>
      <c r="VI420" s="6"/>
      <c r="VJ420" s="6"/>
      <c r="VK420" s="6"/>
      <c r="VL420" s="6"/>
      <c r="VM420" s="6"/>
      <c r="VN420" s="6"/>
      <c r="VO420" s="6"/>
      <c r="VP420" s="6"/>
      <c r="VQ420" s="6"/>
      <c r="VR420" s="6"/>
      <c r="VS420" s="6"/>
      <c r="VT420" s="6"/>
      <c r="VU420" s="6"/>
      <c r="VV420" s="6"/>
      <c r="VW420" s="6"/>
      <c r="VX420" s="6"/>
      <c r="VY420" s="6"/>
      <c r="VZ420" s="6"/>
      <c r="WA420" s="6"/>
      <c r="WB420" s="6"/>
      <c r="WC420" s="6"/>
      <c r="WD420" s="6"/>
      <c r="WE420" s="6"/>
      <c r="WF420" s="6"/>
      <c r="WG420" s="6"/>
      <c r="WH420" s="6"/>
      <c r="WI420" s="6"/>
      <c r="WJ420" s="6"/>
      <c r="WK420" s="6"/>
      <c r="WL420" s="6"/>
      <c r="WM420" s="6"/>
      <c r="WN420" s="6"/>
      <c r="WO420" s="6"/>
      <c r="WP420" s="6"/>
      <c r="WQ420" s="6"/>
      <c r="WR420" s="6"/>
      <c r="WS420" s="6"/>
      <c r="WT420" s="6"/>
      <c r="WU420" s="6"/>
      <c r="WV420" s="6"/>
      <c r="WW420" s="6"/>
      <c r="WX420" s="6"/>
      <c r="WY420" s="6"/>
      <c r="WZ420" s="6"/>
      <c r="XA420" s="6"/>
      <c r="XB420" s="6"/>
      <c r="XC420" s="6"/>
      <c r="XD420" s="6"/>
      <c r="XE420" s="6"/>
      <c r="XF420" s="6"/>
      <c r="XG420" s="6"/>
      <c r="XH420" s="6"/>
      <c r="XI420" s="6"/>
      <c r="XJ420" s="6"/>
      <c r="XK420" s="6"/>
      <c r="XL420" s="6"/>
      <c r="XM420" s="6"/>
      <c r="XN420" s="6"/>
      <c r="XO420" s="6"/>
      <c r="XP420" s="6"/>
      <c r="XQ420" s="6"/>
      <c r="XR420" s="6"/>
      <c r="XS420" s="6"/>
      <c r="XT420" s="6"/>
      <c r="XU420" s="6"/>
      <c r="XV420" s="6"/>
      <c r="XW420" s="6"/>
      <c r="XX420" s="6"/>
      <c r="XY420" s="6"/>
      <c r="XZ420" s="6"/>
      <c r="YA420" s="6"/>
      <c r="YB420" s="6"/>
      <c r="YC420" s="6"/>
      <c r="YD420" s="6"/>
      <c r="YE420" s="6"/>
      <c r="YF420" s="6"/>
      <c r="YG420" s="6"/>
      <c r="YH420" s="6"/>
      <c r="YI420" s="6"/>
      <c r="YJ420" s="6"/>
      <c r="YK420" s="6"/>
      <c r="YL420" s="6"/>
      <c r="YM420" s="6"/>
      <c r="YN420" s="6"/>
      <c r="YO420" s="6"/>
      <c r="YP420" s="6"/>
      <c r="YQ420" s="6"/>
      <c r="YR420" s="6"/>
      <c r="YS420" s="6"/>
      <c r="YT420" s="6"/>
      <c r="YU420" s="6"/>
      <c r="YV420" s="6"/>
      <c r="YW420" s="6"/>
      <c r="YX420" s="6"/>
      <c r="YY420" s="6"/>
      <c r="YZ420" s="6"/>
      <c r="ZA420" s="6"/>
      <c r="ZB420" s="6"/>
      <c r="ZC420" s="6"/>
      <c r="ZD420" s="6"/>
      <c r="ZE420" s="6"/>
      <c r="ZF420" s="6"/>
      <c r="ZG420" s="6"/>
      <c r="ZH420" s="6"/>
      <c r="ZI420" s="6"/>
      <c r="ZJ420" s="6"/>
      <c r="ZK420" s="6"/>
      <c r="ZL420" s="6"/>
      <c r="ZM420" s="6"/>
      <c r="ZN420" s="6"/>
      <c r="ZO420" s="6"/>
      <c r="ZP420" s="6"/>
      <c r="ZQ420" s="6"/>
      <c r="ZR420" s="6"/>
      <c r="ZS420" s="6"/>
      <c r="ZT420" s="6"/>
      <c r="ZU420" s="6"/>
      <c r="ZV420" s="6"/>
      <c r="ZW420" s="6"/>
      <c r="ZX420" s="6"/>
      <c r="ZY420" s="6"/>
      <c r="ZZ420" s="6"/>
      <c r="AAA420" s="6"/>
      <c r="AAB420" s="6"/>
      <c r="AAC420" s="6"/>
      <c r="AAD420" s="6"/>
      <c r="AAE420" s="6"/>
      <c r="AAF420" s="6"/>
      <c r="AAG420" s="6"/>
      <c r="AAH420" s="6"/>
      <c r="AAI420" s="6"/>
      <c r="AAJ420" s="6"/>
      <c r="AAK420" s="6"/>
      <c r="AAL420" s="6"/>
      <c r="AAM420" s="6"/>
      <c r="AAN420" s="6"/>
      <c r="AAO420" s="6"/>
      <c r="AAP420" s="6"/>
      <c r="AAQ420" s="6"/>
      <c r="AAR420" s="6"/>
      <c r="AAS420" s="6"/>
      <c r="AAT420" s="6"/>
      <c r="AAU420" s="6"/>
      <c r="AAV420" s="6"/>
      <c r="AAW420" s="6"/>
      <c r="AAX420" s="6"/>
      <c r="AAY420" s="6"/>
      <c r="AAZ420" s="6"/>
      <c r="ABA420" s="6"/>
      <c r="ABB420" s="6"/>
      <c r="ABC420" s="6"/>
      <c r="ABD420" s="6"/>
      <c r="ABE420" s="6"/>
      <c r="ABF420" s="6"/>
      <c r="ABG420" s="6"/>
      <c r="ABH420" s="6"/>
      <c r="ABI420" s="6"/>
      <c r="ABJ420" s="6"/>
      <c r="ABK420" s="6"/>
      <c r="ABL420" s="6"/>
      <c r="ABM420" s="6"/>
      <c r="ABN420" s="6"/>
      <c r="ABO420" s="6"/>
      <c r="ABP420" s="6"/>
      <c r="ABQ420" s="6"/>
      <c r="ABR420" s="6"/>
      <c r="ABS420" s="6"/>
      <c r="ABT420" s="6"/>
      <c r="ABU420" s="6"/>
      <c r="ABV420" s="6"/>
      <c r="ABW420" s="6"/>
      <c r="ABX420" s="6"/>
      <c r="ABY420" s="6"/>
      <c r="ABZ420" s="6"/>
      <c r="ACA420" s="6"/>
      <c r="ACB420" s="6"/>
      <c r="ACC420" s="6"/>
      <c r="ACD420" s="6"/>
      <c r="ACE420" s="6"/>
      <c r="ACF420" s="6"/>
      <c r="ACG420" s="6"/>
      <c r="ACH420" s="6"/>
      <c r="ACI420" s="6"/>
      <c r="ACJ420" s="6"/>
      <c r="ACK420" s="6"/>
      <c r="ACL420" s="6"/>
      <c r="ACM420" s="6"/>
      <c r="ACN420" s="6"/>
      <c r="ACO420" s="6"/>
      <c r="ACP420" s="6"/>
      <c r="ACQ420" s="6"/>
      <c r="ACR420" s="6"/>
      <c r="ACS420" s="6"/>
      <c r="ACT420" s="6"/>
      <c r="ACU420" s="6"/>
      <c r="ACV420" s="6"/>
      <c r="ACW420" s="6"/>
      <c r="ACX420" s="6"/>
      <c r="ACY420" s="6"/>
      <c r="ACZ420" s="6"/>
      <c r="ADA420" s="6"/>
      <c r="ADB420" s="6"/>
      <c r="ADC420" s="6"/>
      <c r="ADD420" s="6"/>
      <c r="ADE420" s="6"/>
      <c r="ADF420" s="6"/>
      <c r="ADG420" s="6"/>
      <c r="ADH420" s="6"/>
      <c r="ADI420" s="6"/>
      <c r="ADJ420" s="6"/>
      <c r="ADK420" s="6"/>
      <c r="ADL420" s="6"/>
      <c r="ADM420" s="6"/>
      <c r="ADN420" s="6"/>
      <c r="ADO420" s="6"/>
      <c r="ADP420" s="6"/>
      <c r="ADQ420" s="6"/>
      <c r="ADR420" s="6"/>
      <c r="ADS420" s="6"/>
      <c r="ADT420" s="6"/>
      <c r="ADU420" s="6"/>
      <c r="ADV420" s="6"/>
      <c r="ADW420" s="6"/>
      <c r="ADX420" s="6"/>
      <c r="ADY420" s="6"/>
      <c r="ADZ420" s="6"/>
      <c r="AEA420" s="6"/>
      <c r="AEB420" s="6"/>
      <c r="AEC420" s="6"/>
      <c r="AED420" s="6"/>
      <c r="AEE420" s="6"/>
      <c r="AEF420" s="6"/>
      <c r="AEG420" s="6"/>
      <c r="AEH420" s="6"/>
      <c r="AEI420" s="6"/>
      <c r="AEJ420" s="6"/>
      <c r="AEK420" s="6"/>
      <c r="AEL420" s="6"/>
      <c r="AEM420" s="6"/>
      <c r="AEN420" s="6"/>
      <c r="AEO420" s="6"/>
      <c r="AEP420" s="6"/>
      <c r="AEQ420" s="6"/>
      <c r="AER420" s="6"/>
      <c r="AES420" s="6"/>
      <c r="AET420" s="6"/>
      <c r="AEU420" s="6"/>
      <c r="AEV420" s="6"/>
      <c r="AEW420" s="6"/>
      <c r="AEX420" s="6"/>
      <c r="AEY420" s="6"/>
      <c r="AEZ420" s="6"/>
      <c r="AFA420" s="6"/>
      <c r="AFB420" s="6"/>
      <c r="AFC420" s="6"/>
      <c r="AFD420" s="6"/>
      <c r="AFE420" s="6"/>
      <c r="AFF420" s="6"/>
      <c r="AFG420" s="6"/>
      <c r="AFH420" s="6"/>
      <c r="AFI420" s="6"/>
      <c r="AFJ420" s="6"/>
      <c r="AFK420" s="6"/>
      <c r="AFL420" s="6"/>
      <c r="AFM420" s="6"/>
      <c r="AFN420" s="6"/>
      <c r="AFO420" s="6"/>
      <c r="AFP420" s="6"/>
      <c r="AFQ420" s="6"/>
      <c r="AFR420" s="6"/>
      <c r="AFS420" s="6"/>
      <c r="AFT420" s="6"/>
      <c r="AFU420" s="6"/>
      <c r="AFV420" s="6"/>
      <c r="AFW420" s="6"/>
      <c r="AFX420" s="6"/>
      <c r="AFY420" s="6"/>
      <c r="AFZ420" s="6"/>
      <c r="AGA420" s="6"/>
      <c r="AGB420" s="6"/>
      <c r="AGC420" s="6"/>
      <c r="AGD420" s="6"/>
      <c r="AGE420" s="6"/>
      <c r="AGF420" s="6"/>
      <c r="AGG420" s="6"/>
      <c r="AGH420" s="6"/>
      <c r="AGI420" s="6"/>
      <c r="AGJ420" s="6"/>
      <c r="AGK420" s="6"/>
      <c r="AGL420" s="6"/>
      <c r="AGM420" s="6"/>
      <c r="AGN420" s="6"/>
      <c r="AGO420" s="6"/>
      <c r="AGP420" s="6"/>
      <c r="AGQ420" s="6"/>
      <c r="AGR420" s="6"/>
      <c r="AGS420" s="6"/>
      <c r="AGT420" s="6"/>
      <c r="AGU420" s="6"/>
      <c r="AGV420" s="6"/>
      <c r="AGW420" s="6"/>
      <c r="AGX420" s="6"/>
      <c r="AGY420" s="6"/>
      <c r="AGZ420" s="6"/>
      <c r="AHA420" s="6"/>
      <c r="AHB420" s="6"/>
      <c r="AHC420" s="6"/>
      <c r="AHD420" s="6"/>
      <c r="AHE420" s="6"/>
      <c r="AHF420" s="6"/>
      <c r="AHG420" s="6"/>
      <c r="AHH420" s="6"/>
      <c r="AHI420" s="6"/>
      <c r="AHJ420" s="6"/>
      <c r="AHK420" s="6"/>
      <c r="AHL420" s="6"/>
      <c r="AHM420" s="6"/>
      <c r="AHN420" s="6"/>
      <c r="AHO420" s="6"/>
      <c r="AHP420" s="6"/>
      <c r="AHQ420" s="6"/>
      <c r="AHR420" s="6"/>
      <c r="AHS420" s="6"/>
      <c r="AHT420" s="6"/>
      <c r="AHU420" s="6"/>
      <c r="AHV420" s="6"/>
      <c r="AHW420" s="6"/>
      <c r="AHX420" s="6"/>
      <c r="AHY420" s="6"/>
      <c r="AHZ420" s="6"/>
      <c r="AIA420" s="6"/>
      <c r="AIB420" s="6"/>
      <c r="AIC420" s="6"/>
      <c r="AID420" s="6"/>
      <c r="AIE420" s="6"/>
      <c r="AIF420" s="6"/>
      <c r="AIG420" s="6"/>
      <c r="AIH420" s="6"/>
      <c r="AII420" s="6"/>
      <c r="AIJ420" s="6"/>
      <c r="AIK420" s="6"/>
      <c r="AIL420" s="6"/>
      <c r="AIM420" s="6"/>
      <c r="AIN420" s="6"/>
      <c r="AIO420" s="6"/>
      <c r="AIP420" s="6"/>
      <c r="AIQ420" s="6"/>
      <c r="AIR420" s="6"/>
      <c r="AIS420" s="6"/>
      <c r="AIT420" s="6"/>
      <c r="AIU420" s="6"/>
      <c r="AIV420" s="6"/>
      <c r="AIW420" s="6"/>
      <c r="AIX420" s="6"/>
      <c r="AIY420" s="6"/>
      <c r="AIZ420" s="6"/>
      <c r="AJA420" s="6"/>
      <c r="AJB420" s="6"/>
      <c r="AJC420" s="6"/>
      <c r="AJD420" s="6"/>
      <c r="AJE420" s="6"/>
      <c r="AJF420" s="6"/>
      <c r="AJG420" s="6"/>
      <c r="AJH420" s="6"/>
      <c r="AJI420" s="6"/>
      <c r="AJJ420" s="6"/>
      <c r="AJK420" s="6"/>
      <c r="AJL420" s="6"/>
      <c r="AJM420" s="6"/>
      <c r="AJN420" s="6"/>
      <c r="AJO420" s="6"/>
      <c r="AJP420" s="6"/>
      <c r="AJQ420" s="6"/>
      <c r="AJR420" s="6"/>
      <c r="AJS420" s="6"/>
      <c r="AJT420" s="6"/>
      <c r="AJU420" s="6"/>
      <c r="AJV420" s="6"/>
      <c r="AJW420" s="6"/>
      <c r="AJX420" s="6"/>
      <c r="AJY420" s="6"/>
      <c r="AJZ420" s="6"/>
      <c r="AKA420" s="6"/>
      <c r="AKB420" s="6"/>
      <c r="AKC420" s="6"/>
      <c r="AKD420" s="6"/>
      <c r="AKE420" s="6"/>
      <c r="AKF420" s="6"/>
      <c r="AKG420" s="6"/>
      <c r="AKH420" s="6"/>
      <c r="AKI420" s="6"/>
      <c r="AKJ420" s="6"/>
      <c r="AKK420" s="6"/>
      <c r="AKL420" s="6"/>
      <c r="AKM420" s="6"/>
      <c r="AKN420" s="6"/>
      <c r="AKO420" s="6"/>
      <c r="AKP420" s="6"/>
      <c r="AKQ420" s="6"/>
      <c r="AKR420" s="6"/>
      <c r="AKS420" s="6"/>
      <c r="AKT420" s="6"/>
      <c r="AKU420" s="6"/>
      <c r="AKV420" s="6"/>
      <c r="AKW420" s="6"/>
      <c r="AKX420" s="6"/>
      <c r="AKY420" s="6"/>
      <c r="AKZ420" s="6"/>
      <c r="ALA420" s="6"/>
      <c r="ALB420" s="6"/>
      <c r="ALC420" s="6"/>
      <c r="ALD420" s="6"/>
      <c r="ALE420" s="6"/>
      <c r="ALF420" s="6"/>
      <c r="ALG420" s="6"/>
      <c r="ALH420" s="6"/>
      <c r="ALI420" s="6"/>
      <c r="ALJ420" s="6"/>
      <c r="ALK420" s="6"/>
      <c r="ALL420" s="6"/>
      <c r="ALM420" s="6"/>
      <c r="ALN420" s="6"/>
      <c r="ALO420" s="6"/>
      <c r="ALP420" s="6"/>
      <c r="ALQ420" s="6"/>
      <c r="ALR420" s="6"/>
      <c r="ALS420" s="6"/>
      <c r="ALT420" s="6"/>
      <c r="ALU420" s="6"/>
      <c r="ALV420" s="6"/>
      <c r="ALW420" s="6"/>
      <c r="ALX420" s="6"/>
      <c r="ALY420" s="6"/>
      <c r="ALZ420" s="6"/>
      <c r="AMA420" s="6"/>
      <c r="AMB420" s="6"/>
      <c r="AMC420" s="6"/>
      <c r="AMD420" s="6"/>
      <c r="AME420" s="6"/>
      <c r="AMF420" s="6"/>
      <c r="AMG420" s="6"/>
      <c r="AMH420" s="6"/>
      <c r="AMI420" s="6"/>
      <c r="AMJ420" s="6"/>
      <c r="AMK420" s="6"/>
      <c r="AML420" s="6"/>
      <c r="AMM420" s="6"/>
      <c r="AMN420" s="6"/>
      <c r="AMO420" s="6"/>
      <c r="AMP420" s="6"/>
    </row>
    <row r="421" spans="1:1030" x14ac:dyDescent="0.2">
      <c r="A421" s="3" t="str">
        <f t="shared" ref="A421" si="3857">CONCATENATE(B421,"_",C421)</f>
        <v>calrl_human_6UUN</v>
      </c>
      <c r="B421" s="2" t="s">
        <v>401</v>
      </c>
      <c r="C421" s="3" t="s">
        <v>1668</v>
      </c>
      <c r="D421" s="3" t="str">
        <f>IFERROR(MID(VLOOKUP($B421,Seqs!$A:$B,2,0),E421,1),"")</f>
        <v>T</v>
      </c>
      <c r="E421" s="3">
        <v>131</v>
      </c>
      <c r="F421" s="3" t="str">
        <f>IFERROR(MID(VLOOKUP($B421,Seqs!$A:$B,2,0),G421,1),"")</f>
        <v>F</v>
      </c>
      <c r="G421" s="3">
        <v>166</v>
      </c>
      <c r="H421" s="3" t="str">
        <f>IFERROR(MID(VLOOKUP($B421,Seqs!$A:$B,2,0),I421,1),"")</f>
        <v/>
      </c>
      <c r="I421" s="23" t="s">
        <v>23</v>
      </c>
      <c r="J421" s="3" t="str">
        <f>IFERROR(MID(VLOOKUP($B421,Seqs!$A:$B,2,0),K421,1),"")</f>
        <v/>
      </c>
      <c r="K421" s="23" t="s">
        <v>23</v>
      </c>
      <c r="L421" s="3" t="str">
        <f>IFERROR(MID(VLOOKUP($B421,Seqs!$A:$B,2,0),M421,1),"")</f>
        <v>C</v>
      </c>
      <c r="M421" s="3">
        <v>171</v>
      </c>
      <c r="N421" s="3" t="str">
        <f>IFERROR(MID(VLOOKUP($B421,Seqs!$A:$B,2,0),O421,1),"")</f>
        <v>A</v>
      </c>
      <c r="O421" s="3">
        <v>199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P</v>
      </c>
      <c r="U421" s="3">
        <v>209</v>
      </c>
      <c r="V421" s="3" t="str">
        <f>IFERROR(MID(VLOOKUP($B421,Seqs!$A:$B,2,0),W421,1),"")</f>
        <v>V</v>
      </c>
      <c r="W421" s="3">
        <v>242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M</v>
      </c>
      <c r="AC421" s="3">
        <v>253</v>
      </c>
      <c r="AD421" s="3" t="str">
        <f>IFERROR(MID(VLOOKUP($B421,Seqs!$A:$B,2,0),AE421,1),"")</f>
        <v>Y</v>
      </c>
      <c r="AE421" s="3">
        <v>278</v>
      </c>
      <c r="AF421" s="3" t="str">
        <f>IFERROR(MID(VLOOKUP($B421,Seqs!$A:$B,2,0),AG421,1),"")</f>
        <v>C</v>
      </c>
      <c r="AG421" s="3">
        <v>282</v>
      </c>
      <c r="AH421" s="3" t="str">
        <f>IFERROR(MID(VLOOKUP($B421,Seqs!$A:$B,2,0),AI421,1),"")</f>
        <v>I</v>
      </c>
      <c r="AI421" s="3">
        <v>284</v>
      </c>
      <c r="AJ421" s="3" t="str">
        <f>IFERROR(MID(VLOOKUP($B421,Seqs!$A:$B,2,0),AK421,1),"")</f>
        <v>L</v>
      </c>
      <c r="AK421" s="3">
        <v>290</v>
      </c>
      <c r="AL421" s="3" t="str">
        <f>IFERROR(MID(VLOOKUP($B421,Seqs!$A:$B,2,0),AM421,1),"")</f>
        <v>K</v>
      </c>
      <c r="AM421" s="3">
        <v>321</v>
      </c>
      <c r="AN421" s="3" t="str">
        <f>IFERROR(MID(VLOOKUP($B421,Seqs!$A:$B,2,0),AO421,1),"")</f>
        <v>K</v>
      </c>
      <c r="AO421" s="3">
        <v>333</v>
      </c>
      <c r="AP421" s="3" t="str">
        <f>IFERROR(MID(VLOOKUP($B421,Seqs!$A:$B,2,0),AQ421,1),"")</f>
        <v>L</v>
      </c>
      <c r="AQ421" s="3">
        <v>351</v>
      </c>
      <c r="AR421" s="3" t="str">
        <f>IFERROR(MID(VLOOKUP($B421,Seqs!$A:$B,2,0),AS421,1),"")</f>
        <v>E</v>
      </c>
      <c r="AS421" s="3">
        <v>363</v>
      </c>
      <c r="AT421" s="3" t="str">
        <f>IFERROR(MID(VLOOKUP($B421,Seqs!$A:$B,2,0),AU421,1),"")</f>
        <v>F</v>
      </c>
      <c r="AU421" s="3">
        <v>387</v>
      </c>
      <c r="AV421" s="3" t="str">
        <f>IFERROR(MID(VLOOKUP($B421,Seqs!$A:$B,2,0),AW421,1),"")</f>
        <v>N</v>
      </c>
      <c r="AW421" s="3">
        <v>388</v>
      </c>
      <c r="AX421" s="3" t="str">
        <f>IFERROR(MID(VLOOKUP($B421,Seqs!$A:$B,2,0),AY421,1),"")</f>
        <v>W</v>
      </c>
      <c r="AY421" s="3">
        <v>399</v>
      </c>
      <c r="AZ421" s="77" t="str">
        <f>VLOOKUP(B421,Classification!A:D,2,0)</f>
        <v>B1</v>
      </c>
      <c r="BA421" s="94" t="str">
        <f>VLOOKUP(B421,Classification!A:D,4,0)</f>
        <v>Calcitonin</v>
      </c>
      <c r="BB421" s="27" t="b">
        <f t="shared" ref="BB421" si="3858">AND(E421&lt;G421,OR(G421&lt;I421,I421="-"),OR(I421&lt;K421,I421="-"),OR(K421&lt;M421,K421="-"),M421&lt;O421,OR(O421&lt;Q421,Q421="-"),OR(Q421&lt;S421,Q421="-"),OR(S421&lt;U421,S421="-"),U421&lt;W421,OR(W421&lt;Y421,Y421="-"),OR(Y421&lt;AA421,Y421="-"),OR(AA421&lt;AC421,AA421="-"),AC421&lt;AE421,OR(AE421&lt;AG421,AG421="-"),OR(AG421&lt;AI421,AG421="-"),OR(AI421&lt;AK421,AI421="-"),AK421&lt;AM421,AM421&lt;AO421,AO421&lt;AQ421,AQ421&lt;AS421,AS421&lt;AU421,OR(AU421&lt;AW421,AW421="-"),OR(AW421&lt;AY421,AW421="-"))</f>
        <v>1</v>
      </c>
      <c r="BC421" s="23">
        <f t="shared" ref="BC421" si="3859">_xlfn.AGGREGATE(9,6,CH421:CS421)-_xlfn.AGGREGATE(9,6,BV421:CG421)+12</f>
        <v>219</v>
      </c>
      <c r="BD421" s="4" t="s">
        <v>23</v>
      </c>
      <c r="BE421" s="3" t="s">
        <v>1287</v>
      </c>
      <c r="BF421" s="118">
        <v>3</v>
      </c>
      <c r="BG421" s="49" t="s">
        <v>1418</v>
      </c>
      <c r="BH421" s="49" t="s">
        <v>1418</v>
      </c>
      <c r="BI421" s="1"/>
      <c r="BJ421" s="70" t="s">
        <v>1283</v>
      </c>
      <c r="BK421" s="57" t="s">
        <v>1283</v>
      </c>
      <c r="BL421" s="57" t="s">
        <v>1283</v>
      </c>
      <c r="BM421" s="57" t="s">
        <v>1283</v>
      </c>
      <c r="BN421" s="57" t="s">
        <v>1283</v>
      </c>
      <c r="BO421" s="57" t="s">
        <v>1283</v>
      </c>
      <c r="BP421" s="57" t="s">
        <v>1283</v>
      </c>
      <c r="BQ421" s="57" t="s">
        <v>1283</v>
      </c>
      <c r="BR421" s="57" t="s">
        <v>1283</v>
      </c>
      <c r="BS421" s="57" t="s">
        <v>1283</v>
      </c>
      <c r="BT421" s="57" t="s">
        <v>1283</v>
      </c>
      <c r="BU421" s="57" t="s">
        <v>1283</v>
      </c>
      <c r="BV421" s="70">
        <f t="shared" ref="BV421" si="3860">E421</f>
        <v>131</v>
      </c>
      <c r="BW421" s="71" t="str">
        <f t="shared" ref="BW421" si="3861">I421</f>
        <v>-</v>
      </c>
      <c r="BX421" s="72">
        <f t="shared" ref="BX421" si="3862">M421</f>
        <v>171</v>
      </c>
      <c r="BY421" s="71" t="str">
        <f t="shared" ref="BY421" si="3863">Q421</f>
        <v>-</v>
      </c>
      <c r="BZ421" s="72">
        <f t="shared" ref="BZ421" si="3864">U421</f>
        <v>209</v>
      </c>
      <c r="CA421" s="71" t="str">
        <f t="shared" ref="CA421" si="3865">Y421</f>
        <v>-</v>
      </c>
      <c r="CB421" s="72">
        <f t="shared" ref="CB421" si="3866">AC421</f>
        <v>253</v>
      </c>
      <c r="CC421" s="71">
        <f t="shared" ref="CC421" si="3867">AG421</f>
        <v>282</v>
      </c>
      <c r="CD421" s="72">
        <f t="shared" ref="CD421" si="3868">AK421</f>
        <v>290</v>
      </c>
      <c r="CE421" s="71">
        <f t="shared" ref="CE421" si="3869">AO421</f>
        <v>333</v>
      </c>
      <c r="CF421" s="72">
        <f t="shared" ref="CF421" si="3870">AS421</f>
        <v>363</v>
      </c>
      <c r="CG421" s="71">
        <f t="shared" ref="CG421" si="3871">AW421</f>
        <v>388</v>
      </c>
      <c r="CH421" s="70">
        <f t="shared" ref="CH421" si="3872">G421</f>
        <v>166</v>
      </c>
      <c r="CI421" s="71" t="str">
        <f t="shared" ref="CI421" si="3873">K421</f>
        <v>-</v>
      </c>
      <c r="CJ421" s="72">
        <f t="shared" ref="CJ421" si="3874">O421</f>
        <v>199</v>
      </c>
      <c r="CK421" s="72" t="str">
        <f t="shared" ref="CK421" si="3875">S421</f>
        <v>-</v>
      </c>
      <c r="CL421" s="72">
        <f t="shared" ref="CL421" si="3876">W421</f>
        <v>242</v>
      </c>
      <c r="CM421" s="72" t="str">
        <f t="shared" ref="CM421" si="3877">AA421</f>
        <v>-</v>
      </c>
      <c r="CN421" s="72">
        <f t="shared" ref="CN421" si="3878">AE421</f>
        <v>278</v>
      </c>
      <c r="CO421" s="72">
        <f t="shared" ref="CO421" si="3879">AI421</f>
        <v>284</v>
      </c>
      <c r="CP421" s="72">
        <f t="shared" ref="CP421" si="3880">AM421</f>
        <v>321</v>
      </c>
      <c r="CQ421" s="72">
        <f t="shared" ref="CQ421" si="3881">AQ421</f>
        <v>351</v>
      </c>
      <c r="CR421" s="72">
        <f t="shared" ref="CR421" si="3882">AU421</f>
        <v>387</v>
      </c>
      <c r="CS421" s="72">
        <f t="shared" ref="CS421" si="3883">AY421</f>
        <v>399</v>
      </c>
      <c r="CT421" s="23" t="e">
        <f t="shared" ref="CT421" si="3884">M421-K421</f>
        <v>#VALUE!</v>
      </c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  <c r="SG421" s="6"/>
      <c r="SH421" s="6"/>
      <c r="SI421" s="6"/>
      <c r="SJ421" s="6"/>
      <c r="SK421" s="6"/>
      <c r="SL421" s="6"/>
      <c r="SM421" s="6"/>
      <c r="SN421" s="6"/>
      <c r="SO421" s="6"/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r="UP421" s="6"/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r="WO421" s="6"/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  <c r="XP421" s="6"/>
      <c r="XQ421" s="6"/>
      <c r="XR421" s="6"/>
      <c r="XS421" s="6"/>
      <c r="XT421" s="6"/>
      <c r="XU421" s="6"/>
      <c r="XV421" s="6"/>
      <c r="XW421" s="6"/>
      <c r="XX421" s="6"/>
      <c r="XY421" s="6"/>
      <c r="XZ421" s="6"/>
      <c r="YA421" s="6"/>
      <c r="YB421" s="6"/>
      <c r="YC421" s="6"/>
      <c r="YD421" s="6"/>
      <c r="YE421" s="6"/>
      <c r="YF421" s="6"/>
      <c r="YG421" s="6"/>
      <c r="YH421" s="6"/>
      <c r="YI421" s="6"/>
      <c r="YJ421" s="6"/>
      <c r="YK421" s="6"/>
      <c r="YL421" s="6"/>
      <c r="YM421" s="6"/>
      <c r="YN421" s="6"/>
      <c r="YO421" s="6"/>
      <c r="YP421" s="6"/>
      <c r="YQ421" s="6"/>
      <c r="YR421" s="6"/>
      <c r="YS421" s="6"/>
      <c r="YT421" s="6"/>
      <c r="YU421" s="6"/>
      <c r="YV421" s="6"/>
      <c r="YW421" s="6"/>
      <c r="YX421" s="6"/>
      <c r="YY421" s="6"/>
      <c r="YZ421" s="6"/>
      <c r="ZA421" s="6"/>
      <c r="ZB421" s="6"/>
      <c r="ZC421" s="6"/>
      <c r="ZD421" s="6"/>
      <c r="ZE421" s="6"/>
      <c r="ZF421" s="6"/>
      <c r="ZG421" s="6"/>
      <c r="ZH421" s="6"/>
      <c r="ZI421" s="6"/>
      <c r="ZJ421" s="6"/>
      <c r="ZK421" s="6"/>
      <c r="ZL421" s="6"/>
      <c r="ZM421" s="6"/>
      <c r="ZN421" s="6"/>
      <c r="ZO421" s="6"/>
      <c r="ZP421" s="6"/>
      <c r="ZQ421" s="6"/>
      <c r="ZR421" s="6"/>
      <c r="ZS421" s="6"/>
      <c r="ZT421" s="6"/>
      <c r="ZU421" s="6"/>
      <c r="ZV421" s="6"/>
      <c r="ZW421" s="6"/>
      <c r="ZX421" s="6"/>
      <c r="ZY421" s="6"/>
      <c r="ZZ421" s="6"/>
      <c r="AAA421" s="6"/>
      <c r="AAB421" s="6"/>
      <c r="AAC421" s="6"/>
      <c r="AAD421" s="6"/>
      <c r="AAE421" s="6"/>
      <c r="AAF421" s="6"/>
      <c r="AAG421" s="6"/>
      <c r="AAH421" s="6"/>
      <c r="AAI421" s="6"/>
      <c r="AAJ421" s="6"/>
      <c r="AAK421" s="6"/>
      <c r="AAL421" s="6"/>
      <c r="AAM421" s="6"/>
      <c r="AAN421" s="6"/>
      <c r="AAO421" s="6"/>
      <c r="AAP421" s="6"/>
      <c r="AAQ421" s="6"/>
      <c r="AAR421" s="6"/>
      <c r="AAS421" s="6"/>
      <c r="AAT421" s="6"/>
      <c r="AAU421" s="6"/>
      <c r="AAV421" s="6"/>
      <c r="AAW421" s="6"/>
      <c r="AAX421" s="6"/>
      <c r="AAY421" s="6"/>
      <c r="AAZ421" s="6"/>
      <c r="ABA421" s="6"/>
      <c r="ABB421" s="6"/>
      <c r="ABC421" s="6"/>
      <c r="ABD421" s="6"/>
      <c r="ABE421" s="6"/>
      <c r="ABF421" s="6"/>
      <c r="ABG421" s="6"/>
      <c r="ABH421" s="6"/>
      <c r="ABI421" s="6"/>
      <c r="ABJ421" s="6"/>
      <c r="ABK421" s="6"/>
      <c r="ABL421" s="6"/>
      <c r="ABM421" s="6"/>
      <c r="ABN421" s="6"/>
      <c r="ABO421" s="6"/>
      <c r="ABP421" s="6"/>
      <c r="ABQ421" s="6"/>
      <c r="ABR421" s="6"/>
      <c r="ABS421" s="6"/>
      <c r="ABT421" s="6"/>
      <c r="ABU421" s="6"/>
      <c r="ABV421" s="6"/>
      <c r="ABW421" s="6"/>
      <c r="ABX421" s="6"/>
      <c r="ABY421" s="6"/>
      <c r="ABZ421" s="6"/>
      <c r="ACA421" s="6"/>
      <c r="ACB421" s="6"/>
      <c r="ACC421" s="6"/>
      <c r="ACD421" s="6"/>
      <c r="ACE421" s="6"/>
      <c r="ACF421" s="6"/>
      <c r="ACG421" s="6"/>
      <c r="ACH421" s="6"/>
      <c r="ACI421" s="6"/>
      <c r="ACJ421" s="6"/>
      <c r="ACK421" s="6"/>
      <c r="ACL421" s="6"/>
      <c r="ACM421" s="6"/>
      <c r="ACN421" s="6"/>
      <c r="ACO421" s="6"/>
      <c r="ACP421" s="6"/>
      <c r="ACQ421" s="6"/>
      <c r="ACR421" s="6"/>
      <c r="ACS421" s="6"/>
      <c r="ACT421" s="6"/>
      <c r="ACU421" s="6"/>
      <c r="ACV421" s="6"/>
      <c r="ACW421" s="6"/>
      <c r="ACX421" s="6"/>
      <c r="ACY421" s="6"/>
      <c r="ACZ421" s="6"/>
      <c r="ADA421" s="6"/>
      <c r="ADB421" s="6"/>
      <c r="ADC421" s="6"/>
      <c r="ADD421" s="6"/>
      <c r="ADE421" s="6"/>
      <c r="ADF421" s="6"/>
      <c r="ADG421" s="6"/>
      <c r="ADH421" s="6"/>
      <c r="ADI421" s="6"/>
      <c r="ADJ421" s="6"/>
      <c r="ADK421" s="6"/>
      <c r="ADL421" s="6"/>
      <c r="ADM421" s="6"/>
      <c r="ADN421" s="6"/>
      <c r="ADO421" s="6"/>
      <c r="ADP421" s="6"/>
      <c r="ADQ421" s="6"/>
      <c r="ADR421" s="6"/>
      <c r="ADS421" s="6"/>
      <c r="ADT421" s="6"/>
      <c r="ADU421" s="6"/>
      <c r="ADV421" s="6"/>
      <c r="ADW421" s="6"/>
      <c r="ADX421" s="6"/>
      <c r="ADY421" s="6"/>
      <c r="ADZ421" s="6"/>
      <c r="AEA421" s="6"/>
      <c r="AEB421" s="6"/>
      <c r="AEC421" s="6"/>
      <c r="AED421" s="6"/>
      <c r="AEE421" s="6"/>
      <c r="AEF421" s="6"/>
      <c r="AEG421" s="6"/>
      <c r="AEH421" s="6"/>
      <c r="AEI421" s="6"/>
      <c r="AEJ421" s="6"/>
      <c r="AEK421" s="6"/>
      <c r="AEL421" s="6"/>
      <c r="AEM421" s="6"/>
      <c r="AEN421" s="6"/>
      <c r="AEO421" s="6"/>
      <c r="AEP421" s="6"/>
      <c r="AEQ421" s="6"/>
      <c r="AER421" s="6"/>
      <c r="AES421" s="6"/>
      <c r="AET421" s="6"/>
      <c r="AEU421" s="6"/>
      <c r="AEV421" s="6"/>
      <c r="AEW421" s="6"/>
      <c r="AEX421" s="6"/>
      <c r="AEY421" s="6"/>
      <c r="AEZ421" s="6"/>
      <c r="AFA421" s="6"/>
      <c r="AFB421" s="6"/>
      <c r="AFC421" s="6"/>
      <c r="AFD421" s="6"/>
      <c r="AFE421" s="6"/>
      <c r="AFF421" s="6"/>
      <c r="AFG421" s="6"/>
      <c r="AFH421" s="6"/>
      <c r="AFI421" s="6"/>
      <c r="AFJ421" s="6"/>
      <c r="AFK421" s="6"/>
      <c r="AFL421" s="6"/>
      <c r="AFM421" s="6"/>
      <c r="AFN421" s="6"/>
      <c r="AFO421" s="6"/>
      <c r="AFP421" s="6"/>
      <c r="AFQ421" s="6"/>
      <c r="AFR421" s="6"/>
      <c r="AFS421" s="6"/>
      <c r="AFT421" s="6"/>
      <c r="AFU421" s="6"/>
      <c r="AFV421" s="6"/>
      <c r="AFW421" s="6"/>
      <c r="AFX421" s="6"/>
      <c r="AFY421" s="6"/>
      <c r="AFZ421" s="6"/>
      <c r="AGA421" s="6"/>
      <c r="AGB421" s="6"/>
      <c r="AGC421" s="6"/>
      <c r="AGD421" s="6"/>
      <c r="AGE421" s="6"/>
      <c r="AGF421" s="6"/>
      <c r="AGG421" s="6"/>
      <c r="AGH421" s="6"/>
      <c r="AGI421" s="6"/>
      <c r="AGJ421" s="6"/>
      <c r="AGK421" s="6"/>
      <c r="AGL421" s="6"/>
      <c r="AGM421" s="6"/>
      <c r="AGN421" s="6"/>
      <c r="AGO421" s="6"/>
      <c r="AGP421" s="6"/>
      <c r="AGQ421" s="6"/>
      <c r="AGR421" s="6"/>
      <c r="AGS421" s="6"/>
      <c r="AGT421" s="6"/>
      <c r="AGU421" s="6"/>
      <c r="AGV421" s="6"/>
      <c r="AGW421" s="6"/>
      <c r="AGX421" s="6"/>
      <c r="AGY421" s="6"/>
      <c r="AGZ421" s="6"/>
      <c r="AHA421" s="6"/>
      <c r="AHB421" s="6"/>
      <c r="AHC421" s="6"/>
      <c r="AHD421" s="6"/>
      <c r="AHE421" s="6"/>
      <c r="AHF421" s="6"/>
      <c r="AHG421" s="6"/>
      <c r="AHH421" s="6"/>
      <c r="AHI421" s="6"/>
      <c r="AHJ421" s="6"/>
      <c r="AHK421" s="6"/>
      <c r="AHL421" s="6"/>
      <c r="AHM421" s="6"/>
      <c r="AHN421" s="6"/>
      <c r="AHO421" s="6"/>
      <c r="AHP421" s="6"/>
      <c r="AHQ421" s="6"/>
      <c r="AHR421" s="6"/>
      <c r="AHS421" s="6"/>
      <c r="AHT421" s="6"/>
      <c r="AHU421" s="6"/>
      <c r="AHV421" s="6"/>
      <c r="AHW421" s="6"/>
      <c r="AHX421" s="6"/>
      <c r="AHY421" s="6"/>
      <c r="AHZ421" s="6"/>
      <c r="AIA421" s="6"/>
      <c r="AIB421" s="6"/>
      <c r="AIC421" s="6"/>
      <c r="AID421" s="6"/>
      <c r="AIE421" s="6"/>
      <c r="AIF421" s="6"/>
      <c r="AIG421" s="6"/>
      <c r="AIH421" s="6"/>
      <c r="AII421" s="6"/>
      <c r="AIJ421" s="6"/>
      <c r="AIK421" s="6"/>
      <c r="AIL421" s="6"/>
      <c r="AIM421" s="6"/>
      <c r="AIN421" s="6"/>
      <c r="AIO421" s="6"/>
      <c r="AIP421" s="6"/>
      <c r="AIQ421" s="6"/>
      <c r="AIR421" s="6"/>
      <c r="AIS421" s="6"/>
      <c r="AIT421" s="6"/>
      <c r="AIU421" s="6"/>
      <c r="AIV421" s="6"/>
      <c r="AIW421" s="6"/>
      <c r="AIX421" s="6"/>
      <c r="AIY421" s="6"/>
      <c r="AIZ421" s="6"/>
      <c r="AJA421" s="6"/>
      <c r="AJB421" s="6"/>
      <c r="AJC421" s="6"/>
      <c r="AJD421" s="6"/>
      <c r="AJE421" s="6"/>
      <c r="AJF421" s="6"/>
      <c r="AJG421" s="6"/>
      <c r="AJH421" s="6"/>
      <c r="AJI421" s="6"/>
      <c r="AJJ421" s="6"/>
      <c r="AJK421" s="6"/>
      <c r="AJL421" s="6"/>
      <c r="AJM421" s="6"/>
      <c r="AJN421" s="6"/>
      <c r="AJO421" s="6"/>
      <c r="AJP421" s="6"/>
      <c r="AJQ421" s="6"/>
      <c r="AJR421" s="6"/>
      <c r="AJS421" s="6"/>
      <c r="AJT421" s="6"/>
      <c r="AJU421" s="6"/>
      <c r="AJV421" s="6"/>
      <c r="AJW421" s="6"/>
      <c r="AJX421" s="6"/>
      <c r="AJY421" s="6"/>
      <c r="AJZ421" s="6"/>
      <c r="AKA421" s="6"/>
      <c r="AKB421" s="6"/>
      <c r="AKC421" s="6"/>
      <c r="AKD421" s="6"/>
      <c r="AKE421" s="6"/>
      <c r="AKF421" s="6"/>
      <c r="AKG421" s="6"/>
      <c r="AKH421" s="6"/>
      <c r="AKI421" s="6"/>
      <c r="AKJ421" s="6"/>
      <c r="AKK421" s="6"/>
      <c r="AKL421" s="6"/>
      <c r="AKM421" s="6"/>
      <c r="AKN421" s="6"/>
      <c r="AKO421" s="6"/>
      <c r="AKP421" s="6"/>
      <c r="AKQ421" s="6"/>
      <c r="AKR421" s="6"/>
      <c r="AKS421" s="6"/>
      <c r="AKT421" s="6"/>
      <c r="AKU421" s="6"/>
      <c r="AKV421" s="6"/>
      <c r="AKW421" s="6"/>
      <c r="AKX421" s="6"/>
      <c r="AKY421" s="6"/>
      <c r="AKZ421" s="6"/>
      <c r="ALA421" s="6"/>
      <c r="ALB421" s="6"/>
      <c r="ALC421" s="6"/>
      <c r="ALD421" s="6"/>
      <c r="ALE421" s="6"/>
      <c r="ALF421" s="6"/>
      <c r="ALG421" s="6"/>
      <c r="ALH421" s="6"/>
      <c r="ALI421" s="6"/>
      <c r="ALJ421" s="6"/>
      <c r="ALK421" s="6"/>
      <c r="ALL421" s="6"/>
      <c r="ALM421" s="6"/>
      <c r="ALN421" s="6"/>
      <c r="ALO421" s="6"/>
      <c r="ALP421" s="6"/>
      <c r="ALQ421" s="6"/>
      <c r="ALR421" s="6"/>
      <c r="ALS421" s="6"/>
      <c r="ALT421" s="6"/>
      <c r="ALU421" s="6"/>
      <c r="ALV421" s="6"/>
      <c r="ALW421" s="6"/>
      <c r="ALX421" s="6"/>
      <c r="ALY421" s="6"/>
      <c r="ALZ421" s="6"/>
      <c r="AMA421" s="6"/>
      <c r="AMB421" s="6"/>
      <c r="AMC421" s="6"/>
      <c r="AMD421" s="6"/>
      <c r="AME421" s="6"/>
      <c r="AMF421" s="6"/>
      <c r="AMG421" s="6"/>
      <c r="AMH421" s="6"/>
      <c r="AMI421" s="6"/>
      <c r="AMJ421" s="6"/>
      <c r="AMK421" s="6"/>
      <c r="AML421" s="6"/>
      <c r="AMM421" s="6"/>
      <c r="AMN421" s="6"/>
      <c r="AMO421" s="6"/>
      <c r="AMP421" s="6"/>
    </row>
    <row r="422" spans="1:1030" x14ac:dyDescent="0.2">
      <c r="A422" s="3" t="str">
        <f t="shared" ref="A422" si="3885">CONCATENATE(B422,"_",C422)</f>
        <v>calrl_human_6UUS</v>
      </c>
      <c r="B422" s="2" t="s">
        <v>401</v>
      </c>
      <c r="C422" s="3" t="s">
        <v>1669</v>
      </c>
      <c r="D422" s="3" t="str">
        <f>IFERROR(MID(VLOOKUP($B422,Seqs!$A:$B,2,0),E422,1),"")</f>
        <v>T</v>
      </c>
      <c r="E422" s="3">
        <v>131</v>
      </c>
      <c r="F422" s="3" t="str">
        <f>IFERROR(MID(VLOOKUP($B422,Seqs!$A:$B,2,0),G422,1),"")</f>
        <v>F</v>
      </c>
      <c r="G422" s="3">
        <v>166</v>
      </c>
      <c r="H422" s="3" t="str">
        <f>IFERROR(MID(VLOOKUP($B422,Seqs!$A:$B,2,0),I422,1),"")</f>
        <v>K</v>
      </c>
      <c r="I422" s="23">
        <v>167</v>
      </c>
      <c r="J422" s="3" t="str">
        <f>IFERROR(MID(VLOOKUP($B422,Seqs!$A:$B,2,0),K422,1),"")</f>
        <v>S</v>
      </c>
      <c r="K422" s="23">
        <v>170</v>
      </c>
      <c r="L422" s="3" t="str">
        <f>IFERROR(MID(VLOOKUP($B422,Seqs!$A:$B,2,0),M422,1),"")</f>
        <v>C</v>
      </c>
      <c r="M422" s="3">
        <v>171</v>
      </c>
      <c r="N422" s="3" t="str">
        <f>IFERROR(MID(VLOOKUP($B422,Seqs!$A:$B,2,0),O422,1),"")</f>
        <v>V</v>
      </c>
      <c r="O422" s="3">
        <v>198</v>
      </c>
      <c r="P422" s="3" t="str">
        <f>IFERROR(MID(VLOOKUP($B422,Seqs!$A:$B,2,0),Q422,1),"")</f>
        <v/>
      </c>
      <c r="Q422" s="3" t="s">
        <v>23</v>
      </c>
      <c r="R422" s="3" t="str">
        <f>IFERROR(MID(VLOOKUP($B422,Seqs!$A:$B,2,0),S422,1),"")</f>
        <v/>
      </c>
      <c r="S422" s="3" t="s">
        <v>23</v>
      </c>
      <c r="T422" s="3" t="str">
        <f>IFERROR(MID(VLOOKUP($B422,Seqs!$A:$B,2,0),U422,1),"")</f>
        <v>V</v>
      </c>
      <c r="U422" s="3">
        <v>210</v>
      </c>
      <c r="V422" s="3" t="str">
        <f>IFERROR(MID(VLOOKUP($B422,Seqs!$A:$B,2,0),W422,1),"")</f>
        <v>V</v>
      </c>
      <c r="W422" s="3">
        <v>243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L</v>
      </c>
      <c r="AC422" s="3">
        <v>252</v>
      </c>
      <c r="AD422" s="3" t="str">
        <f>IFERROR(MID(VLOOKUP($B422,Seqs!$A:$B,2,0),AE422,1),"")</f>
        <v>Y</v>
      </c>
      <c r="AE422" s="3">
        <v>278</v>
      </c>
      <c r="AF422" s="3" t="str">
        <f>IFERROR(MID(VLOOKUP($B422,Seqs!$A:$B,2,0),AG422,1),"")</f>
        <v>C</v>
      </c>
      <c r="AG422" s="3">
        <v>282</v>
      </c>
      <c r="AH422" s="3" t="str">
        <f>IFERROR(MID(VLOOKUP($B422,Seqs!$A:$B,2,0),AI422,1),"")</f>
        <v>I</v>
      </c>
      <c r="AI422" s="3">
        <v>284</v>
      </c>
      <c r="AJ422" s="3" t="str">
        <f>IFERROR(MID(VLOOKUP($B422,Seqs!$A:$B,2,0),AK422,1),"")</f>
        <v>H</v>
      </c>
      <c r="AK422" s="3">
        <v>289</v>
      </c>
      <c r="AL422" s="3" t="str">
        <f>IFERROR(MID(VLOOKUP($B422,Seqs!$A:$B,2,0),AM422,1),"")</f>
        <v>K</v>
      </c>
      <c r="AM422" s="3">
        <v>321</v>
      </c>
      <c r="AN422" s="3" t="str">
        <f>IFERROR(MID(VLOOKUP($B422,Seqs!$A:$B,2,0),AO422,1),"")</f>
        <v>L</v>
      </c>
      <c r="AO422" s="3">
        <v>330</v>
      </c>
      <c r="AP422" s="3" t="str">
        <f>IFERROR(MID(VLOOKUP($B422,Seqs!$A:$B,2,0),AQ422,1),"")</f>
        <v>L</v>
      </c>
      <c r="AQ422" s="3">
        <v>351</v>
      </c>
      <c r="AR422" s="3" t="str">
        <f>IFERROR(MID(VLOOKUP($B422,Seqs!$A:$B,2,0),AS422,1),"")</f>
        <v>V</v>
      </c>
      <c r="AS422" s="3">
        <v>364</v>
      </c>
      <c r="AT422" s="3" t="str">
        <f>IFERROR(MID(VLOOKUP($B422,Seqs!$A:$B,2,0),AU422,1),"")</f>
        <v>F</v>
      </c>
      <c r="AU422" s="3">
        <v>387</v>
      </c>
      <c r="AV422" s="3" t="str">
        <f>IFERROR(MID(VLOOKUP($B422,Seqs!$A:$B,2,0),AW422,1),"")</f>
        <v>N</v>
      </c>
      <c r="AW422" s="3">
        <v>388</v>
      </c>
      <c r="AX422" s="3" t="str">
        <f>IFERROR(MID(VLOOKUP($B422,Seqs!$A:$B,2,0),AY422,1),"")</f>
        <v>W</v>
      </c>
      <c r="AY422" s="3">
        <v>399</v>
      </c>
      <c r="AZ422" s="77" t="str">
        <f>VLOOKUP(B422,Classification!A:D,2,0)</f>
        <v>B1</v>
      </c>
      <c r="BA422" s="94" t="str">
        <f>VLOOKUP(B422,Classification!A:D,4,0)</f>
        <v>Calcitonin</v>
      </c>
      <c r="BB422" s="27" t="b">
        <f t="shared" ref="BB422" si="3886">AND(E422&lt;G422,OR(G422&lt;I422,I422="-"),OR(I422&lt;K422,I422="-"),OR(K422&lt;M422,K422="-"),M422&lt;O422,OR(O422&lt;Q422,Q422="-"),OR(Q422&lt;S422,Q422="-"),OR(S422&lt;U422,S422="-"),U422&lt;W422,OR(W422&lt;Y422,Y422="-"),OR(Y422&lt;AA422,Y422="-"),OR(AA422&lt;AC422,AA422="-"),AC422&lt;AE422,OR(AE422&lt;AG422,AG422="-"),OR(AG422&lt;AI422,AG422="-"),OR(AI422&lt;AK422,AI422="-"),AK422&lt;AM422,AM422&lt;AO422,AO422&lt;AQ422,AQ422&lt;AS422,AS422&lt;AU422,OR(AU422&lt;AW422,AW422="-"),OR(AW422&lt;AY422,AW422="-"))</f>
        <v>1</v>
      </c>
      <c r="BC422" s="23">
        <f t="shared" ref="BC422" si="3887">_xlfn.AGGREGATE(9,6,CH422:CS422)-_xlfn.AGGREGATE(9,6,BV422:CG422)+12</f>
        <v>225</v>
      </c>
      <c r="BD422" s="4" t="s">
        <v>1371</v>
      </c>
      <c r="BE422" s="3" t="s">
        <v>1287</v>
      </c>
      <c r="BF422" s="118">
        <v>2.4</v>
      </c>
      <c r="BG422" s="49" t="s">
        <v>1418</v>
      </c>
      <c r="BH422" s="49" t="s">
        <v>1418</v>
      </c>
      <c r="BI422" s="1"/>
      <c r="BJ422" s="70" t="s">
        <v>1283</v>
      </c>
      <c r="BK422" s="57" t="s">
        <v>1283</v>
      </c>
      <c r="BL422" s="57" t="s">
        <v>1283</v>
      </c>
      <c r="BM422" s="57" t="s">
        <v>1283</v>
      </c>
      <c r="BN422" s="57" t="s">
        <v>1283</v>
      </c>
      <c r="BO422" s="57" t="s">
        <v>1283</v>
      </c>
      <c r="BP422" s="57" t="s">
        <v>1283</v>
      </c>
      <c r="BQ422" s="57" t="s">
        <v>1283</v>
      </c>
      <c r="BR422" s="57" t="s">
        <v>1283</v>
      </c>
      <c r="BS422" s="57" t="s">
        <v>1283</v>
      </c>
      <c r="BT422" s="57" t="s">
        <v>1283</v>
      </c>
      <c r="BU422" s="57" t="s">
        <v>1283</v>
      </c>
      <c r="BV422" s="70">
        <f t="shared" ref="BV422" si="3888">E422</f>
        <v>131</v>
      </c>
      <c r="BW422" s="71">
        <f t="shared" ref="BW422" si="3889">I422</f>
        <v>167</v>
      </c>
      <c r="BX422" s="72">
        <f t="shared" ref="BX422" si="3890">M422</f>
        <v>171</v>
      </c>
      <c r="BY422" s="71" t="str">
        <f t="shared" ref="BY422" si="3891">Q422</f>
        <v>-</v>
      </c>
      <c r="BZ422" s="72">
        <f t="shared" ref="BZ422" si="3892">U422</f>
        <v>210</v>
      </c>
      <c r="CA422" s="71" t="str">
        <f t="shared" ref="CA422" si="3893">Y422</f>
        <v>-</v>
      </c>
      <c r="CB422" s="72">
        <f t="shared" ref="CB422" si="3894">AC422</f>
        <v>252</v>
      </c>
      <c r="CC422" s="71">
        <f t="shared" ref="CC422" si="3895">AG422</f>
        <v>282</v>
      </c>
      <c r="CD422" s="72">
        <f t="shared" ref="CD422" si="3896">AK422</f>
        <v>289</v>
      </c>
      <c r="CE422" s="71">
        <f t="shared" ref="CE422" si="3897">AO422</f>
        <v>330</v>
      </c>
      <c r="CF422" s="72">
        <f t="shared" ref="CF422" si="3898">AS422</f>
        <v>364</v>
      </c>
      <c r="CG422" s="71">
        <f t="shared" ref="CG422" si="3899">AW422</f>
        <v>388</v>
      </c>
      <c r="CH422" s="70">
        <f t="shared" ref="CH422" si="3900">G422</f>
        <v>166</v>
      </c>
      <c r="CI422" s="71">
        <f t="shared" ref="CI422" si="3901">K422</f>
        <v>170</v>
      </c>
      <c r="CJ422" s="72">
        <f t="shared" ref="CJ422" si="3902">O422</f>
        <v>198</v>
      </c>
      <c r="CK422" s="72" t="str">
        <f t="shared" ref="CK422" si="3903">S422</f>
        <v>-</v>
      </c>
      <c r="CL422" s="72">
        <f t="shared" ref="CL422" si="3904">W422</f>
        <v>243</v>
      </c>
      <c r="CM422" s="72" t="str">
        <f t="shared" ref="CM422" si="3905">AA422</f>
        <v>-</v>
      </c>
      <c r="CN422" s="72">
        <f t="shared" ref="CN422" si="3906">AE422</f>
        <v>278</v>
      </c>
      <c r="CO422" s="72">
        <f t="shared" ref="CO422" si="3907">AI422</f>
        <v>284</v>
      </c>
      <c r="CP422" s="72">
        <f t="shared" ref="CP422" si="3908">AM422</f>
        <v>321</v>
      </c>
      <c r="CQ422" s="72">
        <f t="shared" ref="CQ422" si="3909">AQ422</f>
        <v>351</v>
      </c>
      <c r="CR422" s="72">
        <f t="shared" ref="CR422" si="3910">AU422</f>
        <v>387</v>
      </c>
      <c r="CS422" s="72">
        <f t="shared" ref="CS422" si="3911">AY422</f>
        <v>399</v>
      </c>
      <c r="CT422" s="23">
        <f t="shared" ref="CT422" si="3912">M422-K422</f>
        <v>1</v>
      </c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  <c r="TE422" s="6"/>
      <c r="TF422" s="6"/>
      <c r="TG422" s="6"/>
      <c r="TH422" s="6"/>
      <c r="TI422" s="6"/>
      <c r="TJ422" s="6"/>
      <c r="TK422" s="6"/>
      <c r="TL422" s="6"/>
      <c r="TM422" s="6"/>
      <c r="TN422" s="6"/>
      <c r="TO422" s="6"/>
      <c r="TP422" s="6"/>
      <c r="TQ422" s="6"/>
      <c r="TR422" s="6"/>
      <c r="TS422" s="6"/>
      <c r="TT422" s="6"/>
      <c r="TU422" s="6"/>
      <c r="TV422" s="6"/>
      <c r="TW422" s="6"/>
      <c r="TX422" s="6"/>
      <c r="TY422" s="6"/>
      <c r="TZ422" s="6"/>
      <c r="UA422" s="6"/>
      <c r="UB422" s="6"/>
      <c r="UC422" s="6"/>
      <c r="UD422" s="6"/>
      <c r="UE422" s="6"/>
      <c r="UF422" s="6"/>
      <c r="UG422" s="6"/>
      <c r="UH422" s="6"/>
      <c r="UI422" s="6"/>
      <c r="UJ422" s="6"/>
      <c r="UK422" s="6"/>
      <c r="UL422" s="6"/>
      <c r="UM422" s="6"/>
      <c r="UN422" s="6"/>
      <c r="UO422" s="6"/>
      <c r="UP422" s="6"/>
      <c r="UQ422" s="6"/>
      <c r="UR422" s="6"/>
      <c r="US422" s="6"/>
      <c r="UT422" s="6"/>
      <c r="UU422" s="6"/>
      <c r="UV422" s="6"/>
      <c r="UW422" s="6"/>
      <c r="UX422" s="6"/>
      <c r="UY422" s="6"/>
      <c r="UZ422" s="6"/>
      <c r="VA422" s="6"/>
      <c r="VB422" s="6"/>
      <c r="VC422" s="6"/>
      <c r="VD422" s="6"/>
      <c r="VE422" s="6"/>
      <c r="VF422" s="6"/>
      <c r="VG422" s="6"/>
      <c r="VH422" s="6"/>
      <c r="VI422" s="6"/>
      <c r="VJ422" s="6"/>
      <c r="VK422" s="6"/>
      <c r="VL422" s="6"/>
      <c r="VM422" s="6"/>
      <c r="VN422" s="6"/>
      <c r="VO422" s="6"/>
      <c r="VP422" s="6"/>
      <c r="VQ422" s="6"/>
      <c r="VR422" s="6"/>
      <c r="VS422" s="6"/>
      <c r="VT422" s="6"/>
      <c r="VU422" s="6"/>
      <c r="VV422" s="6"/>
      <c r="VW422" s="6"/>
      <c r="VX422" s="6"/>
      <c r="VY422" s="6"/>
      <c r="VZ422" s="6"/>
      <c r="WA422" s="6"/>
      <c r="WB422" s="6"/>
      <c r="WC422" s="6"/>
      <c r="WD422" s="6"/>
      <c r="WE422" s="6"/>
      <c r="WF422" s="6"/>
      <c r="WG422" s="6"/>
      <c r="WH422" s="6"/>
      <c r="WI422" s="6"/>
      <c r="WJ422" s="6"/>
      <c r="WK422" s="6"/>
      <c r="WL422" s="6"/>
      <c r="WM422" s="6"/>
      <c r="WN422" s="6"/>
      <c r="WO422" s="6"/>
      <c r="WP422" s="6"/>
      <c r="WQ422" s="6"/>
      <c r="WR422" s="6"/>
      <c r="WS422" s="6"/>
      <c r="WT422" s="6"/>
      <c r="WU422" s="6"/>
      <c r="WV422" s="6"/>
      <c r="WW422" s="6"/>
      <c r="WX422" s="6"/>
      <c r="WY422" s="6"/>
      <c r="WZ422" s="6"/>
      <c r="XA422" s="6"/>
      <c r="XB422" s="6"/>
      <c r="XC422" s="6"/>
      <c r="XD422" s="6"/>
      <c r="XE422" s="6"/>
      <c r="XF422" s="6"/>
      <c r="XG422" s="6"/>
      <c r="XH422" s="6"/>
      <c r="XI422" s="6"/>
      <c r="XJ422" s="6"/>
      <c r="XK422" s="6"/>
      <c r="XL422" s="6"/>
      <c r="XM422" s="6"/>
      <c r="XN422" s="6"/>
      <c r="XO422" s="6"/>
      <c r="XP422" s="6"/>
      <c r="XQ422" s="6"/>
      <c r="XR422" s="6"/>
      <c r="XS422" s="6"/>
      <c r="XT422" s="6"/>
      <c r="XU422" s="6"/>
      <c r="XV422" s="6"/>
      <c r="XW422" s="6"/>
      <c r="XX422" s="6"/>
      <c r="XY422" s="6"/>
      <c r="XZ422" s="6"/>
      <c r="YA422" s="6"/>
      <c r="YB422" s="6"/>
      <c r="YC422" s="6"/>
      <c r="YD422" s="6"/>
      <c r="YE422" s="6"/>
      <c r="YF422" s="6"/>
      <c r="YG422" s="6"/>
      <c r="YH422" s="6"/>
      <c r="YI422" s="6"/>
      <c r="YJ422" s="6"/>
      <c r="YK422" s="6"/>
      <c r="YL422" s="6"/>
      <c r="YM422" s="6"/>
      <c r="YN422" s="6"/>
      <c r="YO422" s="6"/>
      <c r="YP422" s="6"/>
      <c r="YQ422" s="6"/>
      <c r="YR422" s="6"/>
      <c r="YS422" s="6"/>
      <c r="YT422" s="6"/>
      <c r="YU422" s="6"/>
      <c r="YV422" s="6"/>
      <c r="YW422" s="6"/>
      <c r="YX422" s="6"/>
      <c r="YY422" s="6"/>
      <c r="YZ422" s="6"/>
      <c r="ZA422" s="6"/>
      <c r="ZB422" s="6"/>
      <c r="ZC422" s="6"/>
      <c r="ZD422" s="6"/>
      <c r="ZE422" s="6"/>
      <c r="ZF422" s="6"/>
      <c r="ZG422" s="6"/>
      <c r="ZH422" s="6"/>
      <c r="ZI422" s="6"/>
      <c r="ZJ422" s="6"/>
      <c r="ZK422" s="6"/>
      <c r="ZL422" s="6"/>
      <c r="ZM422" s="6"/>
      <c r="ZN422" s="6"/>
      <c r="ZO422" s="6"/>
      <c r="ZP422" s="6"/>
      <c r="ZQ422" s="6"/>
      <c r="ZR422" s="6"/>
      <c r="ZS422" s="6"/>
      <c r="ZT422" s="6"/>
      <c r="ZU422" s="6"/>
      <c r="ZV422" s="6"/>
      <c r="ZW422" s="6"/>
      <c r="ZX422" s="6"/>
      <c r="ZY422" s="6"/>
      <c r="ZZ422" s="6"/>
      <c r="AAA422" s="6"/>
      <c r="AAB422" s="6"/>
      <c r="AAC422" s="6"/>
      <c r="AAD422" s="6"/>
      <c r="AAE422" s="6"/>
      <c r="AAF422" s="6"/>
      <c r="AAG422" s="6"/>
      <c r="AAH422" s="6"/>
      <c r="AAI422" s="6"/>
      <c r="AAJ422" s="6"/>
      <c r="AAK422" s="6"/>
      <c r="AAL422" s="6"/>
      <c r="AAM422" s="6"/>
      <c r="AAN422" s="6"/>
      <c r="AAO422" s="6"/>
      <c r="AAP422" s="6"/>
      <c r="AAQ422" s="6"/>
      <c r="AAR422" s="6"/>
      <c r="AAS422" s="6"/>
      <c r="AAT422" s="6"/>
      <c r="AAU422" s="6"/>
      <c r="AAV422" s="6"/>
      <c r="AAW422" s="6"/>
      <c r="AAX422" s="6"/>
      <c r="AAY422" s="6"/>
      <c r="AAZ422" s="6"/>
      <c r="ABA422" s="6"/>
      <c r="ABB422" s="6"/>
      <c r="ABC422" s="6"/>
      <c r="ABD422" s="6"/>
      <c r="ABE422" s="6"/>
      <c r="ABF422" s="6"/>
      <c r="ABG422" s="6"/>
      <c r="ABH422" s="6"/>
      <c r="ABI422" s="6"/>
      <c r="ABJ422" s="6"/>
      <c r="ABK422" s="6"/>
      <c r="ABL422" s="6"/>
      <c r="ABM422" s="6"/>
      <c r="ABN422" s="6"/>
      <c r="ABO422" s="6"/>
      <c r="ABP422" s="6"/>
      <c r="ABQ422" s="6"/>
      <c r="ABR422" s="6"/>
      <c r="ABS422" s="6"/>
      <c r="ABT422" s="6"/>
      <c r="ABU422" s="6"/>
      <c r="ABV422" s="6"/>
      <c r="ABW422" s="6"/>
      <c r="ABX422" s="6"/>
      <c r="ABY422" s="6"/>
      <c r="ABZ422" s="6"/>
      <c r="ACA422" s="6"/>
      <c r="ACB422" s="6"/>
      <c r="ACC422" s="6"/>
      <c r="ACD422" s="6"/>
      <c r="ACE422" s="6"/>
      <c r="ACF422" s="6"/>
      <c r="ACG422" s="6"/>
      <c r="ACH422" s="6"/>
      <c r="ACI422" s="6"/>
      <c r="ACJ422" s="6"/>
      <c r="ACK422" s="6"/>
      <c r="ACL422" s="6"/>
      <c r="ACM422" s="6"/>
      <c r="ACN422" s="6"/>
      <c r="ACO422" s="6"/>
      <c r="ACP422" s="6"/>
      <c r="ACQ422" s="6"/>
      <c r="ACR422" s="6"/>
      <c r="ACS422" s="6"/>
      <c r="ACT422" s="6"/>
      <c r="ACU422" s="6"/>
      <c r="ACV422" s="6"/>
      <c r="ACW422" s="6"/>
      <c r="ACX422" s="6"/>
      <c r="ACY422" s="6"/>
      <c r="ACZ422" s="6"/>
      <c r="ADA422" s="6"/>
      <c r="ADB422" s="6"/>
      <c r="ADC422" s="6"/>
      <c r="ADD422" s="6"/>
      <c r="ADE422" s="6"/>
      <c r="ADF422" s="6"/>
      <c r="ADG422" s="6"/>
      <c r="ADH422" s="6"/>
      <c r="ADI422" s="6"/>
      <c r="ADJ422" s="6"/>
      <c r="ADK422" s="6"/>
      <c r="ADL422" s="6"/>
      <c r="ADM422" s="6"/>
      <c r="ADN422" s="6"/>
      <c r="ADO422" s="6"/>
      <c r="ADP422" s="6"/>
      <c r="ADQ422" s="6"/>
      <c r="ADR422" s="6"/>
      <c r="ADS422" s="6"/>
      <c r="ADT422" s="6"/>
      <c r="ADU422" s="6"/>
      <c r="ADV422" s="6"/>
      <c r="ADW422" s="6"/>
      <c r="ADX422" s="6"/>
      <c r="ADY422" s="6"/>
      <c r="ADZ422" s="6"/>
      <c r="AEA422" s="6"/>
      <c r="AEB422" s="6"/>
      <c r="AEC422" s="6"/>
      <c r="AED422" s="6"/>
      <c r="AEE422" s="6"/>
      <c r="AEF422" s="6"/>
      <c r="AEG422" s="6"/>
      <c r="AEH422" s="6"/>
      <c r="AEI422" s="6"/>
      <c r="AEJ422" s="6"/>
      <c r="AEK422" s="6"/>
      <c r="AEL422" s="6"/>
      <c r="AEM422" s="6"/>
      <c r="AEN422" s="6"/>
      <c r="AEO422" s="6"/>
      <c r="AEP422" s="6"/>
      <c r="AEQ422" s="6"/>
      <c r="AER422" s="6"/>
      <c r="AES422" s="6"/>
      <c r="AET422" s="6"/>
      <c r="AEU422" s="6"/>
      <c r="AEV422" s="6"/>
      <c r="AEW422" s="6"/>
      <c r="AEX422" s="6"/>
      <c r="AEY422" s="6"/>
      <c r="AEZ422" s="6"/>
      <c r="AFA422" s="6"/>
      <c r="AFB422" s="6"/>
      <c r="AFC422" s="6"/>
      <c r="AFD422" s="6"/>
      <c r="AFE422" s="6"/>
      <c r="AFF422" s="6"/>
      <c r="AFG422" s="6"/>
      <c r="AFH422" s="6"/>
      <c r="AFI422" s="6"/>
      <c r="AFJ422" s="6"/>
      <c r="AFK422" s="6"/>
      <c r="AFL422" s="6"/>
      <c r="AFM422" s="6"/>
      <c r="AFN422" s="6"/>
      <c r="AFO422" s="6"/>
      <c r="AFP422" s="6"/>
      <c r="AFQ422" s="6"/>
      <c r="AFR422" s="6"/>
      <c r="AFS422" s="6"/>
      <c r="AFT422" s="6"/>
      <c r="AFU422" s="6"/>
      <c r="AFV422" s="6"/>
      <c r="AFW422" s="6"/>
      <c r="AFX422" s="6"/>
      <c r="AFY422" s="6"/>
      <c r="AFZ422" s="6"/>
      <c r="AGA422" s="6"/>
      <c r="AGB422" s="6"/>
      <c r="AGC422" s="6"/>
      <c r="AGD422" s="6"/>
      <c r="AGE422" s="6"/>
      <c r="AGF422" s="6"/>
      <c r="AGG422" s="6"/>
      <c r="AGH422" s="6"/>
      <c r="AGI422" s="6"/>
      <c r="AGJ422" s="6"/>
      <c r="AGK422" s="6"/>
      <c r="AGL422" s="6"/>
      <c r="AGM422" s="6"/>
      <c r="AGN422" s="6"/>
      <c r="AGO422" s="6"/>
      <c r="AGP422" s="6"/>
      <c r="AGQ422" s="6"/>
      <c r="AGR422" s="6"/>
      <c r="AGS422" s="6"/>
      <c r="AGT422" s="6"/>
      <c r="AGU422" s="6"/>
      <c r="AGV422" s="6"/>
      <c r="AGW422" s="6"/>
      <c r="AGX422" s="6"/>
      <c r="AGY422" s="6"/>
      <c r="AGZ422" s="6"/>
      <c r="AHA422" s="6"/>
      <c r="AHB422" s="6"/>
      <c r="AHC422" s="6"/>
      <c r="AHD422" s="6"/>
      <c r="AHE422" s="6"/>
      <c r="AHF422" s="6"/>
      <c r="AHG422" s="6"/>
      <c r="AHH422" s="6"/>
      <c r="AHI422" s="6"/>
      <c r="AHJ422" s="6"/>
      <c r="AHK422" s="6"/>
      <c r="AHL422" s="6"/>
      <c r="AHM422" s="6"/>
      <c r="AHN422" s="6"/>
      <c r="AHO422" s="6"/>
      <c r="AHP422" s="6"/>
      <c r="AHQ422" s="6"/>
      <c r="AHR422" s="6"/>
      <c r="AHS422" s="6"/>
      <c r="AHT422" s="6"/>
      <c r="AHU422" s="6"/>
      <c r="AHV422" s="6"/>
      <c r="AHW422" s="6"/>
      <c r="AHX422" s="6"/>
      <c r="AHY422" s="6"/>
      <c r="AHZ422" s="6"/>
      <c r="AIA422" s="6"/>
      <c r="AIB422" s="6"/>
      <c r="AIC422" s="6"/>
      <c r="AID422" s="6"/>
      <c r="AIE422" s="6"/>
      <c r="AIF422" s="6"/>
      <c r="AIG422" s="6"/>
      <c r="AIH422" s="6"/>
      <c r="AII422" s="6"/>
      <c r="AIJ422" s="6"/>
      <c r="AIK422" s="6"/>
      <c r="AIL422" s="6"/>
      <c r="AIM422" s="6"/>
      <c r="AIN422" s="6"/>
      <c r="AIO422" s="6"/>
      <c r="AIP422" s="6"/>
      <c r="AIQ422" s="6"/>
      <c r="AIR422" s="6"/>
      <c r="AIS422" s="6"/>
      <c r="AIT422" s="6"/>
      <c r="AIU422" s="6"/>
      <c r="AIV422" s="6"/>
      <c r="AIW422" s="6"/>
      <c r="AIX422" s="6"/>
      <c r="AIY422" s="6"/>
      <c r="AIZ422" s="6"/>
      <c r="AJA422" s="6"/>
      <c r="AJB422" s="6"/>
      <c r="AJC422" s="6"/>
      <c r="AJD422" s="6"/>
      <c r="AJE422" s="6"/>
      <c r="AJF422" s="6"/>
      <c r="AJG422" s="6"/>
      <c r="AJH422" s="6"/>
      <c r="AJI422" s="6"/>
      <c r="AJJ422" s="6"/>
      <c r="AJK422" s="6"/>
      <c r="AJL422" s="6"/>
      <c r="AJM422" s="6"/>
      <c r="AJN422" s="6"/>
      <c r="AJO422" s="6"/>
      <c r="AJP422" s="6"/>
      <c r="AJQ422" s="6"/>
      <c r="AJR422" s="6"/>
      <c r="AJS422" s="6"/>
      <c r="AJT422" s="6"/>
      <c r="AJU422" s="6"/>
      <c r="AJV422" s="6"/>
      <c r="AJW422" s="6"/>
      <c r="AJX422" s="6"/>
      <c r="AJY422" s="6"/>
      <c r="AJZ422" s="6"/>
      <c r="AKA422" s="6"/>
      <c r="AKB422" s="6"/>
      <c r="AKC422" s="6"/>
      <c r="AKD422" s="6"/>
      <c r="AKE422" s="6"/>
      <c r="AKF422" s="6"/>
      <c r="AKG422" s="6"/>
      <c r="AKH422" s="6"/>
      <c r="AKI422" s="6"/>
      <c r="AKJ422" s="6"/>
      <c r="AKK422" s="6"/>
      <c r="AKL422" s="6"/>
      <c r="AKM422" s="6"/>
      <c r="AKN422" s="6"/>
      <c r="AKO422" s="6"/>
      <c r="AKP422" s="6"/>
      <c r="AKQ422" s="6"/>
      <c r="AKR422" s="6"/>
      <c r="AKS422" s="6"/>
      <c r="AKT422" s="6"/>
      <c r="AKU422" s="6"/>
      <c r="AKV422" s="6"/>
      <c r="AKW422" s="6"/>
      <c r="AKX422" s="6"/>
      <c r="AKY422" s="6"/>
      <c r="AKZ422" s="6"/>
      <c r="ALA422" s="6"/>
      <c r="ALB422" s="6"/>
      <c r="ALC422" s="6"/>
      <c r="ALD422" s="6"/>
      <c r="ALE422" s="6"/>
      <c r="ALF422" s="6"/>
      <c r="ALG422" s="6"/>
      <c r="ALH422" s="6"/>
      <c r="ALI422" s="6"/>
      <c r="ALJ422" s="6"/>
      <c r="ALK422" s="6"/>
      <c r="ALL422" s="6"/>
      <c r="ALM422" s="6"/>
      <c r="ALN422" s="6"/>
      <c r="ALO422" s="6"/>
      <c r="ALP422" s="6"/>
      <c r="ALQ422" s="6"/>
      <c r="ALR422" s="6"/>
      <c r="ALS422" s="6"/>
      <c r="ALT422" s="6"/>
      <c r="ALU422" s="6"/>
      <c r="ALV422" s="6"/>
      <c r="ALW422" s="6"/>
      <c r="ALX422" s="6"/>
      <c r="ALY422" s="6"/>
      <c r="ALZ422" s="6"/>
      <c r="AMA422" s="6"/>
      <c r="AMB422" s="6"/>
      <c r="AMC422" s="6"/>
      <c r="AMD422" s="6"/>
      <c r="AME422" s="6"/>
      <c r="AMF422" s="6"/>
      <c r="AMG422" s="6"/>
      <c r="AMH422" s="6"/>
      <c r="AMI422" s="6"/>
      <c r="AMJ422" s="6"/>
      <c r="AMK422" s="6"/>
      <c r="AML422" s="6"/>
      <c r="AMM422" s="6"/>
      <c r="AMN422" s="6"/>
      <c r="AMO422" s="6"/>
      <c r="AMP422" s="6"/>
    </row>
    <row r="423" spans="1:1030" x14ac:dyDescent="0.2">
      <c r="A423" s="3" t="str">
        <f t="shared" ref="A423" si="3913">CONCATENATE(B423,"_",C423)</f>
        <v>calrl_human_6UVA</v>
      </c>
      <c r="B423" s="2" t="s">
        <v>401</v>
      </c>
      <c r="C423" s="3" t="s">
        <v>1670</v>
      </c>
      <c r="D423" s="3" t="str">
        <f>IFERROR(MID(VLOOKUP($B423,Seqs!$A:$B,2,0),E423,1),"")</f>
        <v>T</v>
      </c>
      <c r="E423" s="3">
        <v>131</v>
      </c>
      <c r="F423" s="3" t="str">
        <f>IFERROR(MID(VLOOKUP($B423,Seqs!$A:$B,2,0),G423,1),"")</f>
        <v>F</v>
      </c>
      <c r="G423" s="3">
        <v>166</v>
      </c>
      <c r="H423" s="3" t="str">
        <f>IFERROR(MID(VLOOKUP($B423,Seqs!$A:$B,2,0),I423,1),"")</f>
        <v>K</v>
      </c>
      <c r="I423" s="23">
        <v>167</v>
      </c>
      <c r="J423" s="3" t="str">
        <f>IFERROR(MID(VLOOKUP($B423,Seqs!$A:$B,2,0),K423,1),"")</f>
        <v>S</v>
      </c>
      <c r="K423" s="23">
        <v>170</v>
      </c>
      <c r="L423" s="3" t="str">
        <f>IFERROR(MID(VLOOKUP($B423,Seqs!$A:$B,2,0),M423,1),"")</f>
        <v>C</v>
      </c>
      <c r="M423" s="3">
        <v>171</v>
      </c>
      <c r="N423" s="3" t="str">
        <f>IFERROR(MID(VLOOKUP($B423,Seqs!$A:$B,2,0),O423,1),"")</f>
        <v>V</v>
      </c>
      <c r="O423" s="3">
        <v>198</v>
      </c>
      <c r="P423" s="3" t="str">
        <f>IFERROR(MID(VLOOKUP($B423,Seqs!$A:$B,2,0),Q423,1),"")</f>
        <v/>
      </c>
      <c r="Q423" s="3" t="s">
        <v>23</v>
      </c>
      <c r="R423" s="3" t="str">
        <f>IFERROR(MID(VLOOKUP($B423,Seqs!$A:$B,2,0),S423,1),"")</f>
        <v/>
      </c>
      <c r="S423" s="3" t="s">
        <v>23</v>
      </c>
      <c r="T423" s="3" t="str">
        <f>IFERROR(MID(VLOOKUP($B423,Seqs!$A:$B,2,0),U423,1),"")</f>
        <v>V</v>
      </c>
      <c r="U423" s="3">
        <v>210</v>
      </c>
      <c r="V423" s="3" t="str">
        <f>IFERROR(MID(VLOOKUP($B423,Seqs!$A:$B,2,0),W423,1),"")</f>
        <v>V</v>
      </c>
      <c r="W423" s="3">
        <v>243</v>
      </c>
      <c r="X423" s="3" t="str">
        <f>IFERROR(MID(VLOOKUP($B423,Seqs!$A:$B,2,0),Y423,1),"")</f>
        <v/>
      </c>
      <c r="Y423" s="3" t="s">
        <v>23</v>
      </c>
      <c r="Z423" s="3" t="str">
        <f>IFERROR(MID(VLOOKUP($B423,Seqs!$A:$B,2,0),AA423,1),"")</f>
        <v/>
      </c>
      <c r="AA423" s="3" t="s">
        <v>23</v>
      </c>
      <c r="AB423" s="3" t="str">
        <f>IFERROR(MID(VLOOKUP($B423,Seqs!$A:$B,2,0),AC423,1),"")</f>
        <v>L</v>
      </c>
      <c r="AC423" s="3">
        <v>252</v>
      </c>
      <c r="AD423" s="3" t="str">
        <f>IFERROR(MID(VLOOKUP($B423,Seqs!$A:$B,2,0),AE423,1),"")</f>
        <v>Y</v>
      </c>
      <c r="AE423" s="3">
        <v>278</v>
      </c>
      <c r="AF423" s="3" t="str">
        <f>IFERROR(MID(VLOOKUP($B423,Seqs!$A:$B,2,0),AG423,1),"")</f>
        <v>C</v>
      </c>
      <c r="AG423" s="3">
        <v>282</v>
      </c>
      <c r="AH423" s="3" t="str">
        <f>IFERROR(MID(VLOOKUP($B423,Seqs!$A:$B,2,0),AI423,1),"")</f>
        <v>I</v>
      </c>
      <c r="AI423" s="3">
        <v>284</v>
      </c>
      <c r="AJ423" s="3" t="str">
        <f>IFERROR(MID(VLOOKUP($B423,Seqs!$A:$B,2,0),AK423,1),"")</f>
        <v>L</v>
      </c>
      <c r="AK423" s="3">
        <v>290</v>
      </c>
      <c r="AL423" s="3" t="str">
        <f>IFERROR(MID(VLOOKUP($B423,Seqs!$A:$B,2,0),AM423,1),"")</f>
        <v>K</v>
      </c>
      <c r="AM423" s="3">
        <v>321</v>
      </c>
      <c r="AN423" s="3" t="str">
        <f>IFERROR(MID(VLOOKUP($B423,Seqs!$A:$B,2,0),AO423,1),"")</f>
        <v>L</v>
      </c>
      <c r="AO423" s="3">
        <v>330</v>
      </c>
      <c r="AP423" s="3" t="str">
        <f>IFERROR(MID(VLOOKUP($B423,Seqs!$A:$B,2,0),AQ423,1),"")</f>
        <v>L</v>
      </c>
      <c r="AQ423" s="3">
        <v>351</v>
      </c>
      <c r="AR423" s="3" t="str">
        <f>IFERROR(MID(VLOOKUP($B423,Seqs!$A:$B,2,0),AS423,1),"")</f>
        <v>E</v>
      </c>
      <c r="AS423" s="3">
        <v>363</v>
      </c>
      <c r="AT423" s="3" t="str">
        <f>IFERROR(MID(VLOOKUP($B423,Seqs!$A:$B,2,0),AU423,1),"")</f>
        <v>F</v>
      </c>
      <c r="AU423" s="3">
        <v>387</v>
      </c>
      <c r="AV423" s="3" t="str">
        <f>IFERROR(MID(VLOOKUP($B423,Seqs!$A:$B,2,0),AW423,1),"")</f>
        <v>N</v>
      </c>
      <c r="AW423" s="3">
        <v>388</v>
      </c>
      <c r="AX423" s="3" t="str">
        <f>IFERROR(MID(VLOOKUP($B423,Seqs!$A:$B,2,0),AY423,1),"")</f>
        <v>W</v>
      </c>
      <c r="AY423" s="3">
        <v>399</v>
      </c>
      <c r="AZ423" s="77" t="str">
        <f>VLOOKUP(B423,Classification!A:D,2,0)</f>
        <v>B1</v>
      </c>
      <c r="BA423" s="94" t="str">
        <f>VLOOKUP(B423,Classification!A:D,4,0)</f>
        <v>Calcitonin</v>
      </c>
      <c r="BB423" s="27" t="b">
        <f t="shared" ref="BB423" si="3914">AND(E423&lt;G423,OR(G423&lt;I423,I423="-"),OR(I423&lt;K423,I423="-"),OR(K423&lt;M423,K423="-"),M423&lt;O423,OR(O423&lt;Q423,Q423="-"),OR(Q423&lt;S423,Q423="-"),OR(S423&lt;U423,S423="-"),U423&lt;W423,OR(W423&lt;Y423,Y423="-"),OR(Y423&lt;AA423,Y423="-"),OR(AA423&lt;AC423,AA423="-"),AC423&lt;AE423,OR(AE423&lt;AG423,AG423="-"),OR(AG423&lt;AI423,AG423="-"),OR(AI423&lt;AK423,AI423="-"),AK423&lt;AM423,AM423&lt;AO423,AO423&lt;AQ423,AQ423&lt;AS423,AS423&lt;AU423,OR(AU423&lt;AW423,AW423="-"),OR(AW423&lt;AY423,AW423="-"))</f>
        <v>1</v>
      </c>
      <c r="BC423" s="23">
        <f t="shared" ref="BC423" si="3915">_xlfn.AGGREGATE(9,6,CH423:CS423)-_xlfn.AGGREGATE(9,6,BV423:CG423)+12</f>
        <v>225</v>
      </c>
      <c r="BD423" s="4" t="s">
        <v>23</v>
      </c>
      <c r="BE423" s="3" t="s">
        <v>1287</v>
      </c>
      <c r="BF423" s="118">
        <v>2.2999999999999998</v>
      </c>
      <c r="BG423" s="49" t="s">
        <v>1418</v>
      </c>
      <c r="BH423" s="49" t="s">
        <v>1418</v>
      </c>
      <c r="BI423" s="1"/>
      <c r="BJ423" s="70" t="s">
        <v>1283</v>
      </c>
      <c r="BK423" s="57" t="s">
        <v>1283</v>
      </c>
      <c r="BL423" s="57" t="s">
        <v>1283</v>
      </c>
      <c r="BM423" s="57" t="s">
        <v>1283</v>
      </c>
      <c r="BN423" s="57" t="s">
        <v>1283</v>
      </c>
      <c r="BO423" s="57" t="s">
        <v>1283</v>
      </c>
      <c r="BP423" s="57" t="s">
        <v>1283</v>
      </c>
      <c r="BQ423" s="57" t="s">
        <v>1283</v>
      </c>
      <c r="BR423" s="57" t="s">
        <v>1283</v>
      </c>
      <c r="BS423" s="57" t="s">
        <v>1283</v>
      </c>
      <c r="BT423" s="57" t="s">
        <v>1283</v>
      </c>
      <c r="BU423" s="57" t="s">
        <v>1283</v>
      </c>
      <c r="BV423" s="70">
        <f t="shared" ref="BV423" si="3916">E423</f>
        <v>131</v>
      </c>
      <c r="BW423" s="71">
        <f t="shared" ref="BW423" si="3917">I423</f>
        <v>167</v>
      </c>
      <c r="BX423" s="72">
        <f t="shared" ref="BX423" si="3918">M423</f>
        <v>171</v>
      </c>
      <c r="BY423" s="71" t="str">
        <f t="shared" ref="BY423" si="3919">Q423</f>
        <v>-</v>
      </c>
      <c r="BZ423" s="72">
        <f t="shared" ref="BZ423" si="3920">U423</f>
        <v>210</v>
      </c>
      <c r="CA423" s="71" t="str">
        <f t="shared" ref="CA423" si="3921">Y423</f>
        <v>-</v>
      </c>
      <c r="CB423" s="72">
        <f t="shared" ref="CB423" si="3922">AC423</f>
        <v>252</v>
      </c>
      <c r="CC423" s="71">
        <f t="shared" ref="CC423" si="3923">AG423</f>
        <v>282</v>
      </c>
      <c r="CD423" s="72">
        <f t="shared" ref="CD423" si="3924">AK423</f>
        <v>290</v>
      </c>
      <c r="CE423" s="71">
        <f t="shared" ref="CE423" si="3925">AO423</f>
        <v>330</v>
      </c>
      <c r="CF423" s="72">
        <f t="shared" ref="CF423" si="3926">AS423</f>
        <v>363</v>
      </c>
      <c r="CG423" s="71">
        <f t="shared" ref="CG423" si="3927">AW423</f>
        <v>388</v>
      </c>
      <c r="CH423" s="70">
        <f t="shared" ref="CH423" si="3928">G423</f>
        <v>166</v>
      </c>
      <c r="CI423" s="71">
        <f t="shared" ref="CI423" si="3929">K423</f>
        <v>170</v>
      </c>
      <c r="CJ423" s="72">
        <f t="shared" ref="CJ423" si="3930">O423</f>
        <v>198</v>
      </c>
      <c r="CK423" s="72" t="str">
        <f t="shared" ref="CK423" si="3931">S423</f>
        <v>-</v>
      </c>
      <c r="CL423" s="72">
        <f t="shared" ref="CL423" si="3932">W423</f>
        <v>243</v>
      </c>
      <c r="CM423" s="72" t="str">
        <f t="shared" ref="CM423" si="3933">AA423</f>
        <v>-</v>
      </c>
      <c r="CN423" s="72">
        <f t="shared" ref="CN423" si="3934">AE423</f>
        <v>278</v>
      </c>
      <c r="CO423" s="72">
        <f t="shared" ref="CO423" si="3935">AI423</f>
        <v>284</v>
      </c>
      <c r="CP423" s="72">
        <f t="shared" ref="CP423" si="3936">AM423</f>
        <v>321</v>
      </c>
      <c r="CQ423" s="72">
        <f t="shared" ref="CQ423" si="3937">AQ423</f>
        <v>351</v>
      </c>
      <c r="CR423" s="72">
        <f t="shared" ref="CR423" si="3938">AU423</f>
        <v>387</v>
      </c>
      <c r="CS423" s="72">
        <f t="shared" ref="CS423" si="3939">AY423</f>
        <v>399</v>
      </c>
      <c r="CT423" s="23">
        <f t="shared" ref="CT423" si="3940">M423-K423</f>
        <v>1</v>
      </c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  <c r="SG423" s="6"/>
      <c r="SH423" s="6"/>
      <c r="SI423" s="6"/>
      <c r="SJ423" s="6"/>
      <c r="SK423" s="6"/>
      <c r="SL423" s="6"/>
      <c r="SM423" s="6"/>
      <c r="SN423" s="6"/>
      <c r="SO423" s="6"/>
      <c r="SP423" s="6"/>
      <c r="SQ423" s="6"/>
      <c r="SR423" s="6"/>
      <c r="SS423" s="6"/>
      <c r="ST423" s="6"/>
      <c r="SU423" s="6"/>
      <c r="SV423" s="6"/>
      <c r="SW423" s="6"/>
      <c r="SX423" s="6"/>
      <c r="SY423" s="6"/>
      <c r="SZ423" s="6"/>
      <c r="TA423" s="6"/>
      <c r="TB423" s="6"/>
      <c r="TC423" s="6"/>
      <c r="TD423" s="6"/>
      <c r="TE423" s="6"/>
      <c r="TF423" s="6"/>
      <c r="TG423" s="6"/>
      <c r="TH423" s="6"/>
      <c r="TI423" s="6"/>
      <c r="TJ423" s="6"/>
      <c r="TK423" s="6"/>
      <c r="TL423" s="6"/>
      <c r="TM423" s="6"/>
      <c r="TN423" s="6"/>
      <c r="TO423" s="6"/>
      <c r="TP423" s="6"/>
      <c r="TQ423" s="6"/>
      <c r="TR423" s="6"/>
      <c r="TS423" s="6"/>
      <c r="TT423" s="6"/>
      <c r="TU423" s="6"/>
      <c r="TV423" s="6"/>
      <c r="TW423" s="6"/>
      <c r="TX423" s="6"/>
      <c r="TY423" s="6"/>
      <c r="TZ423" s="6"/>
      <c r="UA423" s="6"/>
      <c r="UB423" s="6"/>
      <c r="UC423" s="6"/>
      <c r="UD423" s="6"/>
      <c r="UE423" s="6"/>
      <c r="UF423" s="6"/>
      <c r="UG423" s="6"/>
      <c r="UH423" s="6"/>
      <c r="UI423" s="6"/>
      <c r="UJ423" s="6"/>
      <c r="UK423" s="6"/>
      <c r="UL423" s="6"/>
      <c r="UM423" s="6"/>
      <c r="UN423" s="6"/>
      <c r="UO423" s="6"/>
      <c r="UP423" s="6"/>
      <c r="UQ423" s="6"/>
      <c r="UR423" s="6"/>
      <c r="US423" s="6"/>
      <c r="UT423" s="6"/>
      <c r="UU423" s="6"/>
      <c r="UV423" s="6"/>
      <c r="UW423" s="6"/>
      <c r="UX423" s="6"/>
      <c r="UY423" s="6"/>
      <c r="UZ423" s="6"/>
      <c r="VA423" s="6"/>
      <c r="VB423" s="6"/>
      <c r="VC423" s="6"/>
      <c r="VD423" s="6"/>
      <c r="VE423" s="6"/>
      <c r="VF423" s="6"/>
      <c r="VG423" s="6"/>
      <c r="VH423" s="6"/>
      <c r="VI423" s="6"/>
      <c r="VJ423" s="6"/>
      <c r="VK423" s="6"/>
      <c r="VL423" s="6"/>
      <c r="VM423" s="6"/>
      <c r="VN423" s="6"/>
      <c r="VO423" s="6"/>
      <c r="VP423" s="6"/>
      <c r="VQ423" s="6"/>
      <c r="VR423" s="6"/>
      <c r="VS423" s="6"/>
      <c r="VT423" s="6"/>
      <c r="VU423" s="6"/>
      <c r="VV423" s="6"/>
      <c r="VW423" s="6"/>
      <c r="VX423" s="6"/>
      <c r="VY423" s="6"/>
      <c r="VZ423" s="6"/>
      <c r="WA423" s="6"/>
      <c r="WB423" s="6"/>
      <c r="WC423" s="6"/>
      <c r="WD423" s="6"/>
      <c r="WE423" s="6"/>
      <c r="WF423" s="6"/>
      <c r="WG423" s="6"/>
      <c r="WH423" s="6"/>
      <c r="WI423" s="6"/>
      <c r="WJ423" s="6"/>
      <c r="WK423" s="6"/>
      <c r="WL423" s="6"/>
      <c r="WM423" s="6"/>
      <c r="WN423" s="6"/>
      <c r="WO423" s="6"/>
      <c r="WP423" s="6"/>
      <c r="WQ423" s="6"/>
      <c r="WR423" s="6"/>
      <c r="WS423" s="6"/>
      <c r="WT423" s="6"/>
      <c r="WU423" s="6"/>
      <c r="WV423" s="6"/>
      <c r="WW423" s="6"/>
      <c r="WX423" s="6"/>
      <c r="WY423" s="6"/>
      <c r="WZ423" s="6"/>
      <c r="XA423" s="6"/>
      <c r="XB423" s="6"/>
      <c r="XC423" s="6"/>
      <c r="XD423" s="6"/>
      <c r="XE423" s="6"/>
      <c r="XF423" s="6"/>
      <c r="XG423" s="6"/>
      <c r="XH423" s="6"/>
      <c r="XI423" s="6"/>
      <c r="XJ423" s="6"/>
      <c r="XK423" s="6"/>
      <c r="XL423" s="6"/>
      <c r="XM423" s="6"/>
      <c r="XN423" s="6"/>
      <c r="XO423" s="6"/>
      <c r="XP423" s="6"/>
      <c r="XQ423" s="6"/>
      <c r="XR423" s="6"/>
      <c r="XS423" s="6"/>
      <c r="XT423" s="6"/>
      <c r="XU423" s="6"/>
      <c r="XV423" s="6"/>
      <c r="XW423" s="6"/>
      <c r="XX423" s="6"/>
      <c r="XY423" s="6"/>
      <c r="XZ423" s="6"/>
      <c r="YA423" s="6"/>
      <c r="YB423" s="6"/>
      <c r="YC423" s="6"/>
      <c r="YD423" s="6"/>
      <c r="YE423" s="6"/>
      <c r="YF423" s="6"/>
      <c r="YG423" s="6"/>
      <c r="YH423" s="6"/>
      <c r="YI423" s="6"/>
      <c r="YJ423" s="6"/>
      <c r="YK423" s="6"/>
      <c r="YL423" s="6"/>
      <c r="YM423" s="6"/>
      <c r="YN423" s="6"/>
      <c r="YO423" s="6"/>
      <c r="YP423" s="6"/>
      <c r="YQ423" s="6"/>
      <c r="YR423" s="6"/>
      <c r="YS423" s="6"/>
      <c r="YT423" s="6"/>
      <c r="YU423" s="6"/>
      <c r="YV423" s="6"/>
      <c r="YW423" s="6"/>
      <c r="YX423" s="6"/>
      <c r="YY423" s="6"/>
      <c r="YZ423" s="6"/>
      <c r="ZA423" s="6"/>
      <c r="ZB423" s="6"/>
      <c r="ZC423" s="6"/>
      <c r="ZD423" s="6"/>
      <c r="ZE423" s="6"/>
      <c r="ZF423" s="6"/>
      <c r="ZG423" s="6"/>
      <c r="ZH423" s="6"/>
      <c r="ZI423" s="6"/>
      <c r="ZJ423" s="6"/>
      <c r="ZK423" s="6"/>
      <c r="ZL423" s="6"/>
      <c r="ZM423" s="6"/>
      <c r="ZN423" s="6"/>
      <c r="ZO423" s="6"/>
      <c r="ZP423" s="6"/>
      <c r="ZQ423" s="6"/>
      <c r="ZR423" s="6"/>
      <c r="ZS423" s="6"/>
      <c r="ZT423" s="6"/>
      <c r="ZU423" s="6"/>
      <c r="ZV423" s="6"/>
      <c r="ZW423" s="6"/>
      <c r="ZX423" s="6"/>
      <c r="ZY423" s="6"/>
      <c r="ZZ423" s="6"/>
      <c r="AAA423" s="6"/>
      <c r="AAB423" s="6"/>
      <c r="AAC423" s="6"/>
      <c r="AAD423" s="6"/>
      <c r="AAE423" s="6"/>
      <c r="AAF423" s="6"/>
      <c r="AAG423" s="6"/>
      <c r="AAH423" s="6"/>
      <c r="AAI423" s="6"/>
      <c r="AAJ423" s="6"/>
      <c r="AAK423" s="6"/>
      <c r="AAL423" s="6"/>
      <c r="AAM423" s="6"/>
      <c r="AAN423" s="6"/>
      <c r="AAO423" s="6"/>
      <c r="AAP423" s="6"/>
      <c r="AAQ423" s="6"/>
      <c r="AAR423" s="6"/>
      <c r="AAS423" s="6"/>
      <c r="AAT423" s="6"/>
      <c r="AAU423" s="6"/>
      <c r="AAV423" s="6"/>
      <c r="AAW423" s="6"/>
      <c r="AAX423" s="6"/>
      <c r="AAY423" s="6"/>
      <c r="AAZ423" s="6"/>
      <c r="ABA423" s="6"/>
      <c r="ABB423" s="6"/>
      <c r="ABC423" s="6"/>
      <c r="ABD423" s="6"/>
      <c r="ABE423" s="6"/>
      <c r="ABF423" s="6"/>
      <c r="ABG423" s="6"/>
      <c r="ABH423" s="6"/>
      <c r="ABI423" s="6"/>
      <c r="ABJ423" s="6"/>
      <c r="ABK423" s="6"/>
      <c r="ABL423" s="6"/>
      <c r="ABM423" s="6"/>
      <c r="ABN423" s="6"/>
      <c r="ABO423" s="6"/>
      <c r="ABP423" s="6"/>
      <c r="ABQ423" s="6"/>
      <c r="ABR423" s="6"/>
      <c r="ABS423" s="6"/>
      <c r="ABT423" s="6"/>
      <c r="ABU423" s="6"/>
      <c r="ABV423" s="6"/>
      <c r="ABW423" s="6"/>
      <c r="ABX423" s="6"/>
      <c r="ABY423" s="6"/>
      <c r="ABZ423" s="6"/>
      <c r="ACA423" s="6"/>
      <c r="ACB423" s="6"/>
      <c r="ACC423" s="6"/>
      <c r="ACD423" s="6"/>
      <c r="ACE423" s="6"/>
      <c r="ACF423" s="6"/>
      <c r="ACG423" s="6"/>
      <c r="ACH423" s="6"/>
      <c r="ACI423" s="6"/>
      <c r="ACJ423" s="6"/>
      <c r="ACK423" s="6"/>
      <c r="ACL423" s="6"/>
      <c r="ACM423" s="6"/>
      <c r="ACN423" s="6"/>
      <c r="ACO423" s="6"/>
      <c r="ACP423" s="6"/>
      <c r="ACQ423" s="6"/>
      <c r="ACR423" s="6"/>
      <c r="ACS423" s="6"/>
      <c r="ACT423" s="6"/>
      <c r="ACU423" s="6"/>
      <c r="ACV423" s="6"/>
      <c r="ACW423" s="6"/>
      <c r="ACX423" s="6"/>
      <c r="ACY423" s="6"/>
      <c r="ACZ423" s="6"/>
      <c r="ADA423" s="6"/>
      <c r="ADB423" s="6"/>
      <c r="ADC423" s="6"/>
      <c r="ADD423" s="6"/>
      <c r="ADE423" s="6"/>
      <c r="ADF423" s="6"/>
      <c r="ADG423" s="6"/>
      <c r="ADH423" s="6"/>
      <c r="ADI423" s="6"/>
      <c r="ADJ423" s="6"/>
      <c r="ADK423" s="6"/>
      <c r="ADL423" s="6"/>
      <c r="ADM423" s="6"/>
      <c r="ADN423" s="6"/>
      <c r="ADO423" s="6"/>
      <c r="ADP423" s="6"/>
      <c r="ADQ423" s="6"/>
      <c r="ADR423" s="6"/>
      <c r="ADS423" s="6"/>
      <c r="ADT423" s="6"/>
      <c r="ADU423" s="6"/>
      <c r="ADV423" s="6"/>
      <c r="ADW423" s="6"/>
      <c r="ADX423" s="6"/>
      <c r="ADY423" s="6"/>
      <c r="ADZ423" s="6"/>
      <c r="AEA423" s="6"/>
      <c r="AEB423" s="6"/>
      <c r="AEC423" s="6"/>
      <c r="AED423" s="6"/>
      <c r="AEE423" s="6"/>
      <c r="AEF423" s="6"/>
      <c r="AEG423" s="6"/>
      <c r="AEH423" s="6"/>
      <c r="AEI423" s="6"/>
      <c r="AEJ423" s="6"/>
      <c r="AEK423" s="6"/>
      <c r="AEL423" s="6"/>
      <c r="AEM423" s="6"/>
      <c r="AEN423" s="6"/>
      <c r="AEO423" s="6"/>
      <c r="AEP423" s="6"/>
      <c r="AEQ423" s="6"/>
      <c r="AER423" s="6"/>
      <c r="AES423" s="6"/>
      <c r="AET423" s="6"/>
      <c r="AEU423" s="6"/>
      <c r="AEV423" s="6"/>
      <c r="AEW423" s="6"/>
      <c r="AEX423" s="6"/>
      <c r="AEY423" s="6"/>
      <c r="AEZ423" s="6"/>
      <c r="AFA423" s="6"/>
      <c r="AFB423" s="6"/>
      <c r="AFC423" s="6"/>
      <c r="AFD423" s="6"/>
      <c r="AFE423" s="6"/>
      <c r="AFF423" s="6"/>
      <c r="AFG423" s="6"/>
      <c r="AFH423" s="6"/>
      <c r="AFI423" s="6"/>
      <c r="AFJ423" s="6"/>
      <c r="AFK423" s="6"/>
      <c r="AFL423" s="6"/>
      <c r="AFM423" s="6"/>
      <c r="AFN423" s="6"/>
      <c r="AFO423" s="6"/>
      <c r="AFP423" s="6"/>
      <c r="AFQ423" s="6"/>
      <c r="AFR423" s="6"/>
      <c r="AFS423" s="6"/>
      <c r="AFT423" s="6"/>
      <c r="AFU423" s="6"/>
      <c r="AFV423" s="6"/>
      <c r="AFW423" s="6"/>
      <c r="AFX423" s="6"/>
      <c r="AFY423" s="6"/>
      <c r="AFZ423" s="6"/>
      <c r="AGA423" s="6"/>
      <c r="AGB423" s="6"/>
      <c r="AGC423" s="6"/>
      <c r="AGD423" s="6"/>
      <c r="AGE423" s="6"/>
      <c r="AGF423" s="6"/>
      <c r="AGG423" s="6"/>
      <c r="AGH423" s="6"/>
      <c r="AGI423" s="6"/>
      <c r="AGJ423" s="6"/>
      <c r="AGK423" s="6"/>
      <c r="AGL423" s="6"/>
      <c r="AGM423" s="6"/>
      <c r="AGN423" s="6"/>
      <c r="AGO423" s="6"/>
      <c r="AGP423" s="6"/>
      <c r="AGQ423" s="6"/>
      <c r="AGR423" s="6"/>
      <c r="AGS423" s="6"/>
      <c r="AGT423" s="6"/>
      <c r="AGU423" s="6"/>
      <c r="AGV423" s="6"/>
      <c r="AGW423" s="6"/>
      <c r="AGX423" s="6"/>
      <c r="AGY423" s="6"/>
      <c r="AGZ423" s="6"/>
      <c r="AHA423" s="6"/>
      <c r="AHB423" s="6"/>
      <c r="AHC423" s="6"/>
      <c r="AHD423" s="6"/>
      <c r="AHE423" s="6"/>
      <c r="AHF423" s="6"/>
      <c r="AHG423" s="6"/>
      <c r="AHH423" s="6"/>
      <c r="AHI423" s="6"/>
      <c r="AHJ423" s="6"/>
      <c r="AHK423" s="6"/>
      <c r="AHL423" s="6"/>
      <c r="AHM423" s="6"/>
      <c r="AHN423" s="6"/>
      <c r="AHO423" s="6"/>
      <c r="AHP423" s="6"/>
      <c r="AHQ423" s="6"/>
      <c r="AHR423" s="6"/>
      <c r="AHS423" s="6"/>
      <c r="AHT423" s="6"/>
      <c r="AHU423" s="6"/>
      <c r="AHV423" s="6"/>
      <c r="AHW423" s="6"/>
      <c r="AHX423" s="6"/>
      <c r="AHY423" s="6"/>
      <c r="AHZ423" s="6"/>
      <c r="AIA423" s="6"/>
      <c r="AIB423" s="6"/>
      <c r="AIC423" s="6"/>
      <c r="AID423" s="6"/>
      <c r="AIE423" s="6"/>
      <c r="AIF423" s="6"/>
      <c r="AIG423" s="6"/>
      <c r="AIH423" s="6"/>
      <c r="AII423" s="6"/>
      <c r="AIJ423" s="6"/>
      <c r="AIK423" s="6"/>
      <c r="AIL423" s="6"/>
      <c r="AIM423" s="6"/>
      <c r="AIN423" s="6"/>
      <c r="AIO423" s="6"/>
      <c r="AIP423" s="6"/>
      <c r="AIQ423" s="6"/>
      <c r="AIR423" s="6"/>
      <c r="AIS423" s="6"/>
      <c r="AIT423" s="6"/>
      <c r="AIU423" s="6"/>
      <c r="AIV423" s="6"/>
      <c r="AIW423" s="6"/>
      <c r="AIX423" s="6"/>
      <c r="AIY423" s="6"/>
      <c r="AIZ423" s="6"/>
      <c r="AJA423" s="6"/>
      <c r="AJB423" s="6"/>
      <c r="AJC423" s="6"/>
      <c r="AJD423" s="6"/>
      <c r="AJE423" s="6"/>
      <c r="AJF423" s="6"/>
      <c r="AJG423" s="6"/>
      <c r="AJH423" s="6"/>
      <c r="AJI423" s="6"/>
      <c r="AJJ423" s="6"/>
      <c r="AJK423" s="6"/>
      <c r="AJL423" s="6"/>
      <c r="AJM423" s="6"/>
      <c r="AJN423" s="6"/>
      <c r="AJO423" s="6"/>
      <c r="AJP423" s="6"/>
      <c r="AJQ423" s="6"/>
      <c r="AJR423" s="6"/>
      <c r="AJS423" s="6"/>
      <c r="AJT423" s="6"/>
      <c r="AJU423" s="6"/>
      <c r="AJV423" s="6"/>
      <c r="AJW423" s="6"/>
      <c r="AJX423" s="6"/>
      <c r="AJY423" s="6"/>
      <c r="AJZ423" s="6"/>
      <c r="AKA423" s="6"/>
      <c r="AKB423" s="6"/>
      <c r="AKC423" s="6"/>
      <c r="AKD423" s="6"/>
      <c r="AKE423" s="6"/>
      <c r="AKF423" s="6"/>
      <c r="AKG423" s="6"/>
      <c r="AKH423" s="6"/>
      <c r="AKI423" s="6"/>
      <c r="AKJ423" s="6"/>
      <c r="AKK423" s="6"/>
      <c r="AKL423" s="6"/>
      <c r="AKM423" s="6"/>
      <c r="AKN423" s="6"/>
      <c r="AKO423" s="6"/>
      <c r="AKP423" s="6"/>
      <c r="AKQ423" s="6"/>
      <c r="AKR423" s="6"/>
      <c r="AKS423" s="6"/>
      <c r="AKT423" s="6"/>
      <c r="AKU423" s="6"/>
      <c r="AKV423" s="6"/>
      <c r="AKW423" s="6"/>
      <c r="AKX423" s="6"/>
      <c r="AKY423" s="6"/>
      <c r="AKZ423" s="6"/>
      <c r="ALA423" s="6"/>
      <c r="ALB423" s="6"/>
      <c r="ALC423" s="6"/>
      <c r="ALD423" s="6"/>
      <c r="ALE423" s="6"/>
      <c r="ALF423" s="6"/>
      <c r="ALG423" s="6"/>
      <c r="ALH423" s="6"/>
      <c r="ALI423" s="6"/>
      <c r="ALJ423" s="6"/>
      <c r="ALK423" s="6"/>
      <c r="ALL423" s="6"/>
      <c r="ALM423" s="6"/>
      <c r="ALN423" s="6"/>
      <c r="ALO423" s="6"/>
      <c r="ALP423" s="6"/>
      <c r="ALQ423" s="6"/>
      <c r="ALR423" s="6"/>
      <c r="ALS423" s="6"/>
      <c r="ALT423" s="6"/>
      <c r="ALU423" s="6"/>
      <c r="ALV423" s="6"/>
      <c r="ALW423" s="6"/>
      <c r="ALX423" s="6"/>
      <c r="ALY423" s="6"/>
      <c r="ALZ423" s="6"/>
      <c r="AMA423" s="6"/>
      <c r="AMB423" s="6"/>
      <c r="AMC423" s="6"/>
      <c r="AMD423" s="6"/>
      <c r="AME423" s="6"/>
      <c r="AMF423" s="6"/>
      <c r="AMG423" s="6"/>
      <c r="AMH423" s="6"/>
      <c r="AMI423" s="6"/>
      <c r="AMJ423" s="6"/>
      <c r="AMK423" s="6"/>
      <c r="AML423" s="6"/>
      <c r="AMM423" s="6"/>
      <c r="AMN423" s="6"/>
      <c r="AMO423" s="6"/>
      <c r="AMP423" s="6"/>
    </row>
    <row r="424" spans="1:1030" x14ac:dyDescent="0.2">
      <c r="A424" s="3" t="str">
        <f t="shared" si="2821"/>
        <v>crfr1_human__wt</v>
      </c>
      <c r="B424" s="3" t="s">
        <v>38</v>
      </c>
      <c r="C424" s="3" t="s">
        <v>100</v>
      </c>
      <c r="D424" s="3" t="str">
        <f>IFERROR(MID(VLOOKUP($B424,Seqs!$A:$B,2,0),E424,1),"")</f>
        <v>Q</v>
      </c>
      <c r="E424" s="3">
        <v>103</v>
      </c>
      <c r="F424" s="3" t="str">
        <f>IFERROR(MID(VLOOKUP($B424,Seqs!$A:$B,2,0),G424,1),"")</f>
        <v>L</v>
      </c>
      <c r="G424" s="3">
        <v>144</v>
      </c>
      <c r="H424" s="3" t="str">
        <f>IFERROR(MID(VLOOKUP($B424,Seqs!$A:$B,2,0),I424,1),"")</f>
        <v>R</v>
      </c>
      <c r="I424" s="23">
        <v>145</v>
      </c>
      <c r="J424" s="3" t="str">
        <f>IFERROR(MID(VLOOKUP($B424,Seqs!$A:$B,2,0),K424,1),"")</f>
        <v>R</v>
      </c>
      <c r="K424" s="23">
        <v>148</v>
      </c>
      <c r="L424" s="3" t="str">
        <f>IFERROR(MID(VLOOKUP($B424,Seqs!$A:$B,2,0),M424,1),"")</f>
        <v>C</v>
      </c>
      <c r="M424" s="23">
        <v>149</v>
      </c>
      <c r="N424" s="3" t="str">
        <f>IFERROR(MID(VLOOKUP($B424,Seqs!$A:$B,2,0),O424,1),"")</f>
        <v>T</v>
      </c>
      <c r="O424" s="3">
        <v>175</v>
      </c>
      <c r="P424" s="3" t="str">
        <f>IFERROR(MID(VLOOKUP($B424,Seqs!$A:$B,2,0),Q424,1),"")</f>
        <v/>
      </c>
      <c r="Q424" s="3" t="s">
        <v>23</v>
      </c>
      <c r="R424" s="3" t="str">
        <f>IFERROR(MID(VLOOKUP($B424,Seqs!$A:$B,2,0),S424,1),"")</f>
        <v/>
      </c>
      <c r="S424" s="3" t="s">
        <v>23</v>
      </c>
      <c r="T424" s="3" t="str">
        <f>IFERROR(MID(VLOOKUP($B424,Seqs!$A:$B,2,0),U424,1),"")</f>
        <v>V</v>
      </c>
      <c r="U424" s="3">
        <v>185</v>
      </c>
      <c r="V424" s="3" t="str">
        <f>IFERROR(MID(VLOOKUP($B424,Seqs!$A:$B,2,0),W424,1),"")</f>
        <v>L</v>
      </c>
      <c r="W424" s="3">
        <v>219</v>
      </c>
      <c r="X424" s="3" t="str">
        <f>IFERROR(MID(VLOOKUP($B424,Seqs!$A:$B,2,0),Y424,1),"")</f>
        <v/>
      </c>
      <c r="Y424" s="3" t="s">
        <v>23</v>
      </c>
      <c r="Z424" s="3" t="str">
        <f>IFERROR(MID(VLOOKUP($B424,Seqs!$A:$B,2,0),AA424,1),"")</f>
        <v/>
      </c>
      <c r="AA424" s="3" t="s">
        <v>23</v>
      </c>
      <c r="AB424" s="3" t="str">
        <f>IFERROR(MID(VLOOKUP($B424,Seqs!$A:$B,2,0),AC424,1),"")</f>
        <v>L</v>
      </c>
      <c r="AC424" s="3">
        <v>226</v>
      </c>
      <c r="AD424" s="3" t="str">
        <f>IFERROR(MID(VLOOKUP($B424,Seqs!$A:$B,2,0),AE424,1),"")</f>
        <v>D</v>
      </c>
      <c r="AE424" s="3">
        <v>254</v>
      </c>
      <c r="AF424" s="3" t="str">
        <f>IFERROR(MID(VLOOKUP($B424,Seqs!$A:$B,2,0),AG424,1),"")</f>
        <v>C</v>
      </c>
      <c r="AG424" s="3">
        <v>258</v>
      </c>
      <c r="AH424" s="3" t="str">
        <f>IFERROR(MID(VLOOKUP($B424,Seqs!$A:$B,2,0),AI424,1),"")</f>
        <v>F</v>
      </c>
      <c r="AI424" s="3">
        <v>260</v>
      </c>
      <c r="AJ424" s="3" t="str">
        <f>IFERROR(MID(VLOOKUP($B424,Seqs!$A:$B,2,0),AK424,1),"")</f>
        <v>T</v>
      </c>
      <c r="AK424" s="3">
        <v>268</v>
      </c>
      <c r="AL424" s="3" t="str">
        <f>IFERROR(MID(VLOOKUP($B424,Seqs!$A:$B,2,0),AM424,1),"")</f>
        <v>L</v>
      </c>
      <c r="AM424" s="3">
        <v>298</v>
      </c>
      <c r="AN424" s="3" t="str">
        <f>IFERROR(MID(VLOOKUP($B424,Seqs!$A:$B,2,0),AO424,1),"")</f>
        <v>S</v>
      </c>
      <c r="AO424" s="3">
        <v>304</v>
      </c>
      <c r="AP424" s="3" t="str">
        <f>IFERROR(MID(VLOOKUP($B424,Seqs!$A:$B,2,0),AQ424,1),"")</f>
        <v>V</v>
      </c>
      <c r="AQ424" s="3">
        <v>332</v>
      </c>
      <c r="AR424" s="3" t="str">
        <f>IFERROR(MID(VLOOKUP($B424,Seqs!$A:$B,2,0),AS424,1),"")</f>
        <v>E</v>
      </c>
      <c r="AS424" s="3">
        <v>338</v>
      </c>
      <c r="AT424" s="3" t="str">
        <f>IFERROR(MID(VLOOKUP($B424,Seqs!$A:$B,2,0),AU424,1),"")</f>
        <v>L</v>
      </c>
      <c r="AU424" s="3">
        <v>366</v>
      </c>
      <c r="AV424" s="3" t="str">
        <f>IFERROR(MID(VLOOKUP($B424,Seqs!$A:$B,2,0),AW424,1),"")</f>
        <v>N</v>
      </c>
      <c r="AW424" s="3">
        <v>367</v>
      </c>
      <c r="AX424" s="3" t="str">
        <f>IFERROR(MID(VLOOKUP($B424,Seqs!$A:$B,2,0),AY424,1),"")</f>
        <v>A</v>
      </c>
      <c r="AY424" s="3">
        <v>392</v>
      </c>
      <c r="AZ424" s="77" t="str">
        <f>VLOOKUP(B424,Classification!A:D,2,0)</f>
        <v>B1</v>
      </c>
      <c r="BA424" s="94" t="str">
        <f>VLOOKUP(B424,Classification!A:D,4,0)</f>
        <v>Corticotropin-releasingfact</v>
      </c>
      <c r="BB424" s="27" t="b">
        <f t="shared" si="2822"/>
        <v>1</v>
      </c>
      <c r="BC424" s="23">
        <f t="shared" ref="BC424:BC478" si="3941">_xlfn.AGGREGATE(9,6,CH424:CS424)-_xlfn.AGGREGATE(9,6,BV424:CG424)+12</f>
        <v>257</v>
      </c>
      <c r="BD424" s="56" t="s">
        <v>23</v>
      </c>
      <c r="BE424" s="3" t="s">
        <v>23</v>
      </c>
      <c r="BF424" s="118" t="s">
        <v>23</v>
      </c>
      <c r="BG424" s="49" t="s">
        <v>1368</v>
      </c>
      <c r="BH424" s="49" t="s">
        <v>1373</v>
      </c>
      <c r="BI424" s="1"/>
      <c r="BJ424" s="70" t="s">
        <v>1283</v>
      </c>
      <c r="BK424" s="57" t="s">
        <v>1283</v>
      </c>
      <c r="BL424" s="57" t="s">
        <v>1283</v>
      </c>
      <c r="BM424" s="57" t="s">
        <v>1283</v>
      </c>
      <c r="BN424" s="57" t="s">
        <v>1283</v>
      </c>
      <c r="BO424" s="57" t="s">
        <v>1283</v>
      </c>
      <c r="BP424" s="57" t="s">
        <v>1283</v>
      </c>
      <c r="BQ424" s="57" t="s">
        <v>1283</v>
      </c>
      <c r="BR424" s="57" t="s">
        <v>1283</v>
      </c>
      <c r="BS424" s="57" t="s">
        <v>1283</v>
      </c>
      <c r="BT424" s="57" t="s">
        <v>1283</v>
      </c>
      <c r="BU424" s="57" t="s">
        <v>1283</v>
      </c>
      <c r="BV424" s="70">
        <f t="shared" ref="BV424:BV478" si="3942">E424</f>
        <v>103</v>
      </c>
      <c r="BW424" s="71">
        <f t="shared" ref="BW424:BW478" si="3943">I424</f>
        <v>145</v>
      </c>
      <c r="BX424" s="72">
        <f t="shared" ref="BX424:BX478" si="3944">M424</f>
        <v>149</v>
      </c>
      <c r="BY424" s="71" t="str">
        <f t="shared" ref="BY424:BY478" si="3945">Q424</f>
        <v>-</v>
      </c>
      <c r="BZ424" s="72">
        <f t="shared" ref="BZ424:BZ478" si="3946">U424</f>
        <v>185</v>
      </c>
      <c r="CA424" s="71" t="str">
        <f t="shared" ref="CA424:CA478" si="3947">Y424</f>
        <v>-</v>
      </c>
      <c r="CB424" s="72">
        <f t="shared" ref="CB424:CB478" si="3948">AC424</f>
        <v>226</v>
      </c>
      <c r="CC424" s="71">
        <f t="shared" ref="CC424:CC478" si="3949">AG424</f>
        <v>258</v>
      </c>
      <c r="CD424" s="72">
        <f t="shared" ref="CD424:CD478" si="3950">AK424</f>
        <v>268</v>
      </c>
      <c r="CE424" s="71">
        <f t="shared" ref="CE424:CE478" si="3951">AO424</f>
        <v>304</v>
      </c>
      <c r="CF424" s="72">
        <f t="shared" ref="CF424:CF478" si="3952">AS424</f>
        <v>338</v>
      </c>
      <c r="CG424" s="71">
        <f t="shared" ref="CG424:CG478" si="3953">AW424</f>
        <v>367</v>
      </c>
      <c r="CH424" s="70">
        <f t="shared" ref="CH424:CH478" si="3954">G424</f>
        <v>144</v>
      </c>
      <c r="CI424" s="71">
        <f t="shared" ref="CI424:CI478" si="3955">K424</f>
        <v>148</v>
      </c>
      <c r="CJ424" s="72">
        <f t="shared" ref="CJ424:CJ478" si="3956">O424</f>
        <v>175</v>
      </c>
      <c r="CK424" s="72" t="str">
        <f t="shared" ref="CK424:CK478" si="3957">S424</f>
        <v>-</v>
      </c>
      <c r="CL424" s="72">
        <f t="shared" ref="CL424:CL478" si="3958">W424</f>
        <v>219</v>
      </c>
      <c r="CM424" s="72" t="str">
        <f t="shared" ref="CM424:CM478" si="3959">AA424</f>
        <v>-</v>
      </c>
      <c r="CN424" s="72">
        <f t="shared" ref="CN424:CN478" si="3960">AE424</f>
        <v>254</v>
      </c>
      <c r="CO424" s="72">
        <f t="shared" ref="CO424:CO478" si="3961">AI424</f>
        <v>260</v>
      </c>
      <c r="CP424" s="72">
        <f t="shared" ref="CP424:CP478" si="3962">AM424</f>
        <v>298</v>
      </c>
      <c r="CQ424" s="72">
        <f t="shared" ref="CQ424:CQ478" si="3963">AQ424</f>
        <v>332</v>
      </c>
      <c r="CR424" s="72">
        <f t="shared" ref="CR424:CR478" si="3964">AU424</f>
        <v>366</v>
      </c>
      <c r="CS424" s="72">
        <f t="shared" ref="CS424:CS478" si="3965">AY424</f>
        <v>392</v>
      </c>
      <c r="CT424" s="23">
        <f t="shared" ref="CT424:CT478" si="3966">M424-K424</f>
        <v>1</v>
      </c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  <c r="AMK424" s="1"/>
      <c r="AML424" s="1"/>
      <c r="AMM424" s="1"/>
      <c r="AMN424" s="1"/>
      <c r="AMO424" s="1"/>
    </row>
    <row r="425" spans="1:1030" x14ac:dyDescent="0.2">
      <c r="A425" s="3" t="str">
        <f t="shared" si="2821"/>
        <v>crfr1_human_4K5Y</v>
      </c>
      <c r="B425" s="3" t="s">
        <v>38</v>
      </c>
      <c r="C425" s="3" t="s">
        <v>95</v>
      </c>
      <c r="D425" s="3" t="str">
        <f>IFERROR(MID(VLOOKUP($B425,Seqs!$A:$B,2,0),E425,1),"")</f>
        <v>H</v>
      </c>
      <c r="E425" s="3">
        <v>117</v>
      </c>
      <c r="F425" s="3" t="str">
        <f>IFERROR(MID(VLOOKUP($B425,Seqs!$A:$B,2,0),G425,1),"")</f>
        <v>L</v>
      </c>
      <c r="G425" s="3">
        <v>144</v>
      </c>
      <c r="H425" s="3" t="str">
        <f>IFERROR(MID(VLOOKUP($B425,Seqs!$A:$B,2,0),I425,1),"")</f>
        <v>R</v>
      </c>
      <c r="I425" s="23">
        <v>145</v>
      </c>
      <c r="J425" s="3" t="str">
        <f>IFERROR(MID(VLOOKUP($B425,Seqs!$A:$B,2,0),K425,1),"")</f>
        <v>R</v>
      </c>
      <c r="K425" s="23">
        <v>148</v>
      </c>
      <c r="L425" s="3" t="str">
        <f>IFERROR(MID(VLOOKUP($B425,Seqs!$A:$B,2,0),M425,1),"")</f>
        <v>C</v>
      </c>
      <c r="M425" s="23">
        <v>149</v>
      </c>
      <c r="N425" s="3" t="str">
        <f>IFERROR(MID(VLOOKUP($B425,Seqs!$A:$B,2,0),O425,1),"")</f>
        <v>T</v>
      </c>
      <c r="O425" s="3">
        <v>175</v>
      </c>
      <c r="P425" s="3" t="str">
        <f>IFERROR(MID(VLOOKUP($B425,Seqs!$A:$B,2,0),Q425,1),"")</f>
        <v/>
      </c>
      <c r="Q425" s="3" t="s">
        <v>23</v>
      </c>
      <c r="R425" s="3" t="str">
        <f>IFERROR(MID(VLOOKUP($B425,Seqs!$A:$B,2,0),S425,1),"")</f>
        <v/>
      </c>
      <c r="S425" s="3" t="s">
        <v>23</v>
      </c>
      <c r="T425" s="3" t="str">
        <f>IFERROR(MID(VLOOKUP($B425,Seqs!$A:$B,2,0),U425,1),"")</f>
        <v>V</v>
      </c>
      <c r="U425" s="3">
        <v>185</v>
      </c>
      <c r="V425" s="3" t="str">
        <f>IFERROR(MID(VLOOKUP($B425,Seqs!$A:$B,2,0),W425,1),"")</f>
        <v>L</v>
      </c>
      <c r="W425" s="3">
        <v>219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L</v>
      </c>
      <c r="AC425" s="9">
        <v>226</v>
      </c>
      <c r="AD425" s="3" t="str">
        <f>IFERROR(MID(VLOOKUP($B425,Seqs!$A:$B,2,0),AE425,1),"")</f>
        <v>D</v>
      </c>
      <c r="AE425" s="3">
        <v>254</v>
      </c>
      <c r="AF425" s="3" t="str">
        <f>IFERROR(MID(VLOOKUP($B425,Seqs!$A:$B,2,0),AG425,1),"")</f>
        <v>C</v>
      </c>
      <c r="AG425" s="3">
        <v>258</v>
      </c>
      <c r="AH425" s="3" t="str">
        <f>IFERROR(MID(VLOOKUP($B425,Seqs!$A:$B,2,0),AI425,1),"")</f>
        <v>F</v>
      </c>
      <c r="AI425" s="3">
        <v>260</v>
      </c>
      <c r="AJ425" s="3" t="str">
        <f>IFERROR(MID(VLOOKUP($B425,Seqs!$A:$B,2,0),AK425,1),"")</f>
        <v>T</v>
      </c>
      <c r="AK425" s="3">
        <v>268</v>
      </c>
      <c r="AL425" s="3" t="str">
        <f>IFERROR(MID(VLOOKUP($B425,Seqs!$A:$B,2,0),AM425,1),"")</f>
        <v>L</v>
      </c>
      <c r="AM425" s="3">
        <v>298</v>
      </c>
      <c r="AN425" s="3" t="str">
        <f>IFERROR(MID(VLOOKUP($B425,Seqs!$A:$B,2,0),AO425,1),"")</f>
        <v>S</v>
      </c>
      <c r="AO425" s="3">
        <v>304</v>
      </c>
      <c r="AP425" s="3" t="str">
        <f>IFERROR(MID(VLOOKUP($B425,Seqs!$A:$B,2,0),AQ425,1),"")</f>
        <v>V</v>
      </c>
      <c r="AQ425" s="3">
        <v>332</v>
      </c>
      <c r="AR425" s="3" t="str">
        <f>IFERROR(MID(VLOOKUP($B425,Seqs!$A:$B,2,0),AS425,1),"")</f>
        <v>E</v>
      </c>
      <c r="AS425" s="3">
        <v>338</v>
      </c>
      <c r="AT425" s="3" t="str">
        <f>IFERROR(MID(VLOOKUP($B425,Seqs!$A:$B,2,0),AU425,1),"")</f>
        <v>N</v>
      </c>
      <c r="AU425" s="3">
        <v>367</v>
      </c>
      <c r="AV425" s="3" t="str">
        <f>IFERROR(MID(VLOOKUP($B425,Seqs!$A:$B,2,0),AW425,1),"")</f>
        <v/>
      </c>
      <c r="AW425" s="3" t="s">
        <v>23</v>
      </c>
      <c r="AX425" s="3" t="str">
        <f>IFERROR(MID(VLOOKUP($B425,Seqs!$A:$B,2,0),AY425,1),"")</f>
        <v/>
      </c>
      <c r="AY425" s="3" t="s">
        <v>23</v>
      </c>
      <c r="AZ425" s="77" t="str">
        <f>VLOOKUP(B425,Classification!A:D,2,0)</f>
        <v>B1</v>
      </c>
      <c r="BA425" s="94" t="str">
        <f>VLOOKUP(B425,Classification!A:D,4,0)</f>
        <v>Corticotropin-releasingfact</v>
      </c>
      <c r="BB425" s="27" t="b">
        <f t="shared" si="2822"/>
        <v>1</v>
      </c>
      <c r="BC425" s="23">
        <f t="shared" si="3941"/>
        <v>219</v>
      </c>
      <c r="BD425" s="4" t="s">
        <v>23</v>
      </c>
      <c r="BE425" s="3" t="s">
        <v>1370</v>
      </c>
      <c r="BF425" s="118">
        <v>2.98</v>
      </c>
      <c r="BG425" s="49" t="s">
        <v>1373</v>
      </c>
      <c r="BH425" s="49" t="s">
        <v>1373</v>
      </c>
      <c r="BI425" s="1"/>
      <c r="BJ425" s="70" t="s">
        <v>1283</v>
      </c>
      <c r="BK425" s="57" t="s">
        <v>1283</v>
      </c>
      <c r="BL425" s="57" t="s">
        <v>1283</v>
      </c>
      <c r="BM425" s="57" t="s">
        <v>1283</v>
      </c>
      <c r="BN425" s="57" t="s">
        <v>1283</v>
      </c>
      <c r="BO425" s="57" t="s">
        <v>1283</v>
      </c>
      <c r="BP425" s="57" t="s">
        <v>1283</v>
      </c>
      <c r="BQ425" s="57" t="s">
        <v>1283</v>
      </c>
      <c r="BR425" s="57" t="s">
        <v>1283</v>
      </c>
      <c r="BS425" s="57" t="s">
        <v>1283</v>
      </c>
      <c r="BT425" s="57" t="s">
        <v>1283</v>
      </c>
      <c r="BU425" s="57" t="s">
        <v>1283</v>
      </c>
      <c r="BV425" s="70">
        <f t="shared" si="3942"/>
        <v>117</v>
      </c>
      <c r="BW425" s="71">
        <f t="shared" si="3943"/>
        <v>145</v>
      </c>
      <c r="BX425" s="72">
        <f t="shared" si="3944"/>
        <v>149</v>
      </c>
      <c r="BY425" s="71" t="str">
        <f t="shared" si="3945"/>
        <v>-</v>
      </c>
      <c r="BZ425" s="72">
        <f t="shared" si="3946"/>
        <v>185</v>
      </c>
      <c r="CA425" s="71" t="str">
        <f t="shared" si="3947"/>
        <v>-</v>
      </c>
      <c r="CB425" s="72">
        <f t="shared" si="3948"/>
        <v>226</v>
      </c>
      <c r="CC425" s="71">
        <f t="shared" si="3949"/>
        <v>258</v>
      </c>
      <c r="CD425" s="72">
        <f t="shared" si="3950"/>
        <v>268</v>
      </c>
      <c r="CE425" s="71">
        <f t="shared" si="3951"/>
        <v>304</v>
      </c>
      <c r="CF425" s="72">
        <f t="shared" si="3952"/>
        <v>338</v>
      </c>
      <c r="CG425" s="71" t="str">
        <f t="shared" si="3953"/>
        <v>-</v>
      </c>
      <c r="CH425" s="70">
        <f t="shared" si="3954"/>
        <v>144</v>
      </c>
      <c r="CI425" s="71">
        <f t="shared" si="3955"/>
        <v>148</v>
      </c>
      <c r="CJ425" s="72">
        <f t="shared" si="3956"/>
        <v>175</v>
      </c>
      <c r="CK425" s="72" t="str">
        <f t="shared" si="3957"/>
        <v>-</v>
      </c>
      <c r="CL425" s="72">
        <f t="shared" si="3958"/>
        <v>219</v>
      </c>
      <c r="CM425" s="72" t="str">
        <f t="shared" si="3959"/>
        <v>-</v>
      </c>
      <c r="CN425" s="72">
        <f t="shared" si="3960"/>
        <v>254</v>
      </c>
      <c r="CO425" s="72">
        <f t="shared" si="3961"/>
        <v>260</v>
      </c>
      <c r="CP425" s="72">
        <f t="shared" si="3962"/>
        <v>298</v>
      </c>
      <c r="CQ425" s="72">
        <f t="shared" si="3963"/>
        <v>332</v>
      </c>
      <c r="CR425" s="72">
        <f t="shared" si="3964"/>
        <v>367</v>
      </c>
      <c r="CS425" s="72" t="str">
        <f t="shared" si="3965"/>
        <v>-</v>
      </c>
      <c r="CT425" s="23">
        <f t="shared" si="3966"/>
        <v>1</v>
      </c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  <c r="AMK425" s="1"/>
      <c r="AML425" s="1"/>
      <c r="AMM425" s="1"/>
      <c r="AMN425" s="1"/>
      <c r="AMO425" s="1"/>
    </row>
    <row r="426" spans="1:1030" x14ac:dyDescent="0.2">
      <c r="A426" s="3" t="str">
        <f>CONCATENATE(B426,"_",C426)</f>
        <v>crfr1_human_4K5Y_dist</v>
      </c>
      <c r="B426" s="3" t="s">
        <v>38</v>
      </c>
      <c r="C426" s="3" t="s">
        <v>1156</v>
      </c>
      <c r="D426" s="3" t="str">
        <f>IFERROR(MID(VLOOKUP($B426,Seqs!$A:$B,2,0),E426,1),"")</f>
        <v>H</v>
      </c>
      <c r="E426" s="3">
        <v>117</v>
      </c>
      <c r="F426" s="3" t="str">
        <f>IFERROR(MID(VLOOKUP($B426,Seqs!$A:$B,2,0),G426,1),"")</f>
        <v>L</v>
      </c>
      <c r="G426" s="3">
        <v>144</v>
      </c>
      <c r="H426" s="3" t="str">
        <f>IFERROR(MID(VLOOKUP($B426,Seqs!$A:$B,2,0),I426,1),"")</f>
        <v>R</v>
      </c>
      <c r="I426" s="23">
        <v>145</v>
      </c>
      <c r="J426" s="3" t="str">
        <f>IFERROR(MID(VLOOKUP($B426,Seqs!$A:$B,2,0),K426,1),"")</f>
        <v>R</v>
      </c>
      <c r="K426" s="23">
        <v>148</v>
      </c>
      <c r="L426" s="3" t="str">
        <f>IFERROR(MID(VLOOKUP($B426,Seqs!$A:$B,2,0),M426,1),"")</f>
        <v>C</v>
      </c>
      <c r="M426" s="23">
        <v>149</v>
      </c>
      <c r="N426" s="3" t="str">
        <f>IFERROR(MID(VLOOKUP($B426,Seqs!$A:$B,2,0),O426,1),"")</f>
        <v>T</v>
      </c>
      <c r="O426" s="3">
        <v>175</v>
      </c>
      <c r="P426" s="3" t="str">
        <f>IFERROR(MID(VLOOKUP($B426,Seqs!$A:$B,2,0),Q426,1),"")</f>
        <v/>
      </c>
      <c r="Q426" s="3" t="s">
        <v>23</v>
      </c>
      <c r="R426" s="3" t="str">
        <f>IFERROR(MID(VLOOKUP($B426,Seqs!$A:$B,2,0),S426,1),"")</f>
        <v/>
      </c>
      <c r="S426" s="3" t="s">
        <v>23</v>
      </c>
      <c r="T426" s="3" t="str">
        <f>IFERROR(MID(VLOOKUP($B426,Seqs!$A:$B,2,0),U426,1),"")</f>
        <v>V</v>
      </c>
      <c r="U426" s="3">
        <v>185</v>
      </c>
      <c r="V426" s="3" t="str">
        <f>IFERROR(MID(VLOOKUP($B426,Seqs!$A:$B,2,0),W426,1),"")</f>
        <v>L</v>
      </c>
      <c r="W426" s="3">
        <v>219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L</v>
      </c>
      <c r="AC426" s="9">
        <v>226</v>
      </c>
      <c r="AD426" s="3" t="str">
        <f>IFERROR(MID(VLOOKUP($B426,Seqs!$A:$B,2,0),AE426,1),"")</f>
        <v>D</v>
      </c>
      <c r="AE426" s="3">
        <v>254</v>
      </c>
      <c r="AF426" s="3" t="str">
        <f>IFERROR(MID(VLOOKUP($B426,Seqs!$A:$B,2,0),AG426,1),"")</f>
        <v>C</v>
      </c>
      <c r="AG426" s="3">
        <v>258</v>
      </c>
      <c r="AH426" s="3" t="str">
        <f>IFERROR(MID(VLOOKUP($B426,Seqs!$A:$B,2,0),AI426,1),"")</f>
        <v>F</v>
      </c>
      <c r="AI426" s="3">
        <v>260</v>
      </c>
      <c r="AJ426" s="3" t="str">
        <f>IFERROR(MID(VLOOKUP($B426,Seqs!$A:$B,2,0),AK426,1),"")</f>
        <v>T</v>
      </c>
      <c r="AK426" s="3">
        <v>268</v>
      </c>
      <c r="AL426" s="3" t="str">
        <f>IFERROR(MID(VLOOKUP($B426,Seqs!$A:$B,2,0),AM426,1),"")</f>
        <v>L</v>
      </c>
      <c r="AM426" s="3">
        <v>298</v>
      </c>
      <c r="AN426" s="3" t="str">
        <f>IFERROR(MID(VLOOKUP($B426,Seqs!$A:$B,2,0),AO426,1),"")</f>
        <v>S</v>
      </c>
      <c r="AO426" s="3">
        <v>304</v>
      </c>
      <c r="AP426" s="3" t="str">
        <f>IFERROR(MID(VLOOKUP($B426,Seqs!$A:$B,2,0),AQ426,1),"")</f>
        <v>V</v>
      </c>
      <c r="AQ426" s="3">
        <v>332</v>
      </c>
      <c r="AR426" s="3" t="str">
        <f>IFERROR(MID(VLOOKUP($B426,Seqs!$A:$B,2,0),AS426,1),"")</f>
        <v>E</v>
      </c>
      <c r="AS426" s="3">
        <v>338</v>
      </c>
      <c r="AT426" s="3" t="str">
        <f>IFERROR(MID(VLOOKUP($B426,Seqs!$A:$B,2,0),AU426,1),"")</f>
        <v>L</v>
      </c>
      <c r="AU426" s="3">
        <v>366</v>
      </c>
      <c r="AV426" s="3" t="str">
        <f>IFERROR(MID(VLOOKUP($B426,Seqs!$A:$B,2,0),AW426,1),"")</f>
        <v/>
      </c>
      <c r="AW426" s="3" t="s">
        <v>23</v>
      </c>
      <c r="AX426" s="3" t="str">
        <f>IFERROR(MID(VLOOKUP($B426,Seqs!$A:$B,2,0),AY426,1),"")</f>
        <v/>
      </c>
      <c r="AY426" s="3" t="s">
        <v>23</v>
      </c>
      <c r="AZ426" s="77" t="str">
        <f>VLOOKUP(B426,Classification!A:D,2,0)</f>
        <v>B1</v>
      </c>
      <c r="BA426" s="94" t="str">
        <f>VLOOKUP(B426,Classification!A:D,4,0)</f>
        <v>Corticotropin-releasingfact</v>
      </c>
      <c r="BB426" s="27" t="b">
        <f t="shared" si="2822"/>
        <v>1</v>
      </c>
      <c r="BC426" s="23">
        <f t="shared" si="3941"/>
        <v>218</v>
      </c>
      <c r="BD426" s="56" t="s">
        <v>23</v>
      </c>
      <c r="BE426" s="3" t="s">
        <v>1370</v>
      </c>
      <c r="BF426" s="118">
        <v>2.98</v>
      </c>
      <c r="BG426" s="49" t="s">
        <v>1373</v>
      </c>
      <c r="BH426" s="49" t="s">
        <v>1373</v>
      </c>
      <c r="BI426" s="3" t="s">
        <v>1158</v>
      </c>
      <c r="BJ426" s="70" t="s">
        <v>1283</v>
      </c>
      <c r="BK426" s="57" t="s">
        <v>1283</v>
      </c>
      <c r="BL426" s="57" t="s">
        <v>1283</v>
      </c>
      <c r="BM426" s="57" t="s">
        <v>1283</v>
      </c>
      <c r="BN426" s="57" t="s">
        <v>1283</v>
      </c>
      <c r="BO426" s="57" t="s">
        <v>1283</v>
      </c>
      <c r="BP426" s="57" t="s">
        <v>1283</v>
      </c>
      <c r="BQ426" s="57" t="s">
        <v>1283</v>
      </c>
      <c r="BR426" s="57" t="s">
        <v>1283</v>
      </c>
      <c r="BS426" s="57" t="s">
        <v>1283</v>
      </c>
      <c r="BT426" s="57" t="s">
        <v>1283</v>
      </c>
      <c r="BU426" s="57" t="s">
        <v>1283</v>
      </c>
      <c r="BV426" s="70">
        <f t="shared" si="3942"/>
        <v>117</v>
      </c>
      <c r="BW426" s="71">
        <f t="shared" si="3943"/>
        <v>145</v>
      </c>
      <c r="BX426" s="72">
        <f t="shared" si="3944"/>
        <v>149</v>
      </c>
      <c r="BY426" s="71" t="str">
        <f t="shared" si="3945"/>
        <v>-</v>
      </c>
      <c r="BZ426" s="72">
        <f t="shared" si="3946"/>
        <v>185</v>
      </c>
      <c r="CA426" s="71" t="str">
        <f t="shared" si="3947"/>
        <v>-</v>
      </c>
      <c r="CB426" s="72">
        <f t="shared" si="3948"/>
        <v>226</v>
      </c>
      <c r="CC426" s="71">
        <f t="shared" si="3949"/>
        <v>258</v>
      </c>
      <c r="CD426" s="72">
        <f t="shared" si="3950"/>
        <v>268</v>
      </c>
      <c r="CE426" s="71">
        <f t="shared" si="3951"/>
        <v>304</v>
      </c>
      <c r="CF426" s="72">
        <f t="shared" si="3952"/>
        <v>338</v>
      </c>
      <c r="CG426" s="71" t="str">
        <f t="shared" si="3953"/>
        <v>-</v>
      </c>
      <c r="CH426" s="70">
        <f t="shared" si="3954"/>
        <v>144</v>
      </c>
      <c r="CI426" s="71">
        <f t="shared" si="3955"/>
        <v>148</v>
      </c>
      <c r="CJ426" s="72">
        <f t="shared" si="3956"/>
        <v>175</v>
      </c>
      <c r="CK426" s="72" t="str">
        <f t="shared" si="3957"/>
        <v>-</v>
      </c>
      <c r="CL426" s="72">
        <f t="shared" si="3958"/>
        <v>219</v>
      </c>
      <c r="CM426" s="72" t="str">
        <f t="shared" si="3959"/>
        <v>-</v>
      </c>
      <c r="CN426" s="72">
        <f t="shared" si="3960"/>
        <v>254</v>
      </c>
      <c r="CO426" s="72">
        <f t="shared" si="3961"/>
        <v>260</v>
      </c>
      <c r="CP426" s="72">
        <f t="shared" si="3962"/>
        <v>298</v>
      </c>
      <c r="CQ426" s="72">
        <f t="shared" si="3963"/>
        <v>332</v>
      </c>
      <c r="CR426" s="72">
        <f t="shared" si="3964"/>
        <v>366</v>
      </c>
      <c r="CS426" s="72" t="str">
        <f t="shared" si="3965"/>
        <v>-</v>
      </c>
      <c r="CT426" s="23">
        <f t="shared" si="3966"/>
        <v>1</v>
      </c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  <c r="AMK426" s="1"/>
      <c r="AML426" s="1"/>
      <c r="AMM426" s="1"/>
      <c r="AMN426" s="1"/>
      <c r="AMO426" s="1"/>
    </row>
    <row r="427" spans="1:1030" x14ac:dyDescent="0.2">
      <c r="A427" s="3" t="str">
        <f t="shared" si="2821"/>
        <v>crfr1_human_4Z9G</v>
      </c>
      <c r="B427" s="3" t="s">
        <v>38</v>
      </c>
      <c r="C427" s="3" t="s">
        <v>1055</v>
      </c>
      <c r="D427" s="3" t="str">
        <f>IFERROR(MID(VLOOKUP($B427,Seqs!$A:$B,2,0),E427,1),"")</f>
        <v>S</v>
      </c>
      <c r="E427" s="3">
        <v>112</v>
      </c>
      <c r="F427" s="3" t="str">
        <f>IFERROR(MID(VLOOKUP($B427,Seqs!$A:$B,2,0),G427,1),"")</f>
        <v>L</v>
      </c>
      <c r="G427" s="3">
        <v>144</v>
      </c>
      <c r="H427" s="3" t="str">
        <f>IFERROR(MID(VLOOKUP($B427,Seqs!$A:$B,2,0),I427,1),"")</f>
        <v>R</v>
      </c>
      <c r="I427" s="23">
        <v>145</v>
      </c>
      <c r="J427" s="3" t="str">
        <f>IFERROR(MID(VLOOKUP($B427,Seqs!$A:$B,2,0),K427,1),"")</f>
        <v>R</v>
      </c>
      <c r="K427" s="23">
        <v>148</v>
      </c>
      <c r="L427" s="3" t="str">
        <f>IFERROR(MID(VLOOKUP($B427,Seqs!$A:$B,2,0),M427,1),"")</f>
        <v>C</v>
      </c>
      <c r="M427" s="23">
        <v>149</v>
      </c>
      <c r="N427" s="3" t="str">
        <f>IFERROR(MID(VLOOKUP($B427,Seqs!$A:$B,2,0),O427,1),"")</f>
        <v>T</v>
      </c>
      <c r="O427" s="3">
        <v>175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V</v>
      </c>
      <c r="U427" s="3">
        <v>185</v>
      </c>
      <c r="V427" s="3" t="str">
        <f>IFERROR(MID(VLOOKUP($B427,Seqs!$A:$B,2,0),W427,1),"")</f>
        <v>L</v>
      </c>
      <c r="W427" s="3">
        <v>219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L</v>
      </c>
      <c r="AC427" s="9">
        <v>226</v>
      </c>
      <c r="AD427" s="3" t="str">
        <f>IFERROR(MID(VLOOKUP($B427,Seqs!$A:$B,2,0),AE427,1),"")</f>
        <v>D</v>
      </c>
      <c r="AE427" s="3">
        <v>254</v>
      </c>
      <c r="AF427" s="3" t="str">
        <f>IFERROR(MID(VLOOKUP($B427,Seqs!$A:$B,2,0),AG427,1),"")</f>
        <v>C</v>
      </c>
      <c r="AG427" s="3">
        <v>258</v>
      </c>
      <c r="AH427" s="3" t="str">
        <f>IFERROR(MID(VLOOKUP($B427,Seqs!$A:$B,2,0),AI427,1),"")</f>
        <v>F</v>
      </c>
      <c r="AI427" s="3">
        <v>260</v>
      </c>
      <c r="AJ427" s="3" t="str">
        <f>IFERROR(MID(VLOOKUP($B427,Seqs!$A:$B,2,0),AK427,1),"")</f>
        <v>T</v>
      </c>
      <c r="AK427" s="3">
        <v>268</v>
      </c>
      <c r="AL427" s="3" t="str">
        <f>IFERROR(MID(VLOOKUP($B427,Seqs!$A:$B,2,0),AM427,1),"")</f>
        <v>L</v>
      </c>
      <c r="AM427" s="3">
        <v>298</v>
      </c>
      <c r="AN427" s="3" t="str">
        <f>IFERROR(MID(VLOOKUP($B427,Seqs!$A:$B,2,0),AO427,1),"")</f>
        <v>S</v>
      </c>
      <c r="AO427" s="3">
        <v>304</v>
      </c>
      <c r="AP427" s="3" t="str">
        <f>IFERROR(MID(VLOOKUP($B427,Seqs!$A:$B,2,0),AQ427,1),"")</f>
        <v>V</v>
      </c>
      <c r="AQ427" s="3">
        <v>332</v>
      </c>
      <c r="AR427" s="3" t="str">
        <f>IFERROR(MID(VLOOKUP($B427,Seqs!$A:$B,2,0),AS427,1),"")</f>
        <v>V</v>
      </c>
      <c r="AS427" s="3">
        <v>339</v>
      </c>
      <c r="AT427" s="3" t="str">
        <f>IFERROR(MID(VLOOKUP($B427,Seqs!$A:$B,2,0),AU427,1),"")</f>
        <v>F</v>
      </c>
      <c r="AU427" s="3">
        <v>362</v>
      </c>
      <c r="AV427" s="3" t="str">
        <f>IFERROR(MID(VLOOKUP($B427,Seqs!$A:$B,2,0),AW427,1),"")</f>
        <v/>
      </c>
      <c r="AW427" s="3" t="s">
        <v>23</v>
      </c>
      <c r="AX427" s="3" t="str">
        <f>IFERROR(MID(VLOOKUP($B427,Seqs!$A:$B,2,0),AY427,1),"")</f>
        <v/>
      </c>
      <c r="AY427" s="3" t="s">
        <v>23</v>
      </c>
      <c r="AZ427" s="77" t="str">
        <f>VLOOKUP(B427,Classification!A:D,2,0)</f>
        <v>B1</v>
      </c>
      <c r="BA427" s="94" t="str">
        <f>VLOOKUP(B427,Classification!A:D,4,0)</f>
        <v>Corticotropin-releasingfact</v>
      </c>
      <c r="BB427" s="27" t="b">
        <f t="shared" si="2822"/>
        <v>1</v>
      </c>
      <c r="BC427" s="23">
        <f t="shared" si="3941"/>
        <v>218</v>
      </c>
      <c r="BD427" s="2" t="s">
        <v>1372</v>
      </c>
      <c r="BE427" s="3" t="s">
        <v>1370</v>
      </c>
      <c r="BF427" s="118">
        <v>3.18</v>
      </c>
      <c r="BG427" s="49" t="s">
        <v>1373</v>
      </c>
      <c r="BH427" s="49" t="s">
        <v>1373</v>
      </c>
      <c r="BI427" s="1"/>
      <c r="BJ427" s="70" t="s">
        <v>1283</v>
      </c>
      <c r="BK427" s="57" t="s">
        <v>1283</v>
      </c>
      <c r="BL427" s="57" t="s">
        <v>1283</v>
      </c>
      <c r="BM427" s="57" t="s">
        <v>1283</v>
      </c>
      <c r="BN427" s="57" t="s">
        <v>1283</v>
      </c>
      <c r="BO427" s="57" t="s">
        <v>1283</v>
      </c>
      <c r="BP427" s="57" t="s">
        <v>1283</v>
      </c>
      <c r="BQ427" s="57" t="s">
        <v>1283</v>
      </c>
      <c r="BR427" s="57" t="s">
        <v>1283</v>
      </c>
      <c r="BS427" s="57" t="s">
        <v>1283</v>
      </c>
      <c r="BT427" s="57" t="s">
        <v>1283</v>
      </c>
      <c r="BU427" s="57" t="s">
        <v>1283</v>
      </c>
      <c r="BV427" s="70">
        <f t="shared" si="3942"/>
        <v>112</v>
      </c>
      <c r="BW427" s="71">
        <f t="shared" si="3943"/>
        <v>145</v>
      </c>
      <c r="BX427" s="72">
        <f t="shared" si="3944"/>
        <v>149</v>
      </c>
      <c r="BY427" s="71" t="str">
        <f t="shared" si="3945"/>
        <v>-</v>
      </c>
      <c r="BZ427" s="72">
        <f t="shared" si="3946"/>
        <v>185</v>
      </c>
      <c r="CA427" s="71" t="str">
        <f t="shared" si="3947"/>
        <v>-</v>
      </c>
      <c r="CB427" s="72">
        <f t="shared" si="3948"/>
        <v>226</v>
      </c>
      <c r="CC427" s="71">
        <f t="shared" si="3949"/>
        <v>258</v>
      </c>
      <c r="CD427" s="72">
        <f t="shared" si="3950"/>
        <v>268</v>
      </c>
      <c r="CE427" s="71">
        <f t="shared" si="3951"/>
        <v>304</v>
      </c>
      <c r="CF427" s="72">
        <f t="shared" si="3952"/>
        <v>339</v>
      </c>
      <c r="CG427" s="71" t="str">
        <f t="shared" si="3953"/>
        <v>-</v>
      </c>
      <c r="CH427" s="70">
        <f t="shared" si="3954"/>
        <v>144</v>
      </c>
      <c r="CI427" s="71">
        <f t="shared" si="3955"/>
        <v>148</v>
      </c>
      <c r="CJ427" s="72">
        <f t="shared" si="3956"/>
        <v>175</v>
      </c>
      <c r="CK427" s="72" t="str">
        <f t="shared" si="3957"/>
        <v>-</v>
      </c>
      <c r="CL427" s="72">
        <f t="shared" si="3958"/>
        <v>219</v>
      </c>
      <c r="CM427" s="72" t="str">
        <f t="shared" si="3959"/>
        <v>-</v>
      </c>
      <c r="CN427" s="72">
        <f t="shared" si="3960"/>
        <v>254</v>
      </c>
      <c r="CO427" s="72">
        <f t="shared" si="3961"/>
        <v>260</v>
      </c>
      <c r="CP427" s="72">
        <f t="shared" si="3962"/>
        <v>298</v>
      </c>
      <c r="CQ427" s="72">
        <f t="shared" si="3963"/>
        <v>332</v>
      </c>
      <c r="CR427" s="72">
        <f t="shared" si="3964"/>
        <v>362</v>
      </c>
      <c r="CS427" s="72" t="str">
        <f t="shared" si="3965"/>
        <v>-</v>
      </c>
      <c r="CT427" s="23">
        <f t="shared" si="3966"/>
        <v>1</v>
      </c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</row>
    <row r="428" spans="1:1030" x14ac:dyDescent="0.2">
      <c r="A428" s="3" t="str">
        <f t="shared" si="2821"/>
        <v>crfr1_human_4Z9G_dist</v>
      </c>
      <c r="B428" s="3" t="s">
        <v>38</v>
      </c>
      <c r="C428" s="3" t="s">
        <v>1157</v>
      </c>
      <c r="D428" s="3" t="str">
        <f>IFERROR(MID(VLOOKUP($B428,Seqs!$A:$B,2,0),E428,1),"")</f>
        <v>S</v>
      </c>
      <c r="E428" s="3">
        <v>112</v>
      </c>
      <c r="F428" s="3" t="str">
        <f>IFERROR(MID(VLOOKUP($B428,Seqs!$A:$B,2,0),G428,1),"")</f>
        <v>L</v>
      </c>
      <c r="G428" s="3">
        <v>144</v>
      </c>
      <c r="H428" s="3" t="str">
        <f>IFERROR(MID(VLOOKUP($B428,Seqs!$A:$B,2,0),I428,1),"")</f>
        <v>R</v>
      </c>
      <c r="I428" s="23">
        <v>145</v>
      </c>
      <c r="J428" s="3" t="str">
        <f>IFERROR(MID(VLOOKUP($B428,Seqs!$A:$B,2,0),K428,1),"")</f>
        <v>R</v>
      </c>
      <c r="K428" s="23">
        <v>148</v>
      </c>
      <c r="L428" s="3" t="str">
        <f>IFERROR(MID(VLOOKUP($B428,Seqs!$A:$B,2,0),M428,1),"")</f>
        <v>C</v>
      </c>
      <c r="M428" s="23">
        <v>149</v>
      </c>
      <c r="N428" s="3" t="str">
        <f>IFERROR(MID(VLOOKUP($B428,Seqs!$A:$B,2,0),O428,1),"")</f>
        <v>T</v>
      </c>
      <c r="O428" s="3">
        <v>175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V</v>
      </c>
      <c r="U428" s="3">
        <v>185</v>
      </c>
      <c r="V428" s="3" t="str">
        <f>IFERROR(MID(VLOOKUP($B428,Seqs!$A:$B,2,0),W428,1),"")</f>
        <v>L</v>
      </c>
      <c r="W428" s="3">
        <v>219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L</v>
      </c>
      <c r="AC428" s="9">
        <v>226</v>
      </c>
      <c r="AD428" s="3" t="str">
        <f>IFERROR(MID(VLOOKUP($B428,Seqs!$A:$B,2,0),AE428,1),"")</f>
        <v>D</v>
      </c>
      <c r="AE428" s="3">
        <v>254</v>
      </c>
      <c r="AF428" s="3" t="str">
        <f>IFERROR(MID(VLOOKUP($B428,Seqs!$A:$B,2,0),AG428,1),"")</f>
        <v>C</v>
      </c>
      <c r="AG428" s="3">
        <v>258</v>
      </c>
      <c r="AH428" s="3" t="str">
        <f>IFERROR(MID(VLOOKUP($B428,Seqs!$A:$B,2,0),AI428,1),"")</f>
        <v>F</v>
      </c>
      <c r="AI428" s="3">
        <v>260</v>
      </c>
      <c r="AJ428" s="3" t="str">
        <f>IFERROR(MID(VLOOKUP($B428,Seqs!$A:$B,2,0),AK428,1),"")</f>
        <v>T</v>
      </c>
      <c r="AK428" s="3">
        <v>268</v>
      </c>
      <c r="AL428" s="3" t="str">
        <f>IFERROR(MID(VLOOKUP($B428,Seqs!$A:$B,2,0),AM428,1),"")</f>
        <v>L</v>
      </c>
      <c r="AM428" s="3">
        <v>298</v>
      </c>
      <c r="AN428" s="3" t="str">
        <f>IFERROR(MID(VLOOKUP($B428,Seqs!$A:$B,2,0),AO428,1),"")</f>
        <v>S</v>
      </c>
      <c r="AO428" s="3">
        <v>304</v>
      </c>
      <c r="AP428" s="3" t="str">
        <f>IFERROR(MID(VLOOKUP($B428,Seqs!$A:$B,2,0),AQ428,1),"")</f>
        <v>V</v>
      </c>
      <c r="AQ428" s="3">
        <v>332</v>
      </c>
      <c r="AR428" s="3" t="str">
        <f>IFERROR(MID(VLOOKUP($B428,Seqs!$A:$B,2,0),AS428,1),"")</f>
        <v>V</v>
      </c>
      <c r="AS428" s="3">
        <v>339</v>
      </c>
      <c r="AT428" s="3" t="str">
        <f>IFERROR(MID(VLOOKUP($B428,Seqs!$A:$B,2,0),AU428,1),"")</f>
        <v>E</v>
      </c>
      <c r="AU428" s="3">
        <v>369</v>
      </c>
      <c r="AV428" s="3" t="str">
        <f>IFERROR(MID(VLOOKUP($B428,Seqs!$A:$B,2,0),AW428,1),"")</f>
        <v/>
      </c>
      <c r="AW428" s="3" t="s">
        <v>23</v>
      </c>
      <c r="AX428" s="3" t="str">
        <f>IFERROR(MID(VLOOKUP($B428,Seqs!$A:$B,2,0),AY428,1),"")</f>
        <v/>
      </c>
      <c r="AY428" s="3" t="s">
        <v>23</v>
      </c>
      <c r="AZ428" s="77" t="str">
        <f>VLOOKUP(B428,Classification!A:D,2,0)</f>
        <v>B1</v>
      </c>
      <c r="BA428" s="94" t="str">
        <f>VLOOKUP(B428,Classification!A:D,4,0)</f>
        <v>Corticotropin-releasingfact</v>
      </c>
      <c r="BB428" s="27" t="b">
        <f t="shared" si="2822"/>
        <v>1</v>
      </c>
      <c r="BC428" s="23">
        <f t="shared" si="3941"/>
        <v>225</v>
      </c>
      <c r="BD428" s="56" t="s">
        <v>23</v>
      </c>
      <c r="BE428" s="3" t="s">
        <v>1370</v>
      </c>
      <c r="BF428" s="118">
        <v>3.18</v>
      </c>
      <c r="BG428" s="49" t="s">
        <v>1373</v>
      </c>
      <c r="BH428" s="49" t="s">
        <v>1373</v>
      </c>
      <c r="BI428" s="3" t="s">
        <v>1158</v>
      </c>
      <c r="BJ428" s="70" t="s">
        <v>1283</v>
      </c>
      <c r="BK428" s="57" t="s">
        <v>1283</v>
      </c>
      <c r="BL428" s="57" t="s">
        <v>1283</v>
      </c>
      <c r="BM428" s="57" t="s">
        <v>1283</v>
      </c>
      <c r="BN428" s="57" t="s">
        <v>1283</v>
      </c>
      <c r="BO428" s="57" t="s">
        <v>1283</v>
      </c>
      <c r="BP428" s="57" t="s">
        <v>1283</v>
      </c>
      <c r="BQ428" s="57" t="s">
        <v>1283</v>
      </c>
      <c r="BR428" s="57" t="s">
        <v>1283</v>
      </c>
      <c r="BS428" s="57" t="s">
        <v>1283</v>
      </c>
      <c r="BT428" s="57" t="s">
        <v>1283</v>
      </c>
      <c r="BU428" s="57" t="s">
        <v>1283</v>
      </c>
      <c r="BV428" s="70">
        <f t="shared" si="3942"/>
        <v>112</v>
      </c>
      <c r="BW428" s="71">
        <f t="shared" si="3943"/>
        <v>145</v>
      </c>
      <c r="BX428" s="72">
        <f t="shared" si="3944"/>
        <v>149</v>
      </c>
      <c r="BY428" s="71" t="str">
        <f t="shared" si="3945"/>
        <v>-</v>
      </c>
      <c r="BZ428" s="72">
        <f t="shared" si="3946"/>
        <v>185</v>
      </c>
      <c r="CA428" s="71" t="str">
        <f t="shared" si="3947"/>
        <v>-</v>
      </c>
      <c r="CB428" s="72">
        <f t="shared" si="3948"/>
        <v>226</v>
      </c>
      <c r="CC428" s="71">
        <f t="shared" si="3949"/>
        <v>258</v>
      </c>
      <c r="CD428" s="72">
        <f t="shared" si="3950"/>
        <v>268</v>
      </c>
      <c r="CE428" s="71">
        <f t="shared" si="3951"/>
        <v>304</v>
      </c>
      <c r="CF428" s="72">
        <f t="shared" si="3952"/>
        <v>339</v>
      </c>
      <c r="CG428" s="71" t="str">
        <f t="shared" si="3953"/>
        <v>-</v>
      </c>
      <c r="CH428" s="70">
        <f t="shared" si="3954"/>
        <v>144</v>
      </c>
      <c r="CI428" s="71">
        <f t="shared" si="3955"/>
        <v>148</v>
      </c>
      <c r="CJ428" s="72">
        <f t="shared" si="3956"/>
        <v>175</v>
      </c>
      <c r="CK428" s="72" t="str">
        <f t="shared" si="3957"/>
        <v>-</v>
      </c>
      <c r="CL428" s="72">
        <f t="shared" si="3958"/>
        <v>219</v>
      </c>
      <c r="CM428" s="72" t="str">
        <f t="shared" si="3959"/>
        <v>-</v>
      </c>
      <c r="CN428" s="72">
        <f t="shared" si="3960"/>
        <v>254</v>
      </c>
      <c r="CO428" s="72">
        <f t="shared" si="3961"/>
        <v>260</v>
      </c>
      <c r="CP428" s="72">
        <f t="shared" si="3962"/>
        <v>298</v>
      </c>
      <c r="CQ428" s="72">
        <f t="shared" si="3963"/>
        <v>332</v>
      </c>
      <c r="CR428" s="72">
        <f t="shared" si="3964"/>
        <v>369</v>
      </c>
      <c r="CS428" s="72" t="str">
        <f t="shared" si="3965"/>
        <v>-</v>
      </c>
      <c r="CT428" s="23">
        <f t="shared" si="3966"/>
        <v>1</v>
      </c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</row>
    <row r="429" spans="1:1030" x14ac:dyDescent="0.2">
      <c r="A429" s="3" t="str">
        <f t="shared" ref="A429:A430" si="3967">CONCATENATE(B429,"_",C429)</f>
        <v>crfr2_human__wt</v>
      </c>
      <c r="B429" s="3" t="s">
        <v>402</v>
      </c>
      <c r="C429" s="3" t="s">
        <v>100</v>
      </c>
      <c r="D429" s="3" t="str">
        <f>IFERROR(MID(VLOOKUP($B429,Seqs!$A:$B,2,0),E429,1),"")</f>
        <v>P</v>
      </c>
      <c r="E429" s="3">
        <v>100</v>
      </c>
      <c r="F429" s="3" t="str">
        <f>IFERROR(MID(VLOOKUP($B429,Seqs!$A:$B,2,0),G429,1),"")</f>
        <v>L</v>
      </c>
      <c r="G429" s="3">
        <v>141</v>
      </c>
      <c r="H429" s="3" t="str">
        <f>IFERROR(MID(VLOOKUP($B429,Seqs!$A:$B,2,0),I429,1),"")</f>
        <v>R</v>
      </c>
      <c r="I429" s="23">
        <v>142</v>
      </c>
      <c r="J429" s="3" t="str">
        <f>IFERROR(MID(VLOOKUP($B429,Seqs!$A:$B,2,0),K429,1),"")</f>
        <v>R</v>
      </c>
      <c r="K429" s="23">
        <v>145</v>
      </c>
      <c r="L429" s="3" t="str">
        <f>IFERROR(MID(VLOOKUP($B429,Seqs!$A:$B,2,0),M429,1),"")</f>
        <v>C</v>
      </c>
      <c r="M429" s="23">
        <v>146</v>
      </c>
      <c r="N429" s="3" t="str">
        <f>IFERROR(MID(VLOOKUP($B429,Seqs!$A:$B,2,0),O429,1),"")</f>
        <v>V</v>
      </c>
      <c r="O429" s="3">
        <v>172</v>
      </c>
      <c r="P429" s="3" t="str">
        <f>IFERROR(MID(VLOOKUP($B429,Seqs!$A:$B,2,0),Q429,1),"")</f>
        <v/>
      </c>
      <c r="Q429" s="3" t="s">
        <v>23</v>
      </c>
      <c r="R429" s="3" t="str">
        <f>IFERROR(MID(VLOOKUP($B429,Seqs!$A:$B,2,0),S429,1),"")</f>
        <v/>
      </c>
      <c r="S429" s="3" t="s">
        <v>23</v>
      </c>
      <c r="T429" s="3" t="str">
        <f>IFERROR(MID(VLOOKUP($B429,Seqs!$A:$B,2,0),U429,1),"")</f>
        <v>E</v>
      </c>
      <c r="U429" s="3">
        <v>181</v>
      </c>
      <c r="V429" s="3" t="str">
        <f>IFERROR(MID(VLOOKUP($B429,Seqs!$A:$B,2,0),W429,1),"")</f>
        <v>M</v>
      </c>
      <c r="W429" s="3">
        <v>215</v>
      </c>
      <c r="X429" s="3" t="str">
        <f>IFERROR(MID(VLOOKUP($B429,Seqs!$A:$B,2,0),Y429,1),"")</f>
        <v/>
      </c>
      <c r="Y429" s="3" t="s">
        <v>23</v>
      </c>
      <c r="Z429" s="3" t="str">
        <f>IFERROR(MID(VLOOKUP($B429,Seqs!$A:$B,2,0),AA429,1),"")</f>
        <v/>
      </c>
      <c r="AA429" s="3" t="s">
        <v>23</v>
      </c>
      <c r="AB429" s="3" t="str">
        <f>IFERROR(MID(VLOOKUP($B429,Seqs!$A:$B,2,0),AC429,1),"")</f>
        <v>R</v>
      </c>
      <c r="AC429" s="3">
        <v>223</v>
      </c>
      <c r="AD429" s="3" t="str">
        <f>IFERROR(MID(VLOOKUP($B429,Seqs!$A:$B,2,0),AE429,1),"")</f>
        <v>E</v>
      </c>
      <c r="AE429" s="3">
        <v>250</v>
      </c>
      <c r="AF429" s="3" t="str">
        <f>IFERROR(MID(VLOOKUP($B429,Seqs!$A:$B,2,0),AG429,1),"")</f>
        <v>C</v>
      </c>
      <c r="AG429" s="3">
        <v>254</v>
      </c>
      <c r="AH429" s="3" t="str">
        <f>IFERROR(MID(VLOOKUP($B429,Seqs!$A:$B,2,0),AI429,1),"")</f>
        <v>F</v>
      </c>
      <c r="AI429" s="3">
        <v>256</v>
      </c>
      <c r="AJ429" s="3" t="str">
        <f>IFERROR(MID(VLOOKUP($B429,Seqs!$A:$B,2,0),AK429,1),"")</f>
        <v>V</v>
      </c>
      <c r="AK429" s="3">
        <v>264</v>
      </c>
      <c r="AL429" s="3" t="str">
        <f>IFERROR(MID(VLOOKUP($B429,Seqs!$A:$B,2,0),AM429,1),"")</f>
        <v>A</v>
      </c>
      <c r="AM429" s="3">
        <v>296</v>
      </c>
      <c r="AN429" s="3" t="str">
        <f>IFERROR(MID(VLOOKUP($B429,Seqs!$A:$B,2,0),AO429,1),"")</f>
        <v>S</v>
      </c>
      <c r="AO429" s="3">
        <v>300</v>
      </c>
      <c r="AP429" s="3" t="str">
        <f>IFERROR(MID(VLOOKUP($B429,Seqs!$A:$B,2,0),AQ429,1),"")</f>
        <v>V</v>
      </c>
      <c r="AQ429" s="3">
        <v>328</v>
      </c>
      <c r="AR429" s="3" t="str">
        <f>IFERROR(MID(VLOOKUP($B429,Seqs!$A:$B,2,0),AS429,1),"")</f>
        <v>D</v>
      </c>
      <c r="AS429" s="3">
        <v>334</v>
      </c>
      <c r="AT429" s="3" t="str">
        <f>IFERROR(MID(VLOOKUP($B429,Seqs!$A:$B,2,0),AU429,1),"")</f>
        <v>F</v>
      </c>
      <c r="AU429" s="3">
        <v>362</v>
      </c>
      <c r="AV429" s="3" t="str">
        <f>IFERROR(MID(VLOOKUP($B429,Seqs!$A:$B,2,0),AW429,1),"")</f>
        <v>N</v>
      </c>
      <c r="AW429" s="3">
        <v>363</v>
      </c>
      <c r="AX429" s="3" t="str">
        <f>IFERROR(MID(VLOOKUP($B429,Seqs!$A:$B,2,0),AY429,1),"")</f>
        <v>A</v>
      </c>
      <c r="AY429" s="3">
        <v>388</v>
      </c>
      <c r="AZ429" s="77" t="str">
        <f>VLOOKUP(B429,Classification!A:D,2,0)</f>
        <v>B1</v>
      </c>
      <c r="BA429" s="94" t="str">
        <f>VLOOKUP(B429,Classification!A:D,4,0)</f>
        <v>Corticotropin-releasingfact</v>
      </c>
      <c r="BB429" s="27" t="b">
        <f t="shared" ref="BB429:BB430" si="3968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23">
        <f t="shared" ref="BC429:BC430" si="3969">_xlfn.AGGREGATE(9,6,CH429:CS429)-_xlfn.AGGREGATE(9,6,BV429:CG429)+12</f>
        <v>258</v>
      </c>
      <c r="BD429" s="56" t="s">
        <v>23</v>
      </c>
      <c r="BE429" s="3" t="s">
        <v>23</v>
      </c>
      <c r="BF429" s="118" t="s">
        <v>23</v>
      </c>
      <c r="BG429" s="49" t="s">
        <v>1373</v>
      </c>
      <c r="BH429" s="49" t="s">
        <v>1373</v>
      </c>
      <c r="BJ429" s="70" t="s">
        <v>1283</v>
      </c>
      <c r="BK429" s="57" t="s">
        <v>1283</v>
      </c>
      <c r="BL429" s="57" t="s">
        <v>1283</v>
      </c>
      <c r="BM429" s="57" t="s">
        <v>1283</v>
      </c>
      <c r="BN429" s="57" t="s">
        <v>1283</v>
      </c>
      <c r="BO429" s="57" t="s">
        <v>1283</v>
      </c>
      <c r="BP429" s="57" t="s">
        <v>1283</v>
      </c>
      <c r="BQ429" s="57" t="s">
        <v>1283</v>
      </c>
      <c r="BR429" s="57" t="s">
        <v>1283</v>
      </c>
      <c r="BS429" s="57" t="s">
        <v>1283</v>
      </c>
      <c r="BT429" s="57" t="s">
        <v>1283</v>
      </c>
      <c r="BU429" s="57" t="s">
        <v>1283</v>
      </c>
      <c r="BV429" s="70">
        <f t="shared" ref="BV429:BV430" si="3970">E429</f>
        <v>100</v>
      </c>
      <c r="BW429" s="71">
        <f t="shared" ref="BW429:BW430" si="3971">I429</f>
        <v>142</v>
      </c>
      <c r="BX429" s="72">
        <f t="shared" ref="BX429:BX430" si="3972">M429</f>
        <v>146</v>
      </c>
      <c r="BY429" s="71" t="str">
        <f t="shared" ref="BY429:BY430" si="3973">Q429</f>
        <v>-</v>
      </c>
      <c r="BZ429" s="72">
        <f t="shared" ref="BZ429:BZ430" si="3974">U429</f>
        <v>181</v>
      </c>
      <c r="CA429" s="71" t="str">
        <f t="shared" ref="CA429:CA430" si="3975">Y429</f>
        <v>-</v>
      </c>
      <c r="CB429" s="72">
        <f t="shared" ref="CB429:CB430" si="3976">AC429</f>
        <v>223</v>
      </c>
      <c r="CC429" s="71">
        <f t="shared" ref="CC429:CC430" si="3977">AG429</f>
        <v>254</v>
      </c>
      <c r="CD429" s="72">
        <f t="shared" ref="CD429:CD430" si="3978">AK429</f>
        <v>264</v>
      </c>
      <c r="CE429" s="71">
        <f t="shared" ref="CE429:CE430" si="3979">AO429</f>
        <v>300</v>
      </c>
      <c r="CF429" s="72">
        <f t="shared" ref="CF429:CF430" si="3980">AS429</f>
        <v>334</v>
      </c>
      <c r="CG429" s="71">
        <f t="shared" ref="CG429:CG430" si="3981">AW429</f>
        <v>363</v>
      </c>
      <c r="CH429" s="70">
        <f t="shared" ref="CH429:CH430" si="3982">G429</f>
        <v>141</v>
      </c>
      <c r="CI429" s="71">
        <f t="shared" ref="CI429:CI430" si="3983">K429</f>
        <v>145</v>
      </c>
      <c r="CJ429" s="72">
        <f t="shared" ref="CJ429:CJ430" si="3984">O429</f>
        <v>172</v>
      </c>
      <c r="CK429" s="72" t="str">
        <f t="shared" ref="CK429:CK430" si="3985">S429</f>
        <v>-</v>
      </c>
      <c r="CL429" s="72">
        <f t="shared" ref="CL429:CL430" si="3986">W429</f>
        <v>215</v>
      </c>
      <c r="CM429" s="72" t="str">
        <f t="shared" ref="CM429:CM430" si="3987">AA429</f>
        <v>-</v>
      </c>
      <c r="CN429" s="72">
        <f t="shared" ref="CN429:CN430" si="3988">AE429</f>
        <v>250</v>
      </c>
      <c r="CO429" s="72">
        <f t="shared" ref="CO429:CO430" si="3989">AI429</f>
        <v>256</v>
      </c>
      <c r="CP429" s="72">
        <f t="shared" ref="CP429:CP430" si="3990">AM429</f>
        <v>296</v>
      </c>
      <c r="CQ429" s="72">
        <f t="shared" ref="CQ429:CQ430" si="3991">AQ429</f>
        <v>328</v>
      </c>
      <c r="CR429" s="72">
        <f t="shared" ref="CR429:CR430" si="3992">AU429</f>
        <v>362</v>
      </c>
      <c r="CS429" s="72">
        <f t="shared" ref="CS429:CS430" si="3993">AY429</f>
        <v>388</v>
      </c>
      <c r="CT429" s="23">
        <f t="shared" ref="CT429:CT430" si="3994">M429-K429</f>
        <v>1</v>
      </c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  <c r="AMK429" s="1"/>
      <c r="AML429" s="1"/>
      <c r="AMM429" s="1"/>
      <c r="AMN429" s="1"/>
      <c r="AMO429" s="1"/>
    </row>
    <row r="430" spans="1:1030" x14ac:dyDescent="0.2">
      <c r="A430" s="3" t="str">
        <f t="shared" si="3967"/>
        <v>crfr2_human_6PB1</v>
      </c>
      <c r="B430" s="3" t="s">
        <v>402</v>
      </c>
      <c r="C430" s="3" t="s">
        <v>1648</v>
      </c>
      <c r="D430" s="3" t="str">
        <f>IFERROR(MID(VLOOKUP($B430,Seqs!$A:$B,2,0),E430,1),"")</f>
        <v>L</v>
      </c>
      <c r="E430" s="3">
        <v>111</v>
      </c>
      <c r="F430" s="3" t="str">
        <f>IFERROR(MID(VLOOKUP($B430,Seqs!$A:$B,2,0),G430,1),"")</f>
        <v>L</v>
      </c>
      <c r="G430" s="3">
        <v>141</v>
      </c>
      <c r="H430" s="3" t="str">
        <f>IFERROR(MID(VLOOKUP($B430,Seqs!$A:$B,2,0),I430,1),"")</f>
        <v>R</v>
      </c>
      <c r="I430" s="23">
        <v>142</v>
      </c>
      <c r="J430" s="3" t="str">
        <f>IFERROR(MID(VLOOKUP($B430,Seqs!$A:$B,2,0),K430,1),"")</f>
        <v>R</v>
      </c>
      <c r="K430" s="23">
        <v>145</v>
      </c>
      <c r="L430" s="3" t="str">
        <f>IFERROR(MID(VLOOKUP($B430,Seqs!$A:$B,2,0),M430,1),"")</f>
        <v>C</v>
      </c>
      <c r="M430" s="23">
        <v>146</v>
      </c>
      <c r="N430" s="3" t="str">
        <f>IFERROR(MID(VLOOKUP($B430,Seqs!$A:$B,2,0),O430,1),"")</f>
        <v>Q</v>
      </c>
      <c r="O430" s="3">
        <v>170</v>
      </c>
      <c r="P430" s="3" t="str">
        <f>IFERROR(MID(VLOOKUP($B430,Seqs!$A:$B,2,0),Q430,1),"")</f>
        <v/>
      </c>
      <c r="Q430" s="3" t="s">
        <v>23</v>
      </c>
      <c r="R430" s="3" t="str">
        <f>IFERROR(MID(VLOOKUP($B430,Seqs!$A:$B,2,0),S430,1),"")</f>
        <v/>
      </c>
      <c r="S430" s="3" t="s">
        <v>23</v>
      </c>
      <c r="T430" s="3" t="str">
        <f>IFERROR(MID(VLOOKUP($B430,Seqs!$A:$B,2,0),U430,1),"")</f>
        <v>V</v>
      </c>
      <c r="U430" s="3">
        <v>182</v>
      </c>
      <c r="V430" s="3" t="str">
        <f>IFERROR(MID(VLOOKUP($B430,Seqs!$A:$B,2,0),W430,1),"")</f>
        <v>M</v>
      </c>
      <c r="W430" s="3">
        <v>215</v>
      </c>
      <c r="X430" s="3" t="str">
        <f>IFERROR(MID(VLOOKUP($B430,Seqs!$A:$B,2,0),Y430,1),"")</f>
        <v/>
      </c>
      <c r="Y430" s="3" t="s">
        <v>23</v>
      </c>
      <c r="Z430" s="3" t="str">
        <f>IFERROR(MID(VLOOKUP($B430,Seqs!$A:$B,2,0),AA430,1),"")</f>
        <v/>
      </c>
      <c r="AA430" s="3" t="s">
        <v>23</v>
      </c>
      <c r="AB430" s="3" t="str">
        <f>IFERROR(MID(VLOOKUP($B430,Seqs!$A:$B,2,0),AC430,1),"")</f>
        <v>R</v>
      </c>
      <c r="AC430" s="3">
        <v>223</v>
      </c>
      <c r="AD430" s="3" t="str">
        <f>IFERROR(MID(VLOOKUP($B430,Seqs!$A:$B,2,0),AE430,1),"")</f>
        <v>E</v>
      </c>
      <c r="AE430" s="3">
        <v>250</v>
      </c>
      <c r="AF430" s="3" t="str">
        <f>IFERROR(MID(VLOOKUP($B430,Seqs!$A:$B,2,0),AG430,1),"")</f>
        <v>C</v>
      </c>
      <c r="AG430" s="3">
        <v>254</v>
      </c>
      <c r="AH430" s="3" t="str">
        <f>IFERROR(MID(VLOOKUP($B430,Seqs!$A:$B,2,0),AI430,1),"")</f>
        <v>F</v>
      </c>
      <c r="AI430" s="3">
        <v>256</v>
      </c>
      <c r="AJ430" s="3" t="str">
        <f>IFERROR(MID(VLOOKUP($B430,Seqs!$A:$B,2,0),AK430,1),"")</f>
        <v>V</v>
      </c>
      <c r="AK430" s="3">
        <v>264</v>
      </c>
      <c r="AL430" s="3" t="str">
        <f>IFERROR(MID(VLOOKUP($B430,Seqs!$A:$B,2,0),AM430,1),"")</f>
        <v>A</v>
      </c>
      <c r="AM430" s="3">
        <v>296</v>
      </c>
      <c r="AN430" s="3" t="str">
        <f>IFERROR(MID(VLOOKUP($B430,Seqs!$A:$B,2,0),AO430,1),"")</f>
        <v>S</v>
      </c>
      <c r="AO430" s="3">
        <v>300</v>
      </c>
      <c r="AP430" s="3" t="str">
        <f>IFERROR(MID(VLOOKUP($B430,Seqs!$A:$B,2,0),AQ430,1),"")</f>
        <v>L</v>
      </c>
      <c r="AQ430" s="3">
        <v>325</v>
      </c>
      <c r="AR430" s="3" t="str">
        <f>IFERROR(MID(VLOOKUP($B430,Seqs!$A:$B,2,0),AS430,1),"")</f>
        <v>D</v>
      </c>
      <c r="AS430" s="3">
        <v>334</v>
      </c>
      <c r="AT430" s="3" t="str">
        <f>IFERROR(MID(VLOOKUP($B430,Seqs!$A:$B,2,0),AU430,1),"")</f>
        <v>F</v>
      </c>
      <c r="AU430" s="3">
        <v>362</v>
      </c>
      <c r="AV430" s="3" t="str">
        <f>IFERROR(MID(VLOOKUP($B430,Seqs!$A:$B,2,0),AW430,1),"")</f>
        <v>N</v>
      </c>
      <c r="AW430" s="3">
        <v>363</v>
      </c>
      <c r="AX430" s="3" t="str">
        <f>IFERROR(MID(VLOOKUP($B430,Seqs!$A:$B,2,0),AY430,1),"")</f>
        <v>S</v>
      </c>
      <c r="AY430" s="3">
        <v>382</v>
      </c>
      <c r="AZ430" s="77" t="str">
        <f>VLOOKUP(B430,Classification!A:D,2,0)</f>
        <v>B1</v>
      </c>
      <c r="BA430" s="94" t="str">
        <f>VLOOKUP(B430,Classification!A:D,4,0)</f>
        <v>Corticotropin-releasingfact</v>
      </c>
      <c r="BB430" s="27" t="b">
        <f t="shared" si="3968"/>
        <v>1</v>
      </c>
      <c r="BC430" s="23">
        <f t="shared" si="3969"/>
        <v>235</v>
      </c>
      <c r="BD430" s="56" t="s">
        <v>1371</v>
      </c>
      <c r="BE430" s="3" t="s">
        <v>1287</v>
      </c>
      <c r="BF430" s="118">
        <v>2.8</v>
      </c>
      <c r="BG430" s="49" t="s">
        <v>1649</v>
      </c>
      <c r="BH430" s="49" t="s">
        <v>1649</v>
      </c>
      <c r="BJ430" s="70" t="s">
        <v>1283</v>
      </c>
      <c r="BK430" s="57" t="s">
        <v>1283</v>
      </c>
      <c r="BL430" s="57" t="s">
        <v>1283</v>
      </c>
      <c r="BM430" s="57" t="s">
        <v>1283</v>
      </c>
      <c r="BN430" s="57" t="s">
        <v>1283</v>
      </c>
      <c r="BO430" s="57" t="s">
        <v>1283</v>
      </c>
      <c r="BP430" s="57" t="s">
        <v>1283</v>
      </c>
      <c r="BQ430" s="57" t="s">
        <v>1283</v>
      </c>
      <c r="BR430" s="57" t="s">
        <v>1283</v>
      </c>
      <c r="BS430" s="57" t="s">
        <v>1283</v>
      </c>
      <c r="BT430" s="57" t="s">
        <v>1283</v>
      </c>
      <c r="BU430" s="57" t="s">
        <v>1283</v>
      </c>
      <c r="BV430" s="70">
        <f t="shared" si="3970"/>
        <v>111</v>
      </c>
      <c r="BW430" s="71">
        <f t="shared" si="3971"/>
        <v>142</v>
      </c>
      <c r="BX430" s="72">
        <f t="shared" si="3972"/>
        <v>146</v>
      </c>
      <c r="BY430" s="71" t="str">
        <f t="shared" si="3973"/>
        <v>-</v>
      </c>
      <c r="BZ430" s="72">
        <f t="shared" si="3974"/>
        <v>182</v>
      </c>
      <c r="CA430" s="71" t="str">
        <f t="shared" si="3975"/>
        <v>-</v>
      </c>
      <c r="CB430" s="72">
        <f t="shared" si="3976"/>
        <v>223</v>
      </c>
      <c r="CC430" s="71">
        <f t="shared" si="3977"/>
        <v>254</v>
      </c>
      <c r="CD430" s="72">
        <f t="shared" si="3978"/>
        <v>264</v>
      </c>
      <c r="CE430" s="71">
        <f t="shared" si="3979"/>
        <v>300</v>
      </c>
      <c r="CF430" s="72">
        <f t="shared" si="3980"/>
        <v>334</v>
      </c>
      <c r="CG430" s="71">
        <f t="shared" si="3981"/>
        <v>363</v>
      </c>
      <c r="CH430" s="70">
        <f t="shared" si="3982"/>
        <v>141</v>
      </c>
      <c r="CI430" s="71">
        <f t="shared" si="3983"/>
        <v>145</v>
      </c>
      <c r="CJ430" s="72">
        <f t="shared" si="3984"/>
        <v>170</v>
      </c>
      <c r="CK430" s="72" t="str">
        <f t="shared" si="3985"/>
        <v>-</v>
      </c>
      <c r="CL430" s="72">
        <f t="shared" si="3986"/>
        <v>215</v>
      </c>
      <c r="CM430" s="72" t="str">
        <f t="shared" si="3987"/>
        <v>-</v>
      </c>
      <c r="CN430" s="72">
        <f t="shared" si="3988"/>
        <v>250</v>
      </c>
      <c r="CO430" s="72">
        <f t="shared" si="3989"/>
        <v>256</v>
      </c>
      <c r="CP430" s="72">
        <f t="shared" si="3990"/>
        <v>296</v>
      </c>
      <c r="CQ430" s="72">
        <f t="shared" si="3991"/>
        <v>325</v>
      </c>
      <c r="CR430" s="72">
        <f t="shared" si="3992"/>
        <v>362</v>
      </c>
      <c r="CS430" s="72">
        <f t="shared" si="3993"/>
        <v>382</v>
      </c>
      <c r="CT430" s="23">
        <f t="shared" si="3994"/>
        <v>1</v>
      </c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</row>
    <row r="431" spans="1:1030" x14ac:dyDescent="0.2">
      <c r="A431" s="3" t="str">
        <f t="shared" si="2821"/>
        <v>glr_human__wt</v>
      </c>
      <c r="B431" s="3" t="s">
        <v>32</v>
      </c>
      <c r="C431" s="3" t="s">
        <v>100</v>
      </c>
      <c r="D431" s="3" t="str">
        <f>IFERROR(MID(VLOOKUP($B431,Seqs!$A:$B,2,0),E431,1),"")</f>
        <v>Q</v>
      </c>
      <c r="E431" s="105">
        <v>131</v>
      </c>
      <c r="F431" s="3" t="str">
        <f>IFERROR(MID(VLOOKUP($B431,Seqs!$A:$B,2,0),G431,1),"")</f>
        <v>L</v>
      </c>
      <c r="G431" s="3">
        <v>166</v>
      </c>
      <c r="H431" s="3" t="str">
        <f>IFERROR(MID(VLOOKUP($B431,Seqs!$A:$B,2,0),I431,1),"")</f>
        <v>S</v>
      </c>
      <c r="I431" s="23">
        <v>167</v>
      </c>
      <c r="J431" s="3" t="str">
        <f>IFERROR(MID(VLOOKUP($B431,Seqs!$A:$B,2,0),K431,1),"")</f>
        <v>H</v>
      </c>
      <c r="K431" s="23">
        <v>170</v>
      </c>
      <c r="L431" s="3" t="str">
        <f>IFERROR(MID(VLOOKUP($B431,Seqs!$A:$B,2,0),M431,1),"")</f>
        <v>C</v>
      </c>
      <c r="M431" s="23">
        <v>171</v>
      </c>
      <c r="N431" s="3" t="str">
        <f>IFERROR(MID(VLOOKUP($B431,Seqs!$A:$B,2,0),O431,1),"")</f>
        <v>S</v>
      </c>
      <c r="O431" s="105">
        <v>203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A</v>
      </c>
      <c r="U431" s="3">
        <v>220</v>
      </c>
      <c r="V431" s="3" t="str">
        <f>IFERROR(MID(VLOOKUP($B431,Seqs!$A:$B,2,0),W431,1),"")</f>
        <v>L</v>
      </c>
      <c r="W431" s="3">
        <v>255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S</v>
      </c>
      <c r="AC431" s="9">
        <v>262</v>
      </c>
      <c r="AD431" s="3" t="str">
        <f>IFERROR(MID(VLOOKUP($B431,Seqs!$A:$B,2,0),AE431,1),"")</f>
        <v>E</v>
      </c>
      <c r="AE431" s="3">
        <v>290</v>
      </c>
      <c r="AF431" s="3" t="str">
        <f>IFERROR(MID(VLOOKUP($B431,Seqs!$A:$B,2,0),AG431,1),"")</f>
        <v>C</v>
      </c>
      <c r="AG431" s="3">
        <v>294</v>
      </c>
      <c r="AH431" s="3" t="str">
        <f>IFERROR(MID(VLOOKUP($B431,Seqs!$A:$B,2,0),AI431,1),"")</f>
        <v>T</v>
      </c>
      <c r="AI431" s="3">
        <v>296</v>
      </c>
      <c r="AJ431" s="3" t="str">
        <f>IFERROR(MID(VLOOKUP($B431,Seqs!$A:$B,2,0),AK431,1),"")</f>
        <v>W</v>
      </c>
      <c r="AK431" s="105">
        <v>304</v>
      </c>
      <c r="AL431" s="3" t="str">
        <f>IFERROR(MID(VLOOKUP($B431,Seqs!$A:$B,2,0),AM431,1),"")</f>
        <v>A</v>
      </c>
      <c r="AM431" s="3">
        <v>335</v>
      </c>
      <c r="AN431" s="3" t="str">
        <f>IFERROR(MID(VLOOKUP($B431,Seqs!$A:$B,2,0),AO431,1),"")</f>
        <v>D</v>
      </c>
      <c r="AO431" s="3">
        <v>342</v>
      </c>
      <c r="AP431" s="3" t="str">
        <f>IFERROR(MID(VLOOKUP($B431,Seqs!$A:$B,2,0),AQ431,1),"")</f>
        <v>F</v>
      </c>
      <c r="AQ431" s="3">
        <v>367</v>
      </c>
      <c r="AR431" s="3" t="str">
        <f>IFERROR(MID(VLOOKUP($B431,Seqs!$A:$B,2,0),AS431,1),"")</f>
        <v>Q</v>
      </c>
      <c r="AS431" s="3">
        <v>374</v>
      </c>
      <c r="AT431" s="3" t="str">
        <f>IFERROR(MID(VLOOKUP($B431,Seqs!$A:$B,2,0),AU431,1),"")</f>
        <v>L</v>
      </c>
      <c r="AU431" s="3">
        <v>403</v>
      </c>
      <c r="AV431" s="3" t="str">
        <f>IFERROR(MID(VLOOKUP($B431,Seqs!$A:$B,2,0),AW431,1),"")</f>
        <v>N</v>
      </c>
      <c r="AW431" s="3">
        <v>404</v>
      </c>
      <c r="AX431" s="3" t="str">
        <f>IFERROR(MID(VLOOKUP($B431,Seqs!$A:$B,2,0),AY431,1),"")</f>
        <v>N</v>
      </c>
      <c r="AY431" s="3">
        <v>429</v>
      </c>
      <c r="AZ431" s="77" t="str">
        <f>VLOOKUP(B431,Classification!A:D,2,0)</f>
        <v>B1</v>
      </c>
      <c r="BA431" s="94" t="str">
        <f>VLOOKUP(B431,Classification!A:D,4,0)</f>
        <v>Glucagonreceptorfamily</v>
      </c>
      <c r="BB431" s="27" t="b">
        <f t="shared" si="2822"/>
        <v>1</v>
      </c>
      <c r="BC431" s="23">
        <f t="shared" si="3941"/>
        <v>257</v>
      </c>
      <c r="BD431" s="56" t="s">
        <v>23</v>
      </c>
      <c r="BE431" s="3" t="s">
        <v>23</v>
      </c>
      <c r="BF431" s="118" t="s">
        <v>23</v>
      </c>
      <c r="BG431" s="49" t="s">
        <v>1368</v>
      </c>
      <c r="BH431" s="49" t="s">
        <v>1373</v>
      </c>
      <c r="BI431" s="1"/>
      <c r="BJ431" s="70" t="s">
        <v>1283</v>
      </c>
      <c r="BK431" s="57" t="s">
        <v>1283</v>
      </c>
      <c r="BL431" s="57" t="s">
        <v>1283</v>
      </c>
      <c r="BM431" s="57" t="s">
        <v>1283</v>
      </c>
      <c r="BN431" s="57" t="s">
        <v>1283</v>
      </c>
      <c r="BO431" s="57" t="s">
        <v>1283</v>
      </c>
      <c r="BP431" s="57" t="s">
        <v>1283</v>
      </c>
      <c r="BQ431" s="57" t="s">
        <v>1283</v>
      </c>
      <c r="BR431" s="57" t="s">
        <v>1283</v>
      </c>
      <c r="BS431" s="57" t="s">
        <v>1283</v>
      </c>
      <c r="BT431" s="57" t="s">
        <v>1283</v>
      </c>
      <c r="BU431" s="57" t="s">
        <v>1283</v>
      </c>
      <c r="BV431" s="70">
        <f t="shared" si="3942"/>
        <v>131</v>
      </c>
      <c r="BW431" s="71">
        <f t="shared" si="3943"/>
        <v>167</v>
      </c>
      <c r="BX431" s="72">
        <f t="shared" si="3944"/>
        <v>171</v>
      </c>
      <c r="BY431" s="71" t="str">
        <f t="shared" si="3945"/>
        <v>-</v>
      </c>
      <c r="BZ431" s="72">
        <f t="shared" si="3946"/>
        <v>220</v>
      </c>
      <c r="CA431" s="71" t="str">
        <f t="shared" si="3947"/>
        <v>-</v>
      </c>
      <c r="CB431" s="72">
        <f t="shared" si="3948"/>
        <v>262</v>
      </c>
      <c r="CC431" s="71">
        <f t="shared" si="3949"/>
        <v>294</v>
      </c>
      <c r="CD431" s="72">
        <f t="shared" si="3950"/>
        <v>304</v>
      </c>
      <c r="CE431" s="71">
        <f t="shared" si="3951"/>
        <v>342</v>
      </c>
      <c r="CF431" s="72">
        <f t="shared" si="3952"/>
        <v>374</v>
      </c>
      <c r="CG431" s="71">
        <f t="shared" si="3953"/>
        <v>404</v>
      </c>
      <c r="CH431" s="70">
        <f t="shared" si="3954"/>
        <v>166</v>
      </c>
      <c r="CI431" s="71">
        <f t="shared" si="3955"/>
        <v>170</v>
      </c>
      <c r="CJ431" s="72">
        <f t="shared" si="3956"/>
        <v>203</v>
      </c>
      <c r="CK431" s="72" t="str">
        <f t="shared" si="3957"/>
        <v>-</v>
      </c>
      <c r="CL431" s="72">
        <f t="shared" si="3958"/>
        <v>255</v>
      </c>
      <c r="CM431" s="72" t="str">
        <f t="shared" si="3959"/>
        <v>-</v>
      </c>
      <c r="CN431" s="72">
        <f t="shared" si="3960"/>
        <v>290</v>
      </c>
      <c r="CO431" s="72">
        <f t="shared" si="3961"/>
        <v>296</v>
      </c>
      <c r="CP431" s="72">
        <f t="shared" si="3962"/>
        <v>335</v>
      </c>
      <c r="CQ431" s="72">
        <f t="shared" si="3963"/>
        <v>367</v>
      </c>
      <c r="CR431" s="72">
        <f t="shared" si="3964"/>
        <v>403</v>
      </c>
      <c r="CS431" s="72">
        <f t="shared" si="3965"/>
        <v>429</v>
      </c>
      <c r="CT431" s="23">
        <f t="shared" si="3966"/>
        <v>1</v>
      </c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</row>
    <row r="432" spans="1:1030" x14ac:dyDescent="0.2">
      <c r="A432" s="3" t="str">
        <f t="shared" si="2821"/>
        <v>glr_human_4L6R</v>
      </c>
      <c r="B432" s="3" t="s">
        <v>32</v>
      </c>
      <c r="C432" s="3" t="s">
        <v>51</v>
      </c>
      <c r="D432" s="3" t="str">
        <f>IFERROR(MID(VLOOKUP($B432,Seqs!$A:$B,2,0),E432,1),"")</f>
        <v>G</v>
      </c>
      <c r="E432" s="3">
        <v>125</v>
      </c>
      <c r="F432" s="3" t="str">
        <f>IFERROR(MID(VLOOKUP($B432,Seqs!$A:$B,2,0),G432,1),"")</f>
        <v>G</v>
      </c>
      <c r="G432" s="3">
        <v>164</v>
      </c>
      <c r="H432" s="3" t="str">
        <f>IFERROR(MID(VLOOKUP($B432,Seqs!$A:$B,2,0),I432,1),"")</f>
        <v>S</v>
      </c>
      <c r="I432" s="23">
        <v>167</v>
      </c>
      <c r="J432" s="3" t="str">
        <f>IFERROR(MID(VLOOKUP($B432,Seqs!$A:$B,2,0),K432,1),"")</f>
        <v>H</v>
      </c>
      <c r="K432" s="23">
        <v>170</v>
      </c>
      <c r="L432" s="3" t="str">
        <f>IFERROR(MID(VLOOKUP($B432,Seqs!$A:$B,2,0),M432,1),"")</f>
        <v>C</v>
      </c>
      <c r="M432" s="23">
        <v>171</v>
      </c>
      <c r="N432" s="3" t="str">
        <f>IFERROR(MID(VLOOKUP($B432,Seqs!$A:$B,2,0),O432,1),"")</f>
        <v>R</v>
      </c>
      <c r="O432" s="3">
        <v>199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S</v>
      </c>
      <c r="U432" s="3">
        <v>217</v>
      </c>
      <c r="V432" s="3" t="str">
        <f>IFERROR(MID(VLOOKUP($B432,Seqs!$A:$B,2,0),W432,1),"")</f>
        <v>L</v>
      </c>
      <c r="W432" s="3">
        <v>255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A</v>
      </c>
      <c r="AC432" s="9">
        <v>274</v>
      </c>
      <c r="AD432" s="3" t="str">
        <f>IFERROR(MID(VLOOKUP($B432,Seqs!$A:$B,2,0),AE432,1),"")</f>
        <v>E</v>
      </c>
      <c r="AE432" s="3">
        <v>290</v>
      </c>
      <c r="AF432" s="3" t="str">
        <f>IFERROR(MID(VLOOKUP($B432,Seqs!$A:$B,2,0),AG432,1),"")</f>
        <v>C</v>
      </c>
      <c r="AG432" s="3">
        <v>294</v>
      </c>
      <c r="AH432" s="3" t="str">
        <f>IFERROR(MID(VLOOKUP($B432,Seqs!$A:$B,2,0),AI432,1),"")</f>
        <v>T</v>
      </c>
      <c r="AI432" s="3">
        <v>296</v>
      </c>
      <c r="AJ432" s="3" t="str">
        <f>IFERROR(MID(VLOOKUP($B432,Seqs!$A:$B,2,0),AK432,1),"")</f>
        <v>N</v>
      </c>
      <c r="AK432" s="3">
        <v>300</v>
      </c>
      <c r="AL432" s="3" t="str">
        <f>IFERROR(MID(VLOOKUP($B432,Seqs!$A:$B,2,0),AM432,1),"")</f>
        <v>A</v>
      </c>
      <c r="AM432" s="3">
        <v>335</v>
      </c>
      <c r="AN432" s="3" t="str">
        <f>IFERROR(MID(VLOOKUP($B432,Seqs!$A:$B,2,0),AO432,1),"")</f>
        <v>D</v>
      </c>
      <c r="AO432" s="3">
        <v>342</v>
      </c>
      <c r="AP432" s="3" t="str">
        <f>IFERROR(MID(VLOOKUP($B432,Seqs!$A:$B,2,0),AQ432,1),"")</f>
        <v>F</v>
      </c>
      <c r="AQ432" s="3">
        <v>367</v>
      </c>
      <c r="AR432" s="3" t="str">
        <f>IFERROR(MID(VLOOKUP($B432,Seqs!$A:$B,2,0),AS432,1),"")</f>
        <v>Q</v>
      </c>
      <c r="AS432" s="3">
        <v>374</v>
      </c>
      <c r="AT432" s="3" t="str">
        <f>IFERROR(MID(VLOOKUP($B432,Seqs!$A:$B,2,0),AU432,1),"")</f>
        <v>L</v>
      </c>
      <c r="AU432" s="3">
        <v>403</v>
      </c>
      <c r="AV432" s="3" t="str">
        <f>IFERROR(MID(VLOOKUP($B432,Seqs!$A:$B,2,0),AW432,1),"")</f>
        <v>N</v>
      </c>
      <c r="AW432" s="3">
        <v>404</v>
      </c>
      <c r="AX432" s="3" t="str">
        <f>IFERROR(MID(VLOOKUP($B432,Seqs!$A:$B,2,0),AY432,1),"")</f>
        <v>N</v>
      </c>
      <c r="AY432" s="3">
        <v>429</v>
      </c>
      <c r="AZ432" s="77" t="str">
        <f>VLOOKUP(B432,Classification!A:D,2,0)</f>
        <v>B1</v>
      </c>
      <c r="BA432" s="94" t="str">
        <f>VLOOKUP(B432,Classification!A:D,4,0)</f>
        <v>Glucagonreceptorfamily</v>
      </c>
      <c r="BB432" s="27" t="b">
        <f t="shared" si="2822"/>
        <v>1</v>
      </c>
      <c r="BC432" s="23">
        <f t="shared" si="3941"/>
        <v>252</v>
      </c>
      <c r="BD432" s="2" t="s">
        <v>23</v>
      </c>
      <c r="BE432" s="3" t="s">
        <v>1370</v>
      </c>
      <c r="BF432" s="118">
        <v>3.3</v>
      </c>
      <c r="BG432" s="49" t="s">
        <v>1373</v>
      </c>
      <c r="BH432" s="49" t="s">
        <v>1373</v>
      </c>
      <c r="BI432" s="1"/>
      <c r="BJ432" s="70" t="s">
        <v>1283</v>
      </c>
      <c r="BK432" s="57" t="s">
        <v>1283</v>
      </c>
      <c r="BL432" s="57" t="s">
        <v>1283</v>
      </c>
      <c r="BM432" s="57" t="s">
        <v>1283</v>
      </c>
      <c r="BN432" s="57" t="s">
        <v>1283</v>
      </c>
      <c r="BO432" s="57" t="s">
        <v>1283</v>
      </c>
      <c r="BP432" s="57" t="s">
        <v>1283</v>
      </c>
      <c r="BQ432" s="57" t="s">
        <v>1283</v>
      </c>
      <c r="BR432" s="57" t="s">
        <v>1283</v>
      </c>
      <c r="BS432" s="57" t="s">
        <v>1283</v>
      </c>
      <c r="BT432" s="57" t="s">
        <v>1283</v>
      </c>
      <c r="BU432" s="57" t="s">
        <v>1283</v>
      </c>
      <c r="BV432" s="70">
        <f t="shared" si="3942"/>
        <v>125</v>
      </c>
      <c r="BW432" s="71">
        <f t="shared" si="3943"/>
        <v>167</v>
      </c>
      <c r="BX432" s="72">
        <f t="shared" si="3944"/>
        <v>171</v>
      </c>
      <c r="BY432" s="71" t="str">
        <f t="shared" si="3945"/>
        <v>-</v>
      </c>
      <c r="BZ432" s="72">
        <f t="shared" si="3946"/>
        <v>217</v>
      </c>
      <c r="CA432" s="71" t="str">
        <f t="shared" si="3947"/>
        <v>-</v>
      </c>
      <c r="CB432" s="72">
        <f t="shared" si="3948"/>
        <v>274</v>
      </c>
      <c r="CC432" s="71">
        <f t="shared" si="3949"/>
        <v>294</v>
      </c>
      <c r="CD432" s="72">
        <f t="shared" si="3950"/>
        <v>300</v>
      </c>
      <c r="CE432" s="71">
        <f t="shared" si="3951"/>
        <v>342</v>
      </c>
      <c r="CF432" s="72">
        <f t="shared" si="3952"/>
        <v>374</v>
      </c>
      <c r="CG432" s="71">
        <f t="shared" si="3953"/>
        <v>404</v>
      </c>
      <c r="CH432" s="70">
        <f t="shared" si="3954"/>
        <v>164</v>
      </c>
      <c r="CI432" s="71">
        <f t="shared" si="3955"/>
        <v>170</v>
      </c>
      <c r="CJ432" s="72">
        <f t="shared" si="3956"/>
        <v>199</v>
      </c>
      <c r="CK432" s="72" t="str">
        <f t="shared" si="3957"/>
        <v>-</v>
      </c>
      <c r="CL432" s="72">
        <f t="shared" si="3958"/>
        <v>255</v>
      </c>
      <c r="CM432" s="72" t="str">
        <f t="shared" si="3959"/>
        <v>-</v>
      </c>
      <c r="CN432" s="72">
        <f t="shared" si="3960"/>
        <v>290</v>
      </c>
      <c r="CO432" s="72">
        <f t="shared" si="3961"/>
        <v>296</v>
      </c>
      <c r="CP432" s="72">
        <f t="shared" si="3962"/>
        <v>335</v>
      </c>
      <c r="CQ432" s="72">
        <f t="shared" si="3963"/>
        <v>367</v>
      </c>
      <c r="CR432" s="72">
        <f t="shared" si="3964"/>
        <v>403</v>
      </c>
      <c r="CS432" s="72">
        <f t="shared" si="3965"/>
        <v>429</v>
      </c>
      <c r="CT432" s="23">
        <f t="shared" si="3966"/>
        <v>1</v>
      </c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</row>
    <row r="433" spans="1:1029" x14ac:dyDescent="0.2">
      <c r="A433" s="3" t="str">
        <f t="shared" si="2821"/>
        <v>glr_human_4L6R_dist</v>
      </c>
      <c r="B433" s="3" t="s">
        <v>32</v>
      </c>
      <c r="C433" s="3" t="s">
        <v>1272</v>
      </c>
      <c r="D433" s="3" t="str">
        <f>IFERROR(MID(VLOOKUP($B433,Seqs!$A:$B,2,0),E433,1),"")</f>
        <v>G</v>
      </c>
      <c r="E433" s="3">
        <v>125</v>
      </c>
      <c r="F433" s="3" t="str">
        <f>IFERROR(MID(VLOOKUP($B433,Seqs!$A:$B,2,0),G433,1),"")</f>
        <v>G</v>
      </c>
      <c r="G433" s="3">
        <v>164</v>
      </c>
      <c r="H433" s="3" t="str">
        <f>IFERROR(MID(VLOOKUP($B433,Seqs!$A:$B,2,0),I433,1),"")</f>
        <v>S</v>
      </c>
      <c r="I433" s="23">
        <v>167</v>
      </c>
      <c r="J433" s="3" t="str">
        <f>IFERROR(MID(VLOOKUP($B433,Seqs!$A:$B,2,0),K433,1),"")</f>
        <v>H</v>
      </c>
      <c r="K433" s="23">
        <v>170</v>
      </c>
      <c r="L433" s="3" t="str">
        <f>IFERROR(MID(VLOOKUP($B433,Seqs!$A:$B,2,0),M433,1),"")</f>
        <v>C</v>
      </c>
      <c r="M433" s="23">
        <v>171</v>
      </c>
      <c r="N433" s="3" t="str">
        <f>IFERROR(MID(VLOOKUP($B433,Seqs!$A:$B,2,0),O433,1),"")</f>
        <v>R</v>
      </c>
      <c r="O433" s="3">
        <v>199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S</v>
      </c>
      <c r="U433" s="3">
        <v>217</v>
      </c>
      <c r="V433" s="3" t="str">
        <f>IFERROR(MID(VLOOKUP($B433,Seqs!$A:$B,2,0),W433,1),"")</f>
        <v>L</v>
      </c>
      <c r="W433" s="3">
        <v>255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S</v>
      </c>
      <c r="AC433" s="9">
        <v>262</v>
      </c>
      <c r="AD433" s="3" t="str">
        <f>IFERROR(MID(VLOOKUP($B433,Seqs!$A:$B,2,0),AE433,1),"")</f>
        <v>E</v>
      </c>
      <c r="AE433" s="3">
        <v>290</v>
      </c>
      <c r="AF433" s="3" t="str">
        <f>IFERROR(MID(VLOOKUP($B433,Seqs!$A:$B,2,0),AG433,1),"")</f>
        <v>C</v>
      </c>
      <c r="AG433" s="3">
        <v>294</v>
      </c>
      <c r="AH433" s="3" t="str">
        <f>IFERROR(MID(VLOOKUP($B433,Seqs!$A:$B,2,0),AI433,1),"")</f>
        <v>T</v>
      </c>
      <c r="AI433" s="3">
        <v>296</v>
      </c>
      <c r="AJ433" s="3" t="str">
        <f>IFERROR(MID(VLOOKUP($B433,Seqs!$A:$B,2,0),AK433,1),"")</f>
        <v>N</v>
      </c>
      <c r="AK433" s="3">
        <v>300</v>
      </c>
      <c r="AL433" s="3" t="str">
        <f>IFERROR(MID(VLOOKUP($B433,Seqs!$A:$B,2,0),AM433,1),"")</f>
        <v>A</v>
      </c>
      <c r="AM433" s="3">
        <v>335</v>
      </c>
      <c r="AN433" s="3" t="str">
        <f>IFERROR(MID(VLOOKUP($B433,Seqs!$A:$B,2,0),AO433,1),"")</f>
        <v>D</v>
      </c>
      <c r="AO433" s="3">
        <v>342</v>
      </c>
      <c r="AP433" s="3" t="str">
        <f>IFERROR(MID(VLOOKUP($B433,Seqs!$A:$B,2,0),AQ433,1),"")</f>
        <v>F</v>
      </c>
      <c r="AQ433" s="3">
        <v>367</v>
      </c>
      <c r="AR433" s="3" t="str">
        <f>IFERROR(MID(VLOOKUP($B433,Seqs!$A:$B,2,0),AS433,1),"")</f>
        <v>Q</v>
      </c>
      <c r="AS433" s="3">
        <v>374</v>
      </c>
      <c r="AT433" s="3" t="str">
        <f>IFERROR(MID(VLOOKUP($B433,Seqs!$A:$B,2,0),AU433,1),"")</f>
        <v>L</v>
      </c>
      <c r="AU433" s="3">
        <v>403</v>
      </c>
      <c r="AV433" s="3" t="str">
        <f>IFERROR(MID(VLOOKUP($B433,Seqs!$A:$B,2,0),AW433,1),"")</f>
        <v>N</v>
      </c>
      <c r="AW433" s="3">
        <v>404</v>
      </c>
      <c r="AX433" s="3" t="str">
        <f>IFERROR(MID(VLOOKUP($B433,Seqs!$A:$B,2,0),AY433,1),"")</f>
        <v>N</v>
      </c>
      <c r="AY433" s="3">
        <v>429</v>
      </c>
      <c r="AZ433" s="77" t="str">
        <f>VLOOKUP(B433,Classification!A:D,2,0)</f>
        <v>B1</v>
      </c>
      <c r="BA433" s="94" t="str">
        <f>VLOOKUP(B433,Classification!A:D,4,0)</f>
        <v>Glucagonreceptorfamily</v>
      </c>
      <c r="BB433" s="27" t="b">
        <f t="shared" si="2822"/>
        <v>1</v>
      </c>
      <c r="BC433" s="23">
        <f t="shared" si="3941"/>
        <v>264</v>
      </c>
      <c r="BD433" s="56" t="s">
        <v>23</v>
      </c>
      <c r="BE433" s="3" t="s">
        <v>1370</v>
      </c>
      <c r="BF433" s="118">
        <v>3.3</v>
      </c>
      <c r="BG433" s="49" t="s">
        <v>1373</v>
      </c>
      <c r="BH433" s="49" t="s">
        <v>1373</v>
      </c>
      <c r="BI433" s="1"/>
      <c r="BJ433" s="70" t="s">
        <v>1283</v>
      </c>
      <c r="BK433" s="57" t="s">
        <v>1283</v>
      </c>
      <c r="BL433" s="57" t="s">
        <v>1283</v>
      </c>
      <c r="BM433" s="57" t="s">
        <v>1283</v>
      </c>
      <c r="BN433" s="57" t="s">
        <v>1283</v>
      </c>
      <c r="BO433" s="57" t="s">
        <v>1283</v>
      </c>
      <c r="BP433" s="57" t="s">
        <v>1283</v>
      </c>
      <c r="BQ433" s="57" t="s">
        <v>1283</v>
      </c>
      <c r="BR433" s="57" t="s">
        <v>1283</v>
      </c>
      <c r="BS433" s="57" t="s">
        <v>1283</v>
      </c>
      <c r="BT433" s="57" t="s">
        <v>1283</v>
      </c>
      <c r="BU433" s="57" t="s">
        <v>1283</v>
      </c>
      <c r="BV433" s="70">
        <f t="shared" si="3942"/>
        <v>125</v>
      </c>
      <c r="BW433" s="71">
        <f t="shared" si="3943"/>
        <v>167</v>
      </c>
      <c r="BX433" s="72">
        <f t="shared" si="3944"/>
        <v>171</v>
      </c>
      <c r="BY433" s="71" t="str">
        <f t="shared" si="3945"/>
        <v>-</v>
      </c>
      <c r="BZ433" s="72">
        <f t="shared" si="3946"/>
        <v>217</v>
      </c>
      <c r="CA433" s="71" t="str">
        <f t="shared" si="3947"/>
        <v>-</v>
      </c>
      <c r="CB433" s="72">
        <f t="shared" si="3948"/>
        <v>262</v>
      </c>
      <c r="CC433" s="71">
        <f t="shared" si="3949"/>
        <v>294</v>
      </c>
      <c r="CD433" s="72">
        <f t="shared" si="3950"/>
        <v>300</v>
      </c>
      <c r="CE433" s="71">
        <f t="shared" si="3951"/>
        <v>342</v>
      </c>
      <c r="CF433" s="72">
        <f t="shared" si="3952"/>
        <v>374</v>
      </c>
      <c r="CG433" s="71">
        <f t="shared" si="3953"/>
        <v>404</v>
      </c>
      <c r="CH433" s="70">
        <f t="shared" si="3954"/>
        <v>164</v>
      </c>
      <c r="CI433" s="71">
        <f t="shared" si="3955"/>
        <v>170</v>
      </c>
      <c r="CJ433" s="72">
        <f t="shared" si="3956"/>
        <v>199</v>
      </c>
      <c r="CK433" s="72" t="str">
        <f t="shared" si="3957"/>
        <v>-</v>
      </c>
      <c r="CL433" s="72">
        <f t="shared" si="3958"/>
        <v>255</v>
      </c>
      <c r="CM433" s="72" t="str">
        <f t="shared" si="3959"/>
        <v>-</v>
      </c>
      <c r="CN433" s="72">
        <f t="shared" si="3960"/>
        <v>290</v>
      </c>
      <c r="CO433" s="72">
        <f t="shared" si="3961"/>
        <v>296</v>
      </c>
      <c r="CP433" s="72">
        <f t="shared" si="3962"/>
        <v>335</v>
      </c>
      <c r="CQ433" s="72">
        <f t="shared" si="3963"/>
        <v>367</v>
      </c>
      <c r="CR433" s="72">
        <f t="shared" si="3964"/>
        <v>403</v>
      </c>
      <c r="CS433" s="72">
        <f t="shared" si="3965"/>
        <v>429</v>
      </c>
      <c r="CT433" s="23">
        <f t="shared" si="3966"/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29" x14ac:dyDescent="0.2">
      <c r="A434" s="3" t="str">
        <f t="shared" ref="A434:A478" si="3995">CONCATENATE(B434,"_",C434)</f>
        <v>glr_human_5EE7</v>
      </c>
      <c r="B434" s="3" t="s">
        <v>32</v>
      </c>
      <c r="C434" s="3" t="s">
        <v>49</v>
      </c>
      <c r="D434" s="3" t="str">
        <f>IFERROR(MID(VLOOKUP($B434,Seqs!$A:$B,2,0),E434,1),"")</f>
        <v>Y</v>
      </c>
      <c r="E434" s="3">
        <v>138</v>
      </c>
      <c r="F434" s="3" t="str">
        <f>IFERROR(MID(VLOOKUP($B434,Seqs!$A:$B,2,0),G434,1),"")</f>
        <v>L</v>
      </c>
      <c r="G434" s="3">
        <v>166</v>
      </c>
      <c r="H434" s="3" t="str">
        <f>IFERROR(MID(VLOOKUP($B434,Seqs!$A:$B,2,0),I434,1),"")</f>
        <v>S</v>
      </c>
      <c r="I434" s="23">
        <v>167</v>
      </c>
      <c r="J434" s="3" t="str">
        <f>IFERROR(MID(VLOOKUP($B434,Seqs!$A:$B,2,0),K434,1),"")</f>
        <v>H</v>
      </c>
      <c r="K434" s="23">
        <v>170</v>
      </c>
      <c r="L434" s="3" t="str">
        <f>IFERROR(MID(VLOOKUP($B434,Seqs!$A:$B,2,0),M434,1),"")</f>
        <v>C</v>
      </c>
      <c r="M434" s="23">
        <v>171</v>
      </c>
      <c r="N434" s="3" t="str">
        <f>IFERROR(MID(VLOOKUP($B434,Seqs!$A:$B,2,0),O434,1),"")</f>
        <v>R</v>
      </c>
      <c r="O434" s="3">
        <v>199</v>
      </c>
      <c r="P434" s="3" t="str">
        <f>IFERROR(MID(VLOOKUP($B434,Seqs!$A:$B,2,0),Q434,1),"")</f>
        <v/>
      </c>
      <c r="Q434" s="3" t="s">
        <v>23</v>
      </c>
      <c r="R434" s="3" t="str">
        <f>IFERROR(MID(VLOOKUP($B434,Seqs!$A:$B,2,0),S434,1),"")</f>
        <v/>
      </c>
      <c r="S434" s="3" t="s">
        <v>23</v>
      </c>
      <c r="T434" s="3" t="str">
        <f>IFERROR(MID(VLOOKUP($B434,Seqs!$A:$B,2,0),U434,1),"")</f>
        <v>D</v>
      </c>
      <c r="U434" s="3">
        <v>218</v>
      </c>
      <c r="V434" s="3" t="str">
        <f>IFERROR(MID(VLOOKUP($B434,Seqs!$A:$B,2,0),W434,1),"")</f>
        <v>G</v>
      </c>
      <c r="W434" s="3">
        <v>254</v>
      </c>
      <c r="X434" s="3" t="str">
        <f>IFERROR(MID(VLOOKUP($B434,Seqs!$A:$B,2,0),Y434,1),"")</f>
        <v/>
      </c>
      <c r="Y434" s="3" t="s">
        <v>23</v>
      </c>
      <c r="Z434" s="3" t="str">
        <f>IFERROR(MID(VLOOKUP($B434,Seqs!$A:$B,2,0),AA434,1),"")</f>
        <v/>
      </c>
      <c r="AA434" s="3" t="s">
        <v>23</v>
      </c>
      <c r="AB434" s="3" t="str">
        <f>IFERROR(MID(VLOOKUP($B434,Seqs!$A:$B,2,0),AC434,1),"")</f>
        <v>S</v>
      </c>
      <c r="AC434" s="9">
        <v>262</v>
      </c>
      <c r="AD434" s="3" t="str">
        <f>IFERROR(MID(VLOOKUP($B434,Seqs!$A:$B,2,0),AE434,1),"")</f>
        <v>E</v>
      </c>
      <c r="AE434" s="3">
        <v>290</v>
      </c>
      <c r="AF434" s="3" t="str">
        <f>IFERROR(MID(VLOOKUP($B434,Seqs!$A:$B,2,0),AG434,1),"")</f>
        <v>C</v>
      </c>
      <c r="AG434" s="3">
        <v>294</v>
      </c>
      <c r="AH434" s="3" t="str">
        <f>IFERROR(MID(VLOOKUP($B434,Seqs!$A:$B,2,0),AI434,1),"")</f>
        <v>T</v>
      </c>
      <c r="AI434" s="3">
        <v>296</v>
      </c>
      <c r="AJ434" s="3" t="str">
        <f>IFERROR(MID(VLOOKUP($B434,Seqs!$A:$B,2,0),AK434,1),"")</f>
        <v>L</v>
      </c>
      <c r="AK434" s="105">
        <v>307</v>
      </c>
      <c r="AL434" s="3" t="str">
        <f>IFERROR(MID(VLOOKUP($B434,Seqs!$A:$B,2,0),AM434,1),"")</f>
        <v>A</v>
      </c>
      <c r="AM434" s="3">
        <v>335</v>
      </c>
      <c r="AN434" s="3" t="str">
        <f>IFERROR(MID(VLOOKUP($B434,Seqs!$A:$B,2,0),AO434,1),"")</f>
        <v>D</v>
      </c>
      <c r="AO434" s="3">
        <v>342</v>
      </c>
      <c r="AP434" s="3" t="str">
        <f>IFERROR(MID(VLOOKUP($B434,Seqs!$A:$B,2,0),AQ434,1),"")</f>
        <v>D</v>
      </c>
      <c r="AQ434" s="3">
        <v>370</v>
      </c>
      <c r="AR434" s="3" t="str">
        <f>IFERROR(MID(VLOOKUP($B434,Seqs!$A:$B,2,0),AS434,1),"")</f>
        <v>S</v>
      </c>
      <c r="AS434" s="3">
        <v>379</v>
      </c>
      <c r="AT434" s="3" t="str">
        <f>IFERROR(MID(VLOOKUP($B434,Seqs!$A:$B,2,0),AU434,1),"")</f>
        <v>F</v>
      </c>
      <c r="AU434" s="3">
        <v>402</v>
      </c>
      <c r="AV434" s="3" t="str">
        <f>IFERROR(MID(VLOOKUP($B434,Seqs!$A:$B,2,0),AW434,1),"")</f>
        <v>N</v>
      </c>
      <c r="AW434" s="3">
        <v>404</v>
      </c>
      <c r="AX434" s="3" t="str">
        <f>IFERROR(MID(VLOOKUP($B434,Seqs!$A:$B,2,0),AY434,1),"")</f>
        <v>R</v>
      </c>
      <c r="AY434" s="3">
        <v>417</v>
      </c>
      <c r="AZ434" s="77" t="str">
        <f>VLOOKUP(B434,Classification!A:D,2,0)</f>
        <v>B1</v>
      </c>
      <c r="BA434" s="94" t="str">
        <f>VLOOKUP(B434,Classification!A:D,4,0)</f>
        <v>Glucagonreceptorfamily</v>
      </c>
      <c r="BB434" s="27" t="b">
        <f t="shared" ref="BB434:BB478" si="3996">AND(E434&lt;G434,OR(G434&lt;I434,I434="-"),OR(I434&lt;K434,I434="-"),OR(K434&lt;M434,K434="-"),M434&lt;O434,OR(O434&lt;Q434,Q434="-"),OR(Q434&lt;S434,Q434="-"),OR(S434&lt;U434,S434="-"),U434&lt;W434,OR(W434&lt;Y434,Y434="-"),OR(Y434&lt;AA434,Y434="-"),OR(AA434&lt;AC434,AA434="-"),AC434&lt;AE434,OR(AE434&lt;AG434,AG434="-"),OR(AG434&lt;AI434,AG434="-"),OR(AI434&lt;AK434,AI434="-"),AK434&lt;AM434,AM434&lt;AO434,AO434&lt;AQ434,AQ434&lt;AS434,AS434&lt;AU434,OR(AU434&lt;AW434,AW434="-"),OR(AW434&lt;AY434,AW434="-"))</f>
        <v>1</v>
      </c>
      <c r="BC434" s="23">
        <f t="shared" si="3941"/>
        <v>229</v>
      </c>
      <c r="BD434" s="4" t="s">
        <v>23</v>
      </c>
      <c r="BE434" s="3" t="s">
        <v>1370</v>
      </c>
      <c r="BF434" s="118">
        <v>2.5</v>
      </c>
      <c r="BG434" s="49" t="s">
        <v>1373</v>
      </c>
      <c r="BH434" s="49" t="s">
        <v>1373</v>
      </c>
      <c r="BI434" s="1"/>
      <c r="BJ434" s="70" t="s">
        <v>1283</v>
      </c>
      <c r="BK434" s="57" t="s">
        <v>1283</v>
      </c>
      <c r="BL434" s="57" t="s">
        <v>1283</v>
      </c>
      <c r="BM434" s="57" t="s">
        <v>1283</v>
      </c>
      <c r="BN434" s="57" t="s">
        <v>1283</v>
      </c>
      <c r="BO434" s="57" t="s">
        <v>1283</v>
      </c>
      <c r="BP434" s="57" t="s">
        <v>1283</v>
      </c>
      <c r="BQ434" s="57" t="s">
        <v>1283</v>
      </c>
      <c r="BR434" s="57" t="s">
        <v>1283</v>
      </c>
      <c r="BS434" s="57" t="s">
        <v>1283</v>
      </c>
      <c r="BT434" s="57" t="s">
        <v>1283</v>
      </c>
      <c r="BU434" s="57" t="s">
        <v>1283</v>
      </c>
      <c r="BV434" s="70">
        <f t="shared" si="3942"/>
        <v>138</v>
      </c>
      <c r="BW434" s="71">
        <f t="shared" si="3943"/>
        <v>167</v>
      </c>
      <c r="BX434" s="72">
        <f t="shared" si="3944"/>
        <v>171</v>
      </c>
      <c r="BY434" s="71" t="str">
        <f t="shared" si="3945"/>
        <v>-</v>
      </c>
      <c r="BZ434" s="72">
        <f t="shared" si="3946"/>
        <v>218</v>
      </c>
      <c r="CA434" s="71" t="str">
        <f t="shared" si="3947"/>
        <v>-</v>
      </c>
      <c r="CB434" s="72">
        <f t="shared" si="3948"/>
        <v>262</v>
      </c>
      <c r="CC434" s="71">
        <f t="shared" si="3949"/>
        <v>294</v>
      </c>
      <c r="CD434" s="72">
        <f t="shared" si="3950"/>
        <v>307</v>
      </c>
      <c r="CE434" s="71">
        <f t="shared" si="3951"/>
        <v>342</v>
      </c>
      <c r="CF434" s="72">
        <f t="shared" si="3952"/>
        <v>379</v>
      </c>
      <c r="CG434" s="71">
        <f t="shared" si="3953"/>
        <v>404</v>
      </c>
      <c r="CH434" s="70">
        <f t="shared" si="3954"/>
        <v>166</v>
      </c>
      <c r="CI434" s="71">
        <f t="shared" si="3955"/>
        <v>170</v>
      </c>
      <c r="CJ434" s="72">
        <f t="shared" si="3956"/>
        <v>199</v>
      </c>
      <c r="CK434" s="72" t="str">
        <f t="shared" si="3957"/>
        <v>-</v>
      </c>
      <c r="CL434" s="72">
        <f t="shared" si="3958"/>
        <v>254</v>
      </c>
      <c r="CM434" s="72" t="str">
        <f t="shared" si="3959"/>
        <v>-</v>
      </c>
      <c r="CN434" s="72">
        <f t="shared" si="3960"/>
        <v>290</v>
      </c>
      <c r="CO434" s="72">
        <f t="shared" si="3961"/>
        <v>296</v>
      </c>
      <c r="CP434" s="72">
        <f t="shared" si="3962"/>
        <v>335</v>
      </c>
      <c r="CQ434" s="72">
        <f t="shared" si="3963"/>
        <v>370</v>
      </c>
      <c r="CR434" s="72">
        <f t="shared" si="3964"/>
        <v>402</v>
      </c>
      <c r="CS434" s="72">
        <f t="shared" si="3965"/>
        <v>417</v>
      </c>
      <c r="CT434" s="23">
        <f t="shared" si="3966"/>
        <v>1</v>
      </c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  <c r="AMK434" s="1"/>
      <c r="AML434" s="1"/>
      <c r="AMM434" s="1"/>
      <c r="AMN434" s="1"/>
      <c r="AMO434" s="1"/>
    </row>
    <row r="435" spans="1:1029" x14ac:dyDescent="0.2">
      <c r="A435" s="3" t="str">
        <f t="shared" ref="A435:A450" si="3997">CONCATENATE(B435,"_",C435)</f>
        <v>glr_human_5XEZ</v>
      </c>
      <c r="B435" s="3" t="s">
        <v>32</v>
      </c>
      <c r="C435" s="3" t="s">
        <v>1405</v>
      </c>
      <c r="D435" s="3" t="str">
        <f>IFERROR(MID(VLOOKUP($B435,Seqs!$A:$B,2,0),E435,1),"")</f>
        <v>Q</v>
      </c>
      <c r="E435" s="3">
        <v>131</v>
      </c>
      <c r="F435" s="3" t="str">
        <f>IFERROR(MID(VLOOKUP($B435,Seqs!$A:$B,2,0),G435,1),"")</f>
        <v>G</v>
      </c>
      <c r="G435" s="3">
        <v>164</v>
      </c>
      <c r="H435" s="3" t="str">
        <f>IFERROR(MID(VLOOKUP($B435,Seqs!$A:$B,2,0),I435,1),"")</f>
        <v>S</v>
      </c>
      <c r="I435" s="23">
        <v>167</v>
      </c>
      <c r="J435" s="3" t="str">
        <f>IFERROR(MID(VLOOKUP($B435,Seqs!$A:$B,2,0),K435,1),"")</f>
        <v>H</v>
      </c>
      <c r="K435" s="23">
        <v>170</v>
      </c>
      <c r="L435" s="3" t="str">
        <f>IFERROR(MID(VLOOKUP($B435,Seqs!$A:$B,2,0),M435,1),"")</f>
        <v>C</v>
      </c>
      <c r="M435" s="23">
        <v>171</v>
      </c>
      <c r="N435" s="3" t="str">
        <f>IFERROR(MID(VLOOKUP($B435,Seqs!$A:$B,2,0),O435,1),"")</f>
        <v>R</v>
      </c>
      <c r="O435" s="3">
        <v>201</v>
      </c>
      <c r="P435" s="3" t="str">
        <f>IFERROR(MID(VLOOKUP($B435,Seqs!$A:$B,2,0),Q435,1),"")</f>
        <v/>
      </c>
      <c r="Q435" s="3" t="s">
        <v>23</v>
      </c>
      <c r="R435" s="3" t="str">
        <f>IFERROR(MID(VLOOKUP($B435,Seqs!$A:$B,2,0),S435,1),"")</f>
        <v/>
      </c>
      <c r="S435" s="3" t="s">
        <v>23</v>
      </c>
      <c r="T435" s="3" t="str">
        <f>IFERROR(MID(VLOOKUP($B435,Seqs!$A:$B,2,0),U435,1),"")</f>
        <v>S</v>
      </c>
      <c r="U435" s="3">
        <v>217</v>
      </c>
      <c r="V435" s="3" t="str">
        <f>IFERROR(MID(VLOOKUP($B435,Seqs!$A:$B,2,0),W435,1),"")</f>
        <v>L</v>
      </c>
      <c r="W435" s="3">
        <v>255</v>
      </c>
      <c r="X435" s="3" t="str">
        <f>IFERROR(MID(VLOOKUP($B435,Seqs!$A:$B,2,0),Y435,1),"")</f>
        <v/>
      </c>
      <c r="Y435" s="3" t="s">
        <v>23</v>
      </c>
      <c r="Z435" s="3" t="str">
        <f>IFERROR(MID(VLOOKUP($B435,Seqs!$A:$B,2,0),AA435,1),"")</f>
        <v/>
      </c>
      <c r="AA435" s="3" t="s">
        <v>23</v>
      </c>
      <c r="AB435" s="3" t="str">
        <f>IFERROR(MID(VLOOKUP($B435,Seqs!$A:$B,2,0),AC435,1),"")</f>
        <v>E</v>
      </c>
      <c r="AC435" s="3">
        <v>260</v>
      </c>
      <c r="AD435" s="3" t="str">
        <f>IFERROR(MID(VLOOKUP($B435,Seqs!$A:$B,2,0),AE435,1),"")</f>
        <v>E</v>
      </c>
      <c r="AE435" s="3">
        <v>290</v>
      </c>
      <c r="AF435" s="3" t="str">
        <f>IFERROR(MID(VLOOKUP($B435,Seqs!$A:$B,2,0),AG435,1),"")</f>
        <v>C</v>
      </c>
      <c r="AG435" s="3">
        <v>294</v>
      </c>
      <c r="AH435" s="3" t="str">
        <f>IFERROR(MID(VLOOKUP($B435,Seqs!$A:$B,2,0),AI435,1),"")</f>
        <v>T</v>
      </c>
      <c r="AI435" s="3">
        <v>296</v>
      </c>
      <c r="AJ435" s="3" t="str">
        <f>IFERROR(MID(VLOOKUP($B435,Seqs!$A:$B,2,0),AK435,1),"")</f>
        <v>D</v>
      </c>
      <c r="AK435" s="3">
        <v>299</v>
      </c>
      <c r="AL435" s="3" t="str">
        <f>IFERROR(MID(VLOOKUP($B435,Seqs!$A:$B,2,0),AM435,1),"")</f>
        <v>R</v>
      </c>
      <c r="AM435" s="3">
        <v>334</v>
      </c>
      <c r="AN435" s="3" t="str">
        <f>IFERROR(MID(VLOOKUP($B435,Seqs!$A:$B,2,0),AO435,1),"")</f>
        <v>D</v>
      </c>
      <c r="AO435" s="3">
        <v>342</v>
      </c>
      <c r="AP435" s="3" t="str">
        <f>IFERROR(MID(VLOOKUP($B435,Seqs!$A:$B,2,0),AQ435,1),"")</f>
        <v>F</v>
      </c>
      <c r="AQ435" s="3">
        <v>367</v>
      </c>
      <c r="AR435" s="3" t="str">
        <f>IFERROR(MID(VLOOKUP($B435,Seqs!$A:$B,2,0),AS435,1),"")</f>
        <v>G</v>
      </c>
      <c r="AS435" s="3">
        <v>375</v>
      </c>
      <c r="AT435" s="3" t="str">
        <f>IFERROR(MID(VLOOKUP($B435,Seqs!$A:$B,2,0),AU435,1),"")</f>
        <v>L</v>
      </c>
      <c r="AU435" s="3">
        <v>403</v>
      </c>
      <c r="AV435" s="3" t="str">
        <f>IFERROR(MID(VLOOKUP($B435,Seqs!$A:$B,2,0),AW435,1),"")</f>
        <v>N</v>
      </c>
      <c r="AW435" s="3">
        <v>404</v>
      </c>
      <c r="AX435" s="3" t="str">
        <f>IFERROR(MID(VLOOKUP($B435,Seqs!$A:$B,2,0),AY435,1),"")</f>
        <v>W</v>
      </c>
      <c r="AY435" s="3">
        <v>415</v>
      </c>
      <c r="AZ435" s="77" t="str">
        <f>VLOOKUP(B435,Classification!A:D,2,0)</f>
        <v>B1</v>
      </c>
      <c r="BA435" s="94" t="str">
        <f>VLOOKUP(B435,Classification!A:D,4,0)</f>
        <v>Glucagonreceptorfamily</v>
      </c>
      <c r="BB435" s="27" t="b">
        <f t="shared" ref="BB435:BB450" si="3998">AND(E435&lt;G435,OR(G435&lt;I435,I435="-"),OR(I435&lt;K435,I435="-"),OR(K435&lt;M435,K435="-"),M435&lt;O435,OR(O435&lt;Q435,Q435="-"),OR(Q435&lt;S435,Q435="-"),OR(S435&lt;U435,S435="-"),U435&lt;W435,OR(W435&lt;Y435,Y435="-"),OR(Y435&lt;AA435,Y435="-"),OR(AA435&lt;AC435,AA435="-"),AC435&lt;AE435,OR(AE435&lt;AG435,AG435="-"),OR(AG435&lt;AI435,AG435="-"),OR(AI435&lt;AK435,AI435="-"),AK435&lt;AM435,AM435&lt;AO435,AO435&lt;AQ435,AQ435&lt;AS435,AS435&lt;AU435,OR(AU435&lt;AW435,AW435="-"),OR(AW435&lt;AY435,AW435="-"))</f>
        <v>1</v>
      </c>
      <c r="BC435" s="23">
        <f t="shared" ref="BC435:BC450" si="3999">_xlfn.AGGREGATE(9,6,CH435:CS435)-_xlfn.AGGREGATE(9,6,BV435:CG435)+12</f>
        <v>247</v>
      </c>
      <c r="BD435" s="4" t="s">
        <v>1372</v>
      </c>
      <c r="BE435" s="3" t="s">
        <v>1370</v>
      </c>
      <c r="BF435" s="118">
        <v>3</v>
      </c>
      <c r="BG435" s="49" t="s">
        <v>1277</v>
      </c>
      <c r="BH435" s="49" t="s">
        <v>1277</v>
      </c>
      <c r="BI435" s="1"/>
      <c r="BJ435" s="70" t="s">
        <v>1283</v>
      </c>
      <c r="BK435" s="57" t="s">
        <v>1283</v>
      </c>
      <c r="BL435" s="57" t="s">
        <v>1283</v>
      </c>
      <c r="BM435" s="57" t="s">
        <v>1283</v>
      </c>
      <c r="BN435" s="57" t="s">
        <v>1283</v>
      </c>
      <c r="BO435" s="57" t="s">
        <v>1283</v>
      </c>
      <c r="BP435" s="57" t="s">
        <v>1283</v>
      </c>
      <c r="BQ435" s="57" t="s">
        <v>1283</v>
      </c>
      <c r="BR435" s="57" t="s">
        <v>1283</v>
      </c>
      <c r="BS435" s="57" t="s">
        <v>1283</v>
      </c>
      <c r="BT435" s="57" t="s">
        <v>1283</v>
      </c>
      <c r="BU435" s="57" t="s">
        <v>1283</v>
      </c>
      <c r="BV435" s="70">
        <f t="shared" ref="BV435:BV450" si="4000">E435</f>
        <v>131</v>
      </c>
      <c r="BW435" s="71">
        <f t="shared" ref="BW435:BW450" si="4001">I435</f>
        <v>167</v>
      </c>
      <c r="BX435" s="72">
        <f t="shared" ref="BX435:BX450" si="4002">M435</f>
        <v>171</v>
      </c>
      <c r="BY435" s="71" t="str">
        <f t="shared" ref="BY435:BY450" si="4003">Q435</f>
        <v>-</v>
      </c>
      <c r="BZ435" s="72">
        <f t="shared" ref="BZ435:BZ450" si="4004">U435</f>
        <v>217</v>
      </c>
      <c r="CA435" s="71" t="str">
        <f t="shared" ref="CA435:CA450" si="4005">Y435</f>
        <v>-</v>
      </c>
      <c r="CB435" s="72">
        <f t="shared" ref="CB435:CB450" si="4006">AC435</f>
        <v>260</v>
      </c>
      <c r="CC435" s="71">
        <f t="shared" ref="CC435:CC450" si="4007">AG435</f>
        <v>294</v>
      </c>
      <c r="CD435" s="72">
        <f t="shared" ref="CD435:CD450" si="4008">AK435</f>
        <v>299</v>
      </c>
      <c r="CE435" s="71">
        <f t="shared" ref="CE435:CE450" si="4009">AO435</f>
        <v>342</v>
      </c>
      <c r="CF435" s="72">
        <f t="shared" ref="CF435:CF450" si="4010">AS435</f>
        <v>375</v>
      </c>
      <c r="CG435" s="71">
        <f t="shared" ref="CG435:CG450" si="4011">AW435</f>
        <v>404</v>
      </c>
      <c r="CH435" s="70">
        <f t="shared" ref="CH435:CH450" si="4012">G435</f>
        <v>164</v>
      </c>
      <c r="CI435" s="71">
        <f t="shared" ref="CI435:CI450" si="4013">K435</f>
        <v>170</v>
      </c>
      <c r="CJ435" s="72">
        <f t="shared" ref="CJ435:CJ450" si="4014">O435</f>
        <v>201</v>
      </c>
      <c r="CK435" s="72" t="str">
        <f t="shared" ref="CK435:CK450" si="4015">S435</f>
        <v>-</v>
      </c>
      <c r="CL435" s="72">
        <f t="shared" ref="CL435:CL450" si="4016">W435</f>
        <v>255</v>
      </c>
      <c r="CM435" s="72" t="str">
        <f t="shared" ref="CM435:CM450" si="4017">AA435</f>
        <v>-</v>
      </c>
      <c r="CN435" s="72">
        <f t="shared" ref="CN435:CN450" si="4018">AE435</f>
        <v>290</v>
      </c>
      <c r="CO435" s="72">
        <f t="shared" ref="CO435:CO450" si="4019">AI435</f>
        <v>296</v>
      </c>
      <c r="CP435" s="72">
        <f t="shared" ref="CP435:CP450" si="4020">AM435</f>
        <v>334</v>
      </c>
      <c r="CQ435" s="72">
        <f t="shared" ref="CQ435:CQ450" si="4021">AQ435</f>
        <v>367</v>
      </c>
      <c r="CR435" s="72">
        <f t="shared" ref="CR435:CR450" si="4022">AU435</f>
        <v>403</v>
      </c>
      <c r="CS435" s="72">
        <f t="shared" ref="CS435:CS450" si="4023">AY435</f>
        <v>415</v>
      </c>
      <c r="CT435" s="23">
        <f t="shared" ref="CT435:CT450" si="4024">M435-K435</f>
        <v>1</v>
      </c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</row>
    <row r="436" spans="1:1029" x14ac:dyDescent="0.2">
      <c r="A436" s="3" t="str">
        <f t="shared" si="3997"/>
        <v>glr_human_5XF1</v>
      </c>
      <c r="B436" s="3" t="s">
        <v>32</v>
      </c>
      <c r="C436" s="3" t="s">
        <v>1406</v>
      </c>
      <c r="D436" s="3" t="str">
        <f>IFERROR(MID(VLOOKUP($B436,Seqs!$A:$B,2,0),E436,1),"")</f>
        <v>Q</v>
      </c>
      <c r="E436" s="3">
        <v>131</v>
      </c>
      <c r="F436" s="3" t="str">
        <f>IFERROR(MID(VLOOKUP($B436,Seqs!$A:$B,2,0),G436,1),"")</f>
        <v>L</v>
      </c>
      <c r="G436" s="3">
        <v>166</v>
      </c>
      <c r="H436" s="3" t="str">
        <f>IFERROR(MID(VLOOKUP($B436,Seqs!$A:$B,2,0),I436,1),"")</f>
        <v>S</v>
      </c>
      <c r="I436" s="23">
        <v>167</v>
      </c>
      <c r="J436" s="3" t="str">
        <f>IFERROR(MID(VLOOKUP($B436,Seqs!$A:$B,2,0),K436,1),"")</f>
        <v>H</v>
      </c>
      <c r="K436" s="23">
        <v>170</v>
      </c>
      <c r="L436" s="3" t="str">
        <f>IFERROR(MID(VLOOKUP($B436,Seqs!$A:$B,2,0),M436,1),"")</f>
        <v>N</v>
      </c>
      <c r="M436" s="23">
        <v>174</v>
      </c>
      <c r="N436" s="3" t="str">
        <f>IFERROR(MID(VLOOKUP($B436,Seqs!$A:$B,2,0),O436,1),"")</f>
        <v>R</v>
      </c>
      <c r="O436" s="3">
        <v>201</v>
      </c>
      <c r="P436" s="3" t="str">
        <f>IFERROR(MID(VLOOKUP($B436,Seqs!$A:$B,2,0),Q436,1),"")</f>
        <v/>
      </c>
      <c r="Q436" s="3" t="s">
        <v>23</v>
      </c>
      <c r="R436" s="3" t="str">
        <f>IFERROR(MID(VLOOKUP($B436,Seqs!$A:$B,2,0),S436,1),"")</f>
        <v/>
      </c>
      <c r="S436" s="3" t="s">
        <v>23</v>
      </c>
      <c r="T436" s="3" t="str">
        <f>IFERROR(MID(VLOOKUP($B436,Seqs!$A:$B,2,0),U436,1),"")</f>
        <v>S</v>
      </c>
      <c r="U436" s="3">
        <v>217</v>
      </c>
      <c r="V436" s="3" t="str">
        <f>IFERROR(MID(VLOOKUP($B436,Seqs!$A:$B,2,0),W436,1),"")</f>
        <v>L</v>
      </c>
      <c r="W436" s="3">
        <v>255</v>
      </c>
      <c r="X436" s="3" t="str">
        <f>IFERROR(MID(VLOOKUP($B436,Seqs!$A:$B,2,0),Y436,1),"")</f>
        <v/>
      </c>
      <c r="Y436" s="3" t="s">
        <v>23</v>
      </c>
      <c r="Z436" s="3" t="str">
        <f>IFERROR(MID(VLOOKUP($B436,Seqs!$A:$B,2,0),AA436,1),"")</f>
        <v/>
      </c>
      <c r="AA436" s="3" t="s">
        <v>23</v>
      </c>
      <c r="AB436" s="3" t="str">
        <f>IFERROR(MID(VLOOKUP($B436,Seqs!$A:$B,2,0),AC436,1),"")</f>
        <v>R</v>
      </c>
      <c r="AC436" s="3">
        <v>261</v>
      </c>
      <c r="AD436" s="3" t="str">
        <f>IFERROR(MID(VLOOKUP($B436,Seqs!$A:$B,2,0),AE436,1),"")</f>
        <v>F</v>
      </c>
      <c r="AE436" s="3">
        <v>289</v>
      </c>
      <c r="AF436" s="3" t="str">
        <f>IFERROR(MID(VLOOKUP($B436,Seqs!$A:$B,2,0),AG436,1),"")</f>
        <v>C</v>
      </c>
      <c r="AG436" s="3">
        <v>294</v>
      </c>
      <c r="AH436" s="3" t="str">
        <f>IFERROR(MID(VLOOKUP($B436,Seqs!$A:$B,2,0),AI436,1),"")</f>
        <v>T</v>
      </c>
      <c r="AI436" s="3">
        <v>296</v>
      </c>
      <c r="AJ436" s="3" t="str">
        <f>IFERROR(MID(VLOOKUP($B436,Seqs!$A:$B,2,0),AK436,1),"")</f>
        <v>D</v>
      </c>
      <c r="AK436" s="3">
        <v>299</v>
      </c>
      <c r="AL436" s="3" t="str">
        <f>IFERROR(MID(VLOOKUP($B436,Seqs!$A:$B,2,0),AM436,1),"")</f>
        <v>L</v>
      </c>
      <c r="AM436" s="3">
        <v>333</v>
      </c>
      <c r="AN436" s="3" t="str">
        <f>IFERROR(MID(VLOOKUP($B436,Seqs!$A:$B,2,0),AO436,1),"")</f>
        <v>D</v>
      </c>
      <c r="AO436" s="3">
        <v>342</v>
      </c>
      <c r="AP436" s="3" t="str">
        <f>IFERROR(MID(VLOOKUP($B436,Seqs!$A:$B,2,0),AQ436,1),"")</f>
        <v>V</v>
      </c>
      <c r="AQ436" s="3">
        <v>368</v>
      </c>
      <c r="AR436" s="3" t="str">
        <f>IFERROR(MID(VLOOKUP($B436,Seqs!$A:$B,2,0),AS436,1),"")</f>
        <v>L</v>
      </c>
      <c r="AS436" s="3">
        <v>377</v>
      </c>
      <c r="AT436" s="3" t="str">
        <f>IFERROR(MID(VLOOKUP($B436,Seqs!$A:$B,2,0),AU436,1),"")</f>
        <v>L</v>
      </c>
      <c r="AU436" s="3">
        <v>403</v>
      </c>
      <c r="AV436" s="3" t="str">
        <f>IFERROR(MID(VLOOKUP($B436,Seqs!$A:$B,2,0),AW436,1),"")</f>
        <v>N</v>
      </c>
      <c r="AW436" s="3">
        <v>404</v>
      </c>
      <c r="AX436" s="3" t="str">
        <f>IFERROR(MID(VLOOKUP($B436,Seqs!$A:$B,2,0),AY436,1),"")</f>
        <v>W</v>
      </c>
      <c r="AY436" s="3">
        <v>415</v>
      </c>
      <c r="AZ436" s="77" t="str">
        <f>VLOOKUP(B436,Classification!A:D,2,0)</f>
        <v>B1</v>
      </c>
      <c r="BA436" s="94" t="str">
        <f>VLOOKUP(B436,Classification!A:D,4,0)</f>
        <v>Glucagonreceptorfamily</v>
      </c>
      <c r="BB436" s="27" t="b">
        <f t="shared" si="3998"/>
        <v>1</v>
      </c>
      <c r="BC436" s="23">
        <f t="shared" si="3999"/>
        <v>242</v>
      </c>
      <c r="BD436" s="4" t="s">
        <v>23</v>
      </c>
      <c r="BE436" s="3" t="s">
        <v>1370</v>
      </c>
      <c r="BF436" s="118">
        <v>3.19</v>
      </c>
      <c r="BG436" s="49" t="s">
        <v>1277</v>
      </c>
      <c r="BH436" s="49" t="s">
        <v>1277</v>
      </c>
      <c r="BI436" s="1"/>
      <c r="BJ436" s="70" t="s">
        <v>1283</v>
      </c>
      <c r="BK436" s="57" t="s">
        <v>1283</v>
      </c>
      <c r="BL436" s="57" t="s">
        <v>1283</v>
      </c>
      <c r="BM436" s="57" t="s">
        <v>1283</v>
      </c>
      <c r="BN436" s="57" t="s">
        <v>1283</v>
      </c>
      <c r="BO436" s="57" t="s">
        <v>1283</v>
      </c>
      <c r="BP436" s="57" t="s">
        <v>1283</v>
      </c>
      <c r="BQ436" s="57" t="s">
        <v>1283</v>
      </c>
      <c r="BR436" s="57" t="s">
        <v>1283</v>
      </c>
      <c r="BS436" s="57" t="s">
        <v>1283</v>
      </c>
      <c r="BT436" s="57" t="s">
        <v>1283</v>
      </c>
      <c r="BU436" s="57" t="s">
        <v>1283</v>
      </c>
      <c r="BV436" s="70">
        <f t="shared" si="4000"/>
        <v>131</v>
      </c>
      <c r="BW436" s="71">
        <f t="shared" si="4001"/>
        <v>167</v>
      </c>
      <c r="BX436" s="72">
        <f t="shared" si="4002"/>
        <v>174</v>
      </c>
      <c r="BY436" s="71" t="str">
        <f t="shared" si="4003"/>
        <v>-</v>
      </c>
      <c r="BZ436" s="72">
        <f t="shared" si="4004"/>
        <v>217</v>
      </c>
      <c r="CA436" s="71" t="str">
        <f t="shared" si="4005"/>
        <v>-</v>
      </c>
      <c r="CB436" s="72">
        <f t="shared" si="4006"/>
        <v>261</v>
      </c>
      <c r="CC436" s="71">
        <f t="shared" si="4007"/>
        <v>294</v>
      </c>
      <c r="CD436" s="72">
        <f t="shared" si="4008"/>
        <v>299</v>
      </c>
      <c r="CE436" s="71">
        <f t="shared" si="4009"/>
        <v>342</v>
      </c>
      <c r="CF436" s="72">
        <f t="shared" si="4010"/>
        <v>377</v>
      </c>
      <c r="CG436" s="71">
        <f t="shared" si="4011"/>
        <v>404</v>
      </c>
      <c r="CH436" s="70">
        <f t="shared" si="4012"/>
        <v>166</v>
      </c>
      <c r="CI436" s="71">
        <f t="shared" si="4013"/>
        <v>170</v>
      </c>
      <c r="CJ436" s="72">
        <f t="shared" si="4014"/>
        <v>201</v>
      </c>
      <c r="CK436" s="72" t="str">
        <f t="shared" si="4015"/>
        <v>-</v>
      </c>
      <c r="CL436" s="72">
        <f t="shared" si="4016"/>
        <v>255</v>
      </c>
      <c r="CM436" s="72" t="str">
        <f t="shared" si="4017"/>
        <v>-</v>
      </c>
      <c r="CN436" s="72">
        <f t="shared" si="4018"/>
        <v>289</v>
      </c>
      <c r="CO436" s="72">
        <f t="shared" si="4019"/>
        <v>296</v>
      </c>
      <c r="CP436" s="72">
        <f t="shared" si="4020"/>
        <v>333</v>
      </c>
      <c r="CQ436" s="72">
        <f t="shared" si="4021"/>
        <v>368</v>
      </c>
      <c r="CR436" s="72">
        <f t="shared" si="4022"/>
        <v>403</v>
      </c>
      <c r="CS436" s="72">
        <f t="shared" si="4023"/>
        <v>415</v>
      </c>
      <c r="CT436" s="23">
        <f t="shared" si="4024"/>
        <v>4</v>
      </c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</row>
    <row r="437" spans="1:1029" x14ac:dyDescent="0.2">
      <c r="A437" s="3" t="str">
        <f t="shared" si="3997"/>
        <v>glr_human_5YQZ</v>
      </c>
      <c r="B437" s="3" t="s">
        <v>32</v>
      </c>
      <c r="C437" s="3" t="s">
        <v>1458</v>
      </c>
      <c r="D437" s="3" t="str">
        <f>IFERROR(MID(VLOOKUP($B437,Seqs!$A:$B,2,0),E437,1),"")</f>
        <v>D</v>
      </c>
      <c r="E437" s="3">
        <v>124</v>
      </c>
      <c r="F437" s="3" t="str">
        <f>IFERROR(MID(VLOOKUP($B437,Seqs!$A:$B,2,0),G437,1),"")</f>
        <v>L</v>
      </c>
      <c r="G437" s="3">
        <v>166</v>
      </c>
      <c r="H437" s="3" t="str">
        <f>IFERROR(MID(VLOOKUP($B437,Seqs!$A:$B,2,0),I437,1),"")</f>
        <v>S</v>
      </c>
      <c r="I437" s="23">
        <v>167</v>
      </c>
      <c r="J437" s="3" t="str">
        <f>IFERROR(MID(VLOOKUP($B437,Seqs!$A:$B,2,0),K437,1),"")</f>
        <v>H</v>
      </c>
      <c r="K437" s="23">
        <v>170</v>
      </c>
      <c r="L437" s="3" t="str">
        <f>IFERROR(MID(VLOOKUP($B437,Seqs!$A:$B,2,0),M437,1),"")</f>
        <v>C</v>
      </c>
      <c r="M437" s="23">
        <v>171</v>
      </c>
      <c r="N437" s="3" t="str">
        <f>IFERROR(MID(VLOOKUP($B437,Seqs!$A:$B,2,0),O437,1),"")</f>
        <v>S</v>
      </c>
      <c r="O437" s="3">
        <v>203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A</v>
      </c>
      <c r="U437" s="3">
        <v>220</v>
      </c>
      <c r="V437" s="3" t="str">
        <f>IFERROR(MID(VLOOKUP($B437,Seqs!$A:$B,2,0),W437,1),"")</f>
        <v>L</v>
      </c>
      <c r="W437" s="3">
        <v>255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F</v>
      </c>
      <c r="AC437" s="3">
        <v>263</v>
      </c>
      <c r="AD437" s="3" t="str">
        <f>IFERROR(MID(VLOOKUP($B437,Seqs!$A:$B,2,0),AE437,1),"")</f>
        <v>E</v>
      </c>
      <c r="AE437" s="3">
        <v>290</v>
      </c>
      <c r="AF437" s="3" t="str">
        <f>IFERROR(MID(VLOOKUP($B437,Seqs!$A:$B,2,0),AG437,1),"")</f>
        <v>C</v>
      </c>
      <c r="AG437" s="3">
        <v>294</v>
      </c>
      <c r="AH437" s="3" t="str">
        <f>IFERROR(MID(VLOOKUP($B437,Seqs!$A:$B,2,0),AI437,1),"")</f>
        <v>T</v>
      </c>
      <c r="AI437" s="3">
        <v>296</v>
      </c>
      <c r="AJ437" s="3" t="str">
        <f>IFERROR(MID(VLOOKUP($B437,Seqs!$A:$B,2,0),AK437,1),"")</f>
        <v>F</v>
      </c>
      <c r="AK437" s="3">
        <v>303</v>
      </c>
      <c r="AL437" s="3" t="str">
        <f>IFERROR(MID(VLOOKUP($B437,Seqs!$A:$B,2,0),AM437,1),"")</f>
        <v>A</v>
      </c>
      <c r="AM437" s="3">
        <v>335</v>
      </c>
      <c r="AN437" s="3" t="str">
        <f>IFERROR(MID(VLOOKUP($B437,Seqs!$A:$B,2,0),AO437,1),"")</f>
        <v>D</v>
      </c>
      <c r="AO437" s="3">
        <v>342</v>
      </c>
      <c r="AP437" s="3" t="str">
        <f>IFERROR(MID(VLOOKUP($B437,Seqs!$A:$B,2,0),AQ437,1),"")</f>
        <v>T</v>
      </c>
      <c r="AQ437" s="3">
        <v>369</v>
      </c>
      <c r="AR437" s="3" t="str">
        <f>IFERROR(MID(VLOOKUP($B437,Seqs!$A:$B,2,0),AS437,1),"")</f>
        <v>G</v>
      </c>
      <c r="AS437" s="3">
        <v>375</v>
      </c>
      <c r="AT437" s="3" t="str">
        <f>IFERROR(MID(VLOOKUP($B437,Seqs!$A:$B,2,0),AU437,1),"")</f>
        <v>L</v>
      </c>
      <c r="AU437" s="3">
        <v>403</v>
      </c>
      <c r="AV437" s="3" t="str">
        <f>IFERROR(MID(VLOOKUP($B437,Seqs!$A:$B,2,0),AW437,1),"")</f>
        <v>N</v>
      </c>
      <c r="AW437" s="3">
        <v>404</v>
      </c>
      <c r="AX437" s="3" t="str">
        <f>IFERROR(MID(VLOOKUP($B437,Seqs!$A:$B,2,0),AY437,1),"")</f>
        <v>E</v>
      </c>
      <c r="AY437" s="3">
        <v>426</v>
      </c>
      <c r="AZ437" s="77" t="str">
        <f>VLOOKUP(B437,Classification!A:D,2,0)</f>
        <v>B1</v>
      </c>
      <c r="BA437" s="94" t="str">
        <f>VLOOKUP(B437,Classification!A:D,4,0)</f>
        <v>Glucagonreceptorfamily</v>
      </c>
      <c r="BB437" s="27" t="b">
        <f t="shared" si="3998"/>
        <v>1</v>
      </c>
      <c r="BC437" s="23">
        <f t="shared" si="3999"/>
        <v>262</v>
      </c>
      <c r="BD437" s="4" t="s">
        <v>23</v>
      </c>
      <c r="BE437" s="3" t="s">
        <v>1370</v>
      </c>
      <c r="BF437" s="118">
        <v>3</v>
      </c>
      <c r="BG437" s="49" t="s">
        <v>1418</v>
      </c>
      <c r="BH437" s="49" t="s">
        <v>1418</v>
      </c>
      <c r="BI437" s="1"/>
      <c r="BJ437" s="70" t="s">
        <v>1283</v>
      </c>
      <c r="BK437" s="57" t="s">
        <v>1283</v>
      </c>
      <c r="BL437" s="57" t="s">
        <v>1283</v>
      </c>
      <c r="BM437" s="57" t="s">
        <v>1283</v>
      </c>
      <c r="BN437" s="57" t="s">
        <v>1283</v>
      </c>
      <c r="BO437" s="57" t="s">
        <v>1283</v>
      </c>
      <c r="BP437" s="57" t="s">
        <v>1283</v>
      </c>
      <c r="BQ437" s="57" t="s">
        <v>1283</v>
      </c>
      <c r="BR437" s="57" t="s">
        <v>1283</v>
      </c>
      <c r="BS437" s="57" t="s">
        <v>1283</v>
      </c>
      <c r="BT437" s="57" t="s">
        <v>1283</v>
      </c>
      <c r="BU437" s="57" t="s">
        <v>1283</v>
      </c>
      <c r="BV437" s="70">
        <f t="shared" si="4000"/>
        <v>124</v>
      </c>
      <c r="BW437" s="71">
        <f t="shared" si="4001"/>
        <v>167</v>
      </c>
      <c r="BX437" s="72">
        <f t="shared" si="4002"/>
        <v>171</v>
      </c>
      <c r="BY437" s="71" t="str">
        <f t="shared" si="4003"/>
        <v>-</v>
      </c>
      <c r="BZ437" s="72">
        <f t="shared" si="4004"/>
        <v>220</v>
      </c>
      <c r="CA437" s="71" t="str">
        <f t="shared" si="4005"/>
        <v>-</v>
      </c>
      <c r="CB437" s="72">
        <f t="shared" si="4006"/>
        <v>263</v>
      </c>
      <c r="CC437" s="71">
        <f t="shared" si="4007"/>
        <v>294</v>
      </c>
      <c r="CD437" s="72">
        <f t="shared" si="4008"/>
        <v>303</v>
      </c>
      <c r="CE437" s="71">
        <f t="shared" si="4009"/>
        <v>342</v>
      </c>
      <c r="CF437" s="72">
        <f t="shared" si="4010"/>
        <v>375</v>
      </c>
      <c r="CG437" s="71">
        <f t="shared" si="4011"/>
        <v>404</v>
      </c>
      <c r="CH437" s="70">
        <f t="shared" si="4012"/>
        <v>166</v>
      </c>
      <c r="CI437" s="71">
        <f t="shared" si="4013"/>
        <v>170</v>
      </c>
      <c r="CJ437" s="72">
        <f t="shared" si="4014"/>
        <v>203</v>
      </c>
      <c r="CK437" s="72" t="str">
        <f t="shared" si="4015"/>
        <v>-</v>
      </c>
      <c r="CL437" s="72">
        <f t="shared" si="4016"/>
        <v>255</v>
      </c>
      <c r="CM437" s="72" t="str">
        <f t="shared" si="4017"/>
        <v>-</v>
      </c>
      <c r="CN437" s="72">
        <f t="shared" si="4018"/>
        <v>290</v>
      </c>
      <c r="CO437" s="72">
        <f t="shared" si="4019"/>
        <v>296</v>
      </c>
      <c r="CP437" s="72">
        <f t="shared" si="4020"/>
        <v>335</v>
      </c>
      <c r="CQ437" s="72">
        <f t="shared" si="4021"/>
        <v>369</v>
      </c>
      <c r="CR437" s="72">
        <f t="shared" si="4022"/>
        <v>403</v>
      </c>
      <c r="CS437" s="72">
        <f t="shared" si="4023"/>
        <v>426</v>
      </c>
      <c r="CT437" s="23">
        <f t="shared" si="4024"/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29" x14ac:dyDescent="0.2">
      <c r="A438" s="3" t="str">
        <f t="shared" ref="A438" si="4025">CONCATENATE(B438,"_",C438)</f>
        <v>glr_human_6LMK</v>
      </c>
      <c r="B438" s="3" t="s">
        <v>32</v>
      </c>
      <c r="C438" s="3" t="s">
        <v>1671</v>
      </c>
      <c r="D438" s="3" t="str">
        <f>IFERROR(MID(VLOOKUP($B438,Seqs!$A:$B,2,0),E438,1),"")</f>
        <v>D</v>
      </c>
      <c r="E438" s="3">
        <v>124</v>
      </c>
      <c r="F438" s="3" t="str">
        <f>IFERROR(MID(VLOOKUP($B438,Seqs!$A:$B,2,0),G438,1),"")</f>
        <v>G</v>
      </c>
      <c r="G438" s="3">
        <v>165</v>
      </c>
      <c r="H438" s="3" t="str">
        <f>IFERROR(MID(VLOOKUP($B438,Seqs!$A:$B,2,0),I438,1),"")</f>
        <v/>
      </c>
      <c r="I438" s="23" t="s">
        <v>23</v>
      </c>
      <c r="J438" s="3" t="str">
        <f>IFERROR(MID(VLOOKUP($B438,Seqs!$A:$B,2,0),K438,1),"")</f>
        <v/>
      </c>
      <c r="K438" s="23" t="s">
        <v>23</v>
      </c>
      <c r="L438" s="3" t="str">
        <f>IFERROR(MID(VLOOKUP($B438,Seqs!$A:$B,2,0),M438,1),"")</f>
        <v>C</v>
      </c>
      <c r="M438" s="23">
        <v>171</v>
      </c>
      <c r="N438" s="3" t="str">
        <f>IFERROR(MID(VLOOKUP($B438,Seqs!$A:$B,2,0),O438,1),"")</f>
        <v>S</v>
      </c>
      <c r="O438" s="3">
        <v>203</v>
      </c>
      <c r="P438" s="3" t="str">
        <f>IFERROR(MID(VLOOKUP($B438,Seqs!$A:$B,2,0),Q438,1),"")</f>
        <v/>
      </c>
      <c r="Q438" s="3" t="s">
        <v>23</v>
      </c>
      <c r="R438" s="3" t="str">
        <f>IFERROR(MID(VLOOKUP($B438,Seqs!$A:$B,2,0),S438,1),"")</f>
        <v/>
      </c>
      <c r="S438" s="3" t="s">
        <v>23</v>
      </c>
      <c r="T438" s="3" t="str">
        <f>IFERROR(MID(VLOOKUP($B438,Seqs!$A:$B,2,0),U438,1),"")</f>
        <v>A</v>
      </c>
      <c r="U438" s="3">
        <v>220</v>
      </c>
      <c r="V438" s="3" t="str">
        <f>IFERROR(MID(VLOOKUP($B438,Seqs!$A:$B,2,0),W438,1),"")</f>
        <v>L</v>
      </c>
      <c r="W438" s="3">
        <v>253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F</v>
      </c>
      <c r="AC438" s="3">
        <v>263</v>
      </c>
      <c r="AD438" s="3" t="str">
        <f>IFERROR(MID(VLOOKUP($B438,Seqs!$A:$B,2,0),AE438,1),"")</f>
        <v>E</v>
      </c>
      <c r="AE438" s="3">
        <v>290</v>
      </c>
      <c r="AF438" s="3" t="str">
        <f>IFERROR(MID(VLOOKUP($B438,Seqs!$A:$B,2,0),AG438,1),"")</f>
        <v>C</v>
      </c>
      <c r="AG438" s="3">
        <v>294</v>
      </c>
      <c r="AH438" s="3" t="str">
        <f>IFERROR(MID(VLOOKUP($B438,Seqs!$A:$B,2,0),AI438,1),"")</f>
        <v>T</v>
      </c>
      <c r="AI438" s="3">
        <v>296</v>
      </c>
      <c r="AJ438" s="3" t="str">
        <f>IFERROR(MID(VLOOKUP($B438,Seqs!$A:$B,2,0),AK438,1),"")</f>
        <v>W</v>
      </c>
      <c r="AK438" s="3">
        <v>304</v>
      </c>
      <c r="AL438" s="3" t="str">
        <f>IFERROR(MID(VLOOKUP($B438,Seqs!$A:$B,2,0),AM438,1),"")</f>
        <v>R</v>
      </c>
      <c r="AM438" s="3">
        <v>334</v>
      </c>
      <c r="AN438" s="3" t="str">
        <f>IFERROR(MID(VLOOKUP($B438,Seqs!$A:$B,2,0),AO438,1),"")</f>
        <v>D</v>
      </c>
      <c r="AO438" s="3">
        <v>342</v>
      </c>
      <c r="AP438" s="3" t="str">
        <f>IFERROR(MID(VLOOKUP($B438,Seqs!$A:$B,2,0),AQ438,1),"")</f>
        <v>A</v>
      </c>
      <c r="AQ438" s="3">
        <v>366</v>
      </c>
      <c r="AR438" s="3" t="str">
        <f>IFERROR(MID(VLOOKUP($B438,Seqs!$A:$B,2,0),AS438,1),"")</f>
        <v>Q</v>
      </c>
      <c r="AS438" s="3">
        <v>374</v>
      </c>
      <c r="AT438" s="3" t="str">
        <f>IFERROR(MID(VLOOKUP($B438,Seqs!$A:$B,2,0),AU438,1),"")</f>
        <v>L</v>
      </c>
      <c r="AU438" s="3">
        <v>403</v>
      </c>
      <c r="AV438" s="3" t="str">
        <f>IFERROR(MID(VLOOKUP($B438,Seqs!$A:$B,2,0),AW438,1),"")</f>
        <v>N</v>
      </c>
      <c r="AW438" s="3">
        <v>404</v>
      </c>
      <c r="AX438" s="3" t="str">
        <f>IFERROR(MID(VLOOKUP($B438,Seqs!$A:$B,2,0),AY438,1),"")</f>
        <v>R</v>
      </c>
      <c r="AY438" s="3">
        <v>419</v>
      </c>
      <c r="AZ438" s="77" t="str">
        <f>VLOOKUP(B438,Classification!A:D,2,0)</f>
        <v>B1</v>
      </c>
      <c r="BA438" s="94" t="str">
        <f>VLOOKUP(B438,Classification!A:D,4,0)</f>
        <v>Glucagonreceptorfamily</v>
      </c>
      <c r="BB438" s="27" t="b">
        <f t="shared" ref="BB438" si="4026">AND(E438&lt;G438,OR(G438&lt;I438,I438="-"),OR(I438&lt;K438,I438="-"),OR(K438&lt;M438,K438="-"),M438&lt;O438,OR(O438&lt;Q438,Q438="-"),OR(Q438&lt;S438,Q438="-"),OR(S438&lt;U438,S438="-"),U438&lt;W438,OR(W438&lt;Y438,Y438="-"),OR(Y438&lt;AA438,Y438="-"),OR(AA438&lt;AC438,AA438="-"),AC438&lt;AE438,OR(AE438&lt;AG438,AG438="-"),OR(AG438&lt;AI438,AG438="-"),OR(AI438&lt;AK438,AI438="-"),AK438&lt;AM438,AM438&lt;AO438,AO438&lt;AQ438,AQ438&lt;AS438,AS438&lt;AU438,OR(AU438&lt;AW438,AW438="-"),OR(AW438&lt;AY438,AW438="-"))</f>
        <v>1</v>
      </c>
      <c r="BC438" s="23">
        <f t="shared" ref="BC438" si="4027">_xlfn.AGGREGATE(9,6,CH438:CS438)-_xlfn.AGGREGATE(9,6,BV438:CG438)+12</f>
        <v>245</v>
      </c>
      <c r="BD438" s="4" t="s">
        <v>1371</v>
      </c>
      <c r="BE438" s="3" t="s">
        <v>1287</v>
      </c>
      <c r="BF438" s="118">
        <v>3.7</v>
      </c>
      <c r="BG438" s="49" t="s">
        <v>1418</v>
      </c>
      <c r="BH438" s="49" t="s">
        <v>1418</v>
      </c>
      <c r="BI438" s="1"/>
      <c r="BJ438" s="70" t="s">
        <v>1283</v>
      </c>
      <c r="BK438" s="57" t="s">
        <v>1283</v>
      </c>
      <c r="BL438" s="57" t="s">
        <v>1283</v>
      </c>
      <c r="BM438" s="57" t="s">
        <v>1283</v>
      </c>
      <c r="BN438" s="57" t="s">
        <v>1283</v>
      </c>
      <c r="BO438" s="57" t="s">
        <v>1283</v>
      </c>
      <c r="BP438" s="57" t="s">
        <v>1283</v>
      </c>
      <c r="BQ438" s="57" t="s">
        <v>1283</v>
      </c>
      <c r="BR438" s="57" t="s">
        <v>1283</v>
      </c>
      <c r="BS438" s="57" t="s">
        <v>1283</v>
      </c>
      <c r="BT438" s="57" t="s">
        <v>1283</v>
      </c>
      <c r="BU438" s="57" t="s">
        <v>1283</v>
      </c>
      <c r="BV438" s="70">
        <f t="shared" ref="BV438" si="4028">E438</f>
        <v>124</v>
      </c>
      <c r="BW438" s="71" t="str">
        <f t="shared" ref="BW438" si="4029">I438</f>
        <v>-</v>
      </c>
      <c r="BX438" s="72">
        <f t="shared" ref="BX438" si="4030">M438</f>
        <v>171</v>
      </c>
      <c r="BY438" s="71" t="str">
        <f t="shared" ref="BY438" si="4031">Q438</f>
        <v>-</v>
      </c>
      <c r="BZ438" s="72">
        <f t="shared" ref="BZ438" si="4032">U438</f>
        <v>220</v>
      </c>
      <c r="CA438" s="71" t="str">
        <f t="shared" ref="CA438" si="4033">Y438</f>
        <v>-</v>
      </c>
      <c r="CB438" s="72">
        <f t="shared" ref="CB438" si="4034">AC438</f>
        <v>263</v>
      </c>
      <c r="CC438" s="71">
        <f t="shared" ref="CC438" si="4035">AG438</f>
        <v>294</v>
      </c>
      <c r="CD438" s="72">
        <f t="shared" ref="CD438" si="4036">AK438</f>
        <v>304</v>
      </c>
      <c r="CE438" s="71">
        <f t="shared" ref="CE438" si="4037">AO438</f>
        <v>342</v>
      </c>
      <c r="CF438" s="72">
        <f t="shared" ref="CF438" si="4038">AS438</f>
        <v>374</v>
      </c>
      <c r="CG438" s="71">
        <f t="shared" ref="CG438" si="4039">AW438</f>
        <v>404</v>
      </c>
      <c r="CH438" s="70">
        <f t="shared" ref="CH438" si="4040">G438</f>
        <v>165</v>
      </c>
      <c r="CI438" s="71" t="str">
        <f t="shared" ref="CI438" si="4041">K438</f>
        <v>-</v>
      </c>
      <c r="CJ438" s="72">
        <f t="shared" ref="CJ438" si="4042">O438</f>
        <v>203</v>
      </c>
      <c r="CK438" s="72" t="str">
        <f t="shared" ref="CK438" si="4043">S438</f>
        <v>-</v>
      </c>
      <c r="CL438" s="72">
        <f t="shared" ref="CL438" si="4044">W438</f>
        <v>253</v>
      </c>
      <c r="CM438" s="72" t="str">
        <f t="shared" ref="CM438" si="4045">AA438</f>
        <v>-</v>
      </c>
      <c r="CN438" s="72">
        <f t="shared" ref="CN438" si="4046">AE438</f>
        <v>290</v>
      </c>
      <c r="CO438" s="72">
        <f t="shared" ref="CO438" si="4047">AI438</f>
        <v>296</v>
      </c>
      <c r="CP438" s="72">
        <f t="shared" ref="CP438" si="4048">AM438</f>
        <v>334</v>
      </c>
      <c r="CQ438" s="72">
        <f t="shared" ref="CQ438" si="4049">AQ438</f>
        <v>366</v>
      </c>
      <c r="CR438" s="72">
        <f t="shared" ref="CR438" si="4050">AU438</f>
        <v>403</v>
      </c>
      <c r="CS438" s="72">
        <f t="shared" ref="CS438" si="4051">AY438</f>
        <v>419</v>
      </c>
      <c r="CT438" s="23" t="e">
        <f t="shared" ref="CT438" si="4052">M438-K438</f>
        <v>#VALUE!</v>
      </c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</row>
    <row r="439" spans="1:1029" x14ac:dyDescent="0.2">
      <c r="A439" s="3" t="str">
        <f t="shared" ref="A439" si="4053">CONCATENATE(B439,"_",C439)</f>
        <v>glr_human_6LML</v>
      </c>
      <c r="B439" s="3" t="s">
        <v>32</v>
      </c>
      <c r="C439" s="3" t="s">
        <v>1672</v>
      </c>
      <c r="D439" s="3" t="str">
        <f>IFERROR(MID(VLOOKUP($B439,Seqs!$A:$B,2,0),E439,1),"")</f>
        <v>D</v>
      </c>
      <c r="E439" s="3">
        <v>124</v>
      </c>
      <c r="F439" s="3" t="str">
        <f>IFERROR(MID(VLOOKUP($B439,Seqs!$A:$B,2,0),G439,1),"")</f>
        <v>G</v>
      </c>
      <c r="G439" s="3">
        <v>165</v>
      </c>
      <c r="H439" s="3" t="str">
        <f>IFERROR(MID(VLOOKUP($B439,Seqs!$A:$B,2,0),I439,1),"")</f>
        <v/>
      </c>
      <c r="I439" s="23" t="s">
        <v>23</v>
      </c>
      <c r="J439" s="3" t="str">
        <f>IFERROR(MID(VLOOKUP($B439,Seqs!$A:$B,2,0),K439,1),"")</f>
        <v/>
      </c>
      <c r="K439" s="23" t="s">
        <v>23</v>
      </c>
      <c r="L439" s="3" t="str">
        <f>IFERROR(MID(VLOOKUP($B439,Seqs!$A:$B,2,0),M439,1),"")</f>
        <v>C</v>
      </c>
      <c r="M439" s="23">
        <v>171</v>
      </c>
      <c r="N439" s="3" t="str">
        <f>IFERROR(MID(VLOOKUP($B439,Seqs!$A:$B,2,0),O439,1),"")</f>
        <v>S</v>
      </c>
      <c r="O439" s="3">
        <v>203</v>
      </c>
      <c r="P439" s="3" t="str">
        <f>IFERROR(MID(VLOOKUP($B439,Seqs!$A:$B,2,0),Q439,1),"")</f>
        <v/>
      </c>
      <c r="Q439" s="3" t="s">
        <v>23</v>
      </c>
      <c r="R439" s="3" t="str">
        <f>IFERROR(MID(VLOOKUP($B439,Seqs!$A:$B,2,0),S439,1),"")</f>
        <v/>
      </c>
      <c r="S439" s="3" t="s">
        <v>23</v>
      </c>
      <c r="T439" s="3" t="str">
        <f>IFERROR(MID(VLOOKUP($B439,Seqs!$A:$B,2,0),U439,1),"")</f>
        <v>V</v>
      </c>
      <c r="U439" s="3">
        <v>221</v>
      </c>
      <c r="V439" s="3" t="str">
        <f>IFERROR(MID(VLOOKUP($B439,Seqs!$A:$B,2,0),W439,1),"")</f>
        <v>G</v>
      </c>
      <c r="W439" s="3">
        <v>254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F</v>
      </c>
      <c r="AC439" s="3">
        <v>263</v>
      </c>
      <c r="AD439" s="3" t="str">
        <f>IFERROR(MID(VLOOKUP($B439,Seqs!$A:$B,2,0),AE439,1),"")</f>
        <v>E</v>
      </c>
      <c r="AE439" s="3">
        <v>290</v>
      </c>
      <c r="AF439" s="3" t="str">
        <f>IFERROR(MID(VLOOKUP($B439,Seqs!$A:$B,2,0),AG439,1),"")</f>
        <v>C</v>
      </c>
      <c r="AG439" s="3">
        <v>294</v>
      </c>
      <c r="AH439" s="3" t="str">
        <f>IFERROR(MID(VLOOKUP($B439,Seqs!$A:$B,2,0),AI439,1),"")</f>
        <v>T</v>
      </c>
      <c r="AI439" s="3">
        <v>296</v>
      </c>
      <c r="AJ439" s="3" t="str">
        <f>IFERROR(MID(VLOOKUP($B439,Seqs!$A:$B,2,0),AK439,1),"")</f>
        <v>N</v>
      </c>
      <c r="AK439" s="3">
        <v>300</v>
      </c>
      <c r="AL439" s="3" t="str">
        <f>IFERROR(MID(VLOOKUP($B439,Seqs!$A:$B,2,0),AM439,1),"")</f>
        <v>L</v>
      </c>
      <c r="AM439" s="3">
        <v>333</v>
      </c>
      <c r="AN439" s="3" t="str">
        <f>IFERROR(MID(VLOOKUP($B439,Seqs!$A:$B,2,0),AO439,1),"")</f>
        <v>Y</v>
      </c>
      <c r="AO439" s="3">
        <v>343</v>
      </c>
      <c r="AP439" s="3" t="str">
        <f>IFERROR(MID(VLOOKUP($B439,Seqs!$A:$B,2,0),AQ439,1),"")</f>
        <v>H</v>
      </c>
      <c r="AQ439" s="3">
        <v>361</v>
      </c>
      <c r="AR439" s="3" t="str">
        <f>IFERROR(MID(VLOOKUP($B439,Seqs!$A:$B,2,0),AS439,1),"")</f>
        <v>L</v>
      </c>
      <c r="AS439" s="3">
        <v>377</v>
      </c>
      <c r="AT439" s="3" t="str">
        <f>IFERROR(MID(VLOOKUP($B439,Seqs!$A:$B,2,0),AU439,1),"")</f>
        <v>L</v>
      </c>
      <c r="AU439" s="3">
        <v>403</v>
      </c>
      <c r="AV439" s="3" t="str">
        <f>IFERROR(MID(VLOOKUP($B439,Seqs!$A:$B,2,0),AW439,1),"")</f>
        <v>N</v>
      </c>
      <c r="AW439" s="3">
        <v>404</v>
      </c>
      <c r="AX439" s="3" t="str">
        <f>IFERROR(MID(VLOOKUP($B439,Seqs!$A:$B,2,0),AY439,1),"")</f>
        <v>R</v>
      </c>
      <c r="AY439" s="3">
        <v>419</v>
      </c>
      <c r="AZ439" s="77" t="str">
        <f>VLOOKUP(B439,Classification!A:D,2,0)</f>
        <v>B1</v>
      </c>
      <c r="BA439" s="94" t="str">
        <f>VLOOKUP(B439,Classification!A:D,4,0)</f>
        <v>Glucagonreceptorfamily</v>
      </c>
      <c r="BB439" s="27" t="b">
        <f t="shared" ref="BB439" si="4054">AND(E439&lt;G439,OR(G439&lt;I439,I439="-"),OR(I439&lt;K439,I439="-"),OR(K439&lt;M439,K439="-"),M439&lt;O439,OR(O439&lt;Q439,Q439="-"),OR(Q439&lt;S439,Q439="-"),OR(S439&lt;U439,S439="-"),U439&lt;W439,OR(W439&lt;Y439,Y439="-"),OR(Y439&lt;AA439,Y439="-"),OR(AA439&lt;AC439,AA439="-"),AC439&lt;AE439,OR(AE439&lt;AG439,AG439="-"),OR(AG439&lt;AI439,AG439="-"),OR(AI439&lt;AK439,AI439="-"),AK439&lt;AM439,AM439&lt;AO439,AO439&lt;AQ439,AQ439&lt;AS439,AS439&lt;AU439,OR(AU439&lt;AW439,AW439="-"),OR(AW439&lt;AY439,AW439="-"))</f>
        <v>1</v>
      </c>
      <c r="BC439" s="23">
        <f t="shared" ref="BC439" si="4055">_xlfn.AGGREGATE(9,6,CH439:CS439)-_xlfn.AGGREGATE(9,6,BV439:CG439)+12</f>
        <v>239</v>
      </c>
      <c r="BD439" s="4" t="s">
        <v>23</v>
      </c>
      <c r="BE439" s="3" t="s">
        <v>1287</v>
      </c>
      <c r="BF439" s="118">
        <v>3.9</v>
      </c>
      <c r="BG439" s="49" t="s">
        <v>1418</v>
      </c>
      <c r="BH439" s="49" t="s">
        <v>1418</v>
      </c>
      <c r="BI439" s="1"/>
      <c r="BJ439" s="70" t="s">
        <v>1283</v>
      </c>
      <c r="BK439" s="57" t="s">
        <v>1283</v>
      </c>
      <c r="BL439" s="57" t="s">
        <v>1283</v>
      </c>
      <c r="BM439" s="57" t="s">
        <v>1283</v>
      </c>
      <c r="BN439" s="57" t="s">
        <v>1283</v>
      </c>
      <c r="BO439" s="57" t="s">
        <v>1283</v>
      </c>
      <c r="BP439" s="57" t="s">
        <v>1283</v>
      </c>
      <c r="BQ439" s="57" t="s">
        <v>1283</v>
      </c>
      <c r="BR439" s="57" t="s">
        <v>1283</v>
      </c>
      <c r="BS439" s="57" t="s">
        <v>1283</v>
      </c>
      <c r="BT439" s="57" t="s">
        <v>1283</v>
      </c>
      <c r="BU439" s="57" t="s">
        <v>1283</v>
      </c>
      <c r="BV439" s="70">
        <f t="shared" ref="BV439" si="4056">E439</f>
        <v>124</v>
      </c>
      <c r="BW439" s="71" t="str">
        <f t="shared" ref="BW439" si="4057">I439</f>
        <v>-</v>
      </c>
      <c r="BX439" s="72">
        <f t="shared" ref="BX439" si="4058">M439</f>
        <v>171</v>
      </c>
      <c r="BY439" s="71" t="str">
        <f t="shared" ref="BY439" si="4059">Q439</f>
        <v>-</v>
      </c>
      <c r="BZ439" s="72">
        <f t="shared" ref="BZ439" si="4060">U439</f>
        <v>221</v>
      </c>
      <c r="CA439" s="71" t="str">
        <f t="shared" ref="CA439" si="4061">Y439</f>
        <v>-</v>
      </c>
      <c r="CB439" s="72">
        <f t="shared" ref="CB439" si="4062">AC439</f>
        <v>263</v>
      </c>
      <c r="CC439" s="71">
        <f t="shared" ref="CC439" si="4063">AG439</f>
        <v>294</v>
      </c>
      <c r="CD439" s="72">
        <f t="shared" ref="CD439" si="4064">AK439</f>
        <v>300</v>
      </c>
      <c r="CE439" s="71">
        <f t="shared" ref="CE439" si="4065">AO439</f>
        <v>343</v>
      </c>
      <c r="CF439" s="72">
        <f t="shared" ref="CF439" si="4066">AS439</f>
        <v>377</v>
      </c>
      <c r="CG439" s="71">
        <f t="shared" ref="CG439" si="4067">AW439</f>
        <v>404</v>
      </c>
      <c r="CH439" s="70">
        <f t="shared" ref="CH439" si="4068">G439</f>
        <v>165</v>
      </c>
      <c r="CI439" s="71" t="str">
        <f t="shared" ref="CI439" si="4069">K439</f>
        <v>-</v>
      </c>
      <c r="CJ439" s="72">
        <f t="shared" ref="CJ439" si="4070">O439</f>
        <v>203</v>
      </c>
      <c r="CK439" s="72" t="str">
        <f t="shared" ref="CK439" si="4071">S439</f>
        <v>-</v>
      </c>
      <c r="CL439" s="72">
        <f t="shared" ref="CL439" si="4072">W439</f>
        <v>254</v>
      </c>
      <c r="CM439" s="72" t="str">
        <f t="shared" ref="CM439" si="4073">AA439</f>
        <v>-</v>
      </c>
      <c r="CN439" s="72">
        <f t="shared" ref="CN439" si="4074">AE439</f>
        <v>290</v>
      </c>
      <c r="CO439" s="72">
        <f t="shared" ref="CO439" si="4075">AI439</f>
        <v>296</v>
      </c>
      <c r="CP439" s="72">
        <f t="shared" ref="CP439" si="4076">AM439</f>
        <v>333</v>
      </c>
      <c r="CQ439" s="72">
        <f t="shared" ref="CQ439" si="4077">AQ439</f>
        <v>361</v>
      </c>
      <c r="CR439" s="72">
        <f t="shared" ref="CR439" si="4078">AU439</f>
        <v>403</v>
      </c>
      <c r="CS439" s="72">
        <f t="shared" ref="CS439" si="4079">AY439</f>
        <v>419</v>
      </c>
      <c r="CT439" s="23" t="e">
        <f t="shared" ref="CT439" si="4080">M439-K439</f>
        <v>#VALUE!</v>
      </c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</row>
    <row r="440" spans="1:1029" x14ac:dyDescent="0.2">
      <c r="A440" s="3" t="str">
        <f t="shared" si="3997"/>
        <v>glp1r_human__wt</v>
      </c>
      <c r="B440" s="3" t="s">
        <v>405</v>
      </c>
      <c r="C440" s="3" t="s">
        <v>100</v>
      </c>
      <c r="D440" s="3" t="str">
        <f>IFERROR(MID(VLOOKUP($B440,Seqs!$A:$B,2,0),E440,1),"")</f>
        <v>E</v>
      </c>
      <c r="E440" s="3">
        <v>138</v>
      </c>
      <c r="F440" s="3" t="str">
        <f>IFERROR(MID(VLOOKUP($B440,Seqs!$A:$B,2,0),G440,1),"")</f>
        <v>F</v>
      </c>
      <c r="G440" s="3">
        <v>169</v>
      </c>
      <c r="H440" s="3" t="str">
        <f>IFERROR(MID(VLOOKUP($B440,Seqs!$A:$B,2,0),I440,1),"")</f>
        <v>R</v>
      </c>
      <c r="I440" s="23">
        <v>170</v>
      </c>
      <c r="J440" s="3" t="str">
        <f>IFERROR(MID(VLOOKUP($B440,Seqs!$A:$B,2,0),K440,1),"")</f>
        <v>H</v>
      </c>
      <c r="K440" s="23">
        <v>173</v>
      </c>
      <c r="L440" s="3" t="str">
        <f>IFERROR(MID(VLOOKUP($B440,Seqs!$A:$B,2,0),M440,1),"")</f>
        <v>C</v>
      </c>
      <c r="M440" s="23">
        <v>174</v>
      </c>
      <c r="N440" s="3" t="str">
        <f>IFERROR(MID(VLOOKUP($B440,Seqs!$A:$B,2,0),O440,1),"")</f>
        <v>S</v>
      </c>
      <c r="O440" s="3">
        <v>206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L</v>
      </c>
      <c r="U440" s="3">
        <v>224</v>
      </c>
      <c r="V440" s="3" t="str">
        <f>IFERROR(MID(VLOOKUP($B440,Seqs!$A:$B,2,0),W440,1),"")</f>
        <v>F</v>
      </c>
      <c r="W440" s="3">
        <v>257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E</v>
      </c>
      <c r="AC440" s="3">
        <v>262</v>
      </c>
      <c r="AD440" s="3" t="str">
        <f>IFERROR(MID(VLOOKUP($B440,Seqs!$A:$B,2,0),AE440,1),"")</f>
        <v>E</v>
      </c>
      <c r="AE440" s="3">
        <v>292</v>
      </c>
      <c r="AF440" s="3" t="str">
        <f>IFERROR(MID(VLOOKUP($B440,Seqs!$A:$B,2,0),AG440,1),"")</f>
        <v>C</v>
      </c>
      <c r="AG440" s="3">
        <v>296</v>
      </c>
      <c r="AH440" s="3" t="str">
        <f>IFERROR(MID(VLOOKUP($B440,Seqs!$A:$B,2,0),AI440,1),"")</f>
        <v>T</v>
      </c>
      <c r="AI440" s="3">
        <v>298</v>
      </c>
      <c r="AJ440" s="3" t="str">
        <f>IFERROR(MID(VLOOKUP($B440,Seqs!$A:$B,2,0),AK440,1),"")</f>
        <v>N</v>
      </c>
      <c r="AK440" s="3">
        <v>302</v>
      </c>
      <c r="AL440" s="3" t="str">
        <f>IFERROR(MID(VLOOKUP($B440,Seqs!$A:$B,2,0),AM440,1),"")</f>
        <v>A</v>
      </c>
      <c r="AM440" s="3">
        <v>337</v>
      </c>
      <c r="AN440" s="3" t="str">
        <f>IFERROR(MID(VLOOKUP($B440,Seqs!$A:$B,2,0),AO440,1),"")</f>
        <v>D</v>
      </c>
      <c r="AO440" s="3">
        <v>344</v>
      </c>
      <c r="AP440" s="3" t="str">
        <f>IFERROR(MID(VLOOKUP($B440,Seqs!$A:$B,2,0),AQ440,1),"")</f>
        <v>F</v>
      </c>
      <c r="AQ440" s="3">
        <v>369</v>
      </c>
      <c r="AR440" s="3" t="str">
        <f>IFERROR(MID(VLOOKUP($B440,Seqs!$A:$B,2,0),AS440,1),"")</f>
        <v>G</v>
      </c>
      <c r="AS440" s="3">
        <v>377</v>
      </c>
      <c r="AT440" s="3" t="str">
        <f>IFERROR(MID(VLOOKUP($B440,Seqs!$A:$B,2,0),AU440,1),"")</f>
        <v>V</v>
      </c>
      <c r="AU440" s="3">
        <v>405</v>
      </c>
      <c r="AV440" s="3" t="str">
        <f>IFERROR(MID(VLOOKUP($B440,Seqs!$A:$B,2,0),AW440,1),"")</f>
        <v>N</v>
      </c>
      <c r="AW440" s="3">
        <v>406</v>
      </c>
      <c r="AX440" s="3" t="str">
        <f>IFERROR(MID(VLOOKUP($B440,Seqs!$A:$B,2,0),AY440,1),"")</f>
        <v>S</v>
      </c>
      <c r="AY440" s="3">
        <v>431</v>
      </c>
      <c r="AZ440" s="77" t="str">
        <f>VLOOKUP(B440,Classification!A:D,2,0)</f>
        <v>B1</v>
      </c>
      <c r="BA440" s="94" t="str">
        <f>VLOOKUP(B440,Classification!A:D,4,0)</f>
        <v>Glucagonreceptorfamily</v>
      </c>
      <c r="BB440" s="27" t="b">
        <f t="shared" si="3998"/>
        <v>1</v>
      </c>
      <c r="BC440" s="23">
        <f t="shared" si="3999"/>
        <v>256</v>
      </c>
      <c r="BD440" s="4" t="s">
        <v>23</v>
      </c>
      <c r="BE440" s="3" t="s">
        <v>23</v>
      </c>
      <c r="BF440" s="118" t="s">
        <v>23</v>
      </c>
      <c r="BG440" s="49" t="s">
        <v>1373</v>
      </c>
      <c r="BH440" s="49" t="s">
        <v>1373</v>
      </c>
      <c r="BI440" s="1"/>
      <c r="BJ440" s="70" t="s">
        <v>1283</v>
      </c>
      <c r="BK440" s="57" t="s">
        <v>1283</v>
      </c>
      <c r="BL440" s="57" t="s">
        <v>1283</v>
      </c>
      <c r="BM440" s="57" t="s">
        <v>1283</v>
      </c>
      <c r="BN440" s="57" t="s">
        <v>1283</v>
      </c>
      <c r="BO440" s="57" t="s">
        <v>1283</v>
      </c>
      <c r="BP440" s="57" t="s">
        <v>1283</v>
      </c>
      <c r="BQ440" s="57" t="s">
        <v>1283</v>
      </c>
      <c r="BR440" s="57" t="s">
        <v>1283</v>
      </c>
      <c r="BS440" s="57" t="s">
        <v>1283</v>
      </c>
      <c r="BT440" s="57" t="s">
        <v>1283</v>
      </c>
      <c r="BU440" s="57" t="s">
        <v>1283</v>
      </c>
      <c r="BV440" s="70">
        <f t="shared" si="4000"/>
        <v>138</v>
      </c>
      <c r="BW440" s="71">
        <f t="shared" si="4001"/>
        <v>170</v>
      </c>
      <c r="BX440" s="72">
        <f t="shared" si="4002"/>
        <v>174</v>
      </c>
      <c r="BY440" s="71" t="str">
        <f t="shared" si="4003"/>
        <v>-</v>
      </c>
      <c r="BZ440" s="72">
        <f t="shared" si="4004"/>
        <v>224</v>
      </c>
      <c r="CA440" s="71" t="str">
        <f t="shared" si="4005"/>
        <v>-</v>
      </c>
      <c r="CB440" s="72">
        <f t="shared" si="4006"/>
        <v>262</v>
      </c>
      <c r="CC440" s="71">
        <f t="shared" si="4007"/>
        <v>296</v>
      </c>
      <c r="CD440" s="72">
        <f t="shared" si="4008"/>
        <v>302</v>
      </c>
      <c r="CE440" s="71">
        <f t="shared" si="4009"/>
        <v>344</v>
      </c>
      <c r="CF440" s="72">
        <f t="shared" si="4010"/>
        <v>377</v>
      </c>
      <c r="CG440" s="71">
        <f t="shared" si="4011"/>
        <v>406</v>
      </c>
      <c r="CH440" s="70">
        <f t="shared" si="4012"/>
        <v>169</v>
      </c>
      <c r="CI440" s="71">
        <f t="shared" si="4013"/>
        <v>173</v>
      </c>
      <c r="CJ440" s="72">
        <f t="shared" si="4014"/>
        <v>206</v>
      </c>
      <c r="CK440" s="72" t="str">
        <f t="shared" si="4015"/>
        <v>-</v>
      </c>
      <c r="CL440" s="72">
        <f t="shared" si="4016"/>
        <v>257</v>
      </c>
      <c r="CM440" s="72" t="str">
        <f t="shared" si="4017"/>
        <v>-</v>
      </c>
      <c r="CN440" s="72">
        <f t="shared" si="4018"/>
        <v>292</v>
      </c>
      <c r="CO440" s="72">
        <f t="shared" si="4019"/>
        <v>298</v>
      </c>
      <c r="CP440" s="72">
        <f t="shared" si="4020"/>
        <v>337</v>
      </c>
      <c r="CQ440" s="72">
        <f t="shared" si="4021"/>
        <v>369</v>
      </c>
      <c r="CR440" s="72">
        <f t="shared" si="4022"/>
        <v>405</v>
      </c>
      <c r="CS440" s="72">
        <f t="shared" si="4023"/>
        <v>431</v>
      </c>
      <c r="CT440" s="23">
        <f t="shared" si="4024"/>
        <v>1</v>
      </c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  <c r="AMK440" s="1"/>
      <c r="AML440" s="1"/>
      <c r="AMM440" s="1"/>
      <c r="AMN440" s="1"/>
      <c r="AMO440" s="1"/>
    </row>
    <row r="441" spans="1:1029" x14ac:dyDescent="0.2">
      <c r="A441" s="3" t="str">
        <f t="shared" si="3997"/>
        <v>glp1r_human_5VEW</v>
      </c>
      <c r="B441" s="3" t="s">
        <v>405</v>
      </c>
      <c r="C441" s="3" t="s">
        <v>1403</v>
      </c>
      <c r="D441" s="3" t="str">
        <f>IFERROR(MID(VLOOKUP($B441,Seqs!$A:$B,2,0),E441,1),"")</f>
        <v>S</v>
      </c>
      <c r="E441" s="3">
        <v>136</v>
      </c>
      <c r="F441" s="3" t="str">
        <f>IFERROR(MID(VLOOKUP($B441,Seqs!$A:$B,2,0),G441,1),"")</f>
        <v>F</v>
      </c>
      <c r="G441" s="3">
        <v>169</v>
      </c>
      <c r="H441" s="3" t="str">
        <f>IFERROR(MID(VLOOKUP($B441,Seqs!$A:$B,2,0),I441,1),"")</f>
        <v>R</v>
      </c>
      <c r="I441" s="23">
        <v>170</v>
      </c>
      <c r="J441" s="3" t="str">
        <f>IFERROR(MID(VLOOKUP($B441,Seqs!$A:$B,2,0),K441,1),"")</f>
        <v>H</v>
      </c>
      <c r="K441" s="23">
        <v>173</v>
      </c>
      <c r="L441" s="3" t="str">
        <f>IFERROR(MID(VLOOKUP($B441,Seqs!$A:$B,2,0),M441,1),"")</f>
        <v>C</v>
      </c>
      <c r="M441" s="23">
        <v>174</v>
      </c>
      <c r="N441" s="3" t="str">
        <f>IFERROR(MID(VLOOKUP($B441,Seqs!$A:$B,2,0),O441,1),"")</f>
        <v>K</v>
      </c>
      <c r="O441" s="3">
        <v>202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L</v>
      </c>
      <c r="U441" s="3">
        <v>224</v>
      </c>
      <c r="V441" s="3" t="str">
        <f>IFERROR(MID(VLOOKUP($B441,Seqs!$A:$B,2,0),W441,1),"")</f>
        <v>F</v>
      </c>
      <c r="W441" s="3">
        <v>257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E</v>
      </c>
      <c r="AC441" s="3">
        <v>262</v>
      </c>
      <c r="AD441" s="3" t="str">
        <f>IFERROR(MID(VLOOKUP($B441,Seqs!$A:$B,2,0),AE441,1),"")</f>
        <v>E</v>
      </c>
      <c r="AE441" s="3">
        <v>292</v>
      </c>
      <c r="AF441" s="3" t="str">
        <f>IFERROR(MID(VLOOKUP($B441,Seqs!$A:$B,2,0),AG441,1),"")</f>
        <v>C</v>
      </c>
      <c r="AG441" s="3">
        <v>296</v>
      </c>
      <c r="AH441" s="3" t="str">
        <f>IFERROR(MID(VLOOKUP($B441,Seqs!$A:$B,2,0),AI441,1),"")</f>
        <v>T</v>
      </c>
      <c r="AI441" s="3">
        <v>298</v>
      </c>
      <c r="AJ441" s="3" t="str">
        <f>IFERROR(MID(VLOOKUP($B441,Seqs!$A:$B,2,0),AK441,1),"")</f>
        <v>M</v>
      </c>
      <c r="AK441" s="3">
        <v>303</v>
      </c>
      <c r="AL441" s="3" t="str">
        <f>IFERROR(MID(VLOOKUP($B441,Seqs!$A:$B,2,0),AM441,1),"")</f>
        <v>A</v>
      </c>
      <c r="AM441" s="3">
        <v>337</v>
      </c>
      <c r="AN441" s="3" t="str">
        <f>IFERROR(MID(VLOOKUP($B441,Seqs!$A:$B,2,0),AO441,1),"")</f>
        <v>D</v>
      </c>
      <c r="AO441" s="3">
        <v>344</v>
      </c>
      <c r="AP441" s="3" t="str">
        <f>IFERROR(MID(VLOOKUP($B441,Seqs!$A:$B,2,0),AQ441,1),"")</f>
        <v>F</v>
      </c>
      <c r="AQ441" s="3">
        <v>367</v>
      </c>
      <c r="AR441" s="3" t="str">
        <f>IFERROR(MID(VLOOKUP($B441,Seqs!$A:$B,2,0),AS441,1),"")</f>
        <v>R</v>
      </c>
      <c r="AS441" s="3">
        <v>380</v>
      </c>
      <c r="AT441" s="3" t="str">
        <f>IFERROR(MID(VLOOKUP($B441,Seqs!$A:$B,2,0),AU441,1),"")</f>
        <v>V</v>
      </c>
      <c r="AU441" s="3">
        <v>405</v>
      </c>
      <c r="AV441" s="3" t="str">
        <f>IFERROR(MID(VLOOKUP($B441,Seqs!$A:$B,2,0),AW441,1),"")</f>
        <v>N</v>
      </c>
      <c r="AW441" s="3">
        <v>406</v>
      </c>
      <c r="AX441" s="3" t="str">
        <f>IFERROR(MID(VLOOKUP($B441,Seqs!$A:$B,2,0),AY441,1),"")</f>
        <v>L</v>
      </c>
      <c r="AY441" s="3">
        <v>422</v>
      </c>
      <c r="AZ441" s="77" t="str">
        <f>VLOOKUP(B441,Classification!A:D,2,0)</f>
        <v>B1</v>
      </c>
      <c r="BA441" s="94" t="str">
        <f>VLOOKUP(B441,Classification!A:D,4,0)</f>
        <v>Glucagonreceptorfamily</v>
      </c>
      <c r="BB441" s="27" t="b">
        <f t="shared" si="3998"/>
        <v>1</v>
      </c>
      <c r="BC441" s="23">
        <f t="shared" si="3999"/>
        <v>239</v>
      </c>
      <c r="BD441" s="4" t="s">
        <v>1372</v>
      </c>
      <c r="BE441" s="3" t="s">
        <v>1370</v>
      </c>
      <c r="BF441" s="118">
        <v>2.7</v>
      </c>
      <c r="BG441" s="49" t="s">
        <v>1277</v>
      </c>
      <c r="BH441" s="49" t="s">
        <v>1277</v>
      </c>
      <c r="BI441" s="1"/>
      <c r="BJ441" s="70" t="s">
        <v>1283</v>
      </c>
      <c r="BK441" s="57" t="s">
        <v>1283</v>
      </c>
      <c r="BL441" s="57" t="s">
        <v>1283</v>
      </c>
      <c r="BM441" s="57" t="s">
        <v>1283</v>
      </c>
      <c r="BN441" s="57" t="s">
        <v>1283</v>
      </c>
      <c r="BO441" s="57" t="s">
        <v>1283</v>
      </c>
      <c r="BP441" s="57" t="s">
        <v>1283</v>
      </c>
      <c r="BQ441" s="57" t="s">
        <v>1283</v>
      </c>
      <c r="BR441" s="57" t="s">
        <v>1283</v>
      </c>
      <c r="BS441" s="57" t="s">
        <v>1283</v>
      </c>
      <c r="BT441" s="57" t="s">
        <v>1283</v>
      </c>
      <c r="BU441" s="57" t="s">
        <v>1283</v>
      </c>
      <c r="BV441" s="70">
        <f t="shared" si="4000"/>
        <v>136</v>
      </c>
      <c r="BW441" s="71">
        <f t="shared" si="4001"/>
        <v>170</v>
      </c>
      <c r="BX441" s="72">
        <f t="shared" si="4002"/>
        <v>174</v>
      </c>
      <c r="BY441" s="71" t="str">
        <f t="shared" si="4003"/>
        <v>-</v>
      </c>
      <c r="BZ441" s="72">
        <f t="shared" si="4004"/>
        <v>224</v>
      </c>
      <c r="CA441" s="71" t="str">
        <f t="shared" si="4005"/>
        <v>-</v>
      </c>
      <c r="CB441" s="72">
        <f t="shared" si="4006"/>
        <v>262</v>
      </c>
      <c r="CC441" s="71">
        <f t="shared" si="4007"/>
        <v>296</v>
      </c>
      <c r="CD441" s="72">
        <f t="shared" si="4008"/>
        <v>303</v>
      </c>
      <c r="CE441" s="71">
        <f t="shared" si="4009"/>
        <v>344</v>
      </c>
      <c r="CF441" s="72">
        <f t="shared" si="4010"/>
        <v>380</v>
      </c>
      <c r="CG441" s="71">
        <f t="shared" si="4011"/>
        <v>406</v>
      </c>
      <c r="CH441" s="70">
        <f t="shared" si="4012"/>
        <v>169</v>
      </c>
      <c r="CI441" s="71">
        <f t="shared" si="4013"/>
        <v>173</v>
      </c>
      <c r="CJ441" s="72">
        <f t="shared" si="4014"/>
        <v>202</v>
      </c>
      <c r="CK441" s="72" t="str">
        <f t="shared" si="4015"/>
        <v>-</v>
      </c>
      <c r="CL441" s="72">
        <f t="shared" si="4016"/>
        <v>257</v>
      </c>
      <c r="CM441" s="72" t="str">
        <f t="shared" si="4017"/>
        <v>-</v>
      </c>
      <c r="CN441" s="72">
        <f t="shared" si="4018"/>
        <v>292</v>
      </c>
      <c r="CO441" s="72">
        <f t="shared" si="4019"/>
        <v>298</v>
      </c>
      <c r="CP441" s="72">
        <f t="shared" si="4020"/>
        <v>337</v>
      </c>
      <c r="CQ441" s="72">
        <f t="shared" si="4021"/>
        <v>367</v>
      </c>
      <c r="CR441" s="72">
        <f t="shared" si="4022"/>
        <v>405</v>
      </c>
      <c r="CS441" s="72">
        <f t="shared" si="4023"/>
        <v>422</v>
      </c>
      <c r="CT441" s="23">
        <f t="shared" si="4024"/>
        <v>1</v>
      </c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  <c r="AMK441" s="1"/>
      <c r="AML441" s="1"/>
      <c r="AMM441" s="1"/>
      <c r="AMN441" s="1"/>
      <c r="AMO441" s="1"/>
    </row>
    <row r="442" spans="1:1029" x14ac:dyDescent="0.2">
      <c r="A442" s="3" t="str">
        <f t="shared" si="3997"/>
        <v>glp1r_human_5VEX</v>
      </c>
      <c r="B442" s="3" t="s">
        <v>405</v>
      </c>
      <c r="C442" s="3" t="s">
        <v>1402</v>
      </c>
      <c r="D442" s="3" t="str">
        <f>IFERROR(MID(VLOOKUP($B442,Seqs!$A:$B,2,0),E442,1),"")</f>
        <v>S</v>
      </c>
      <c r="E442" s="3">
        <v>136</v>
      </c>
      <c r="F442" s="3" t="str">
        <f>IFERROR(MID(VLOOKUP($B442,Seqs!$A:$B,2,0),G442,1),"")</f>
        <v>F</v>
      </c>
      <c r="G442" s="3">
        <v>169</v>
      </c>
      <c r="H442" s="3" t="str">
        <f>IFERROR(MID(VLOOKUP($B442,Seqs!$A:$B,2,0),I442,1),"")</f>
        <v>R</v>
      </c>
      <c r="I442" s="23">
        <v>170</v>
      </c>
      <c r="J442" s="3" t="str">
        <f>IFERROR(MID(VLOOKUP($B442,Seqs!$A:$B,2,0),K442,1),"")</f>
        <v>H</v>
      </c>
      <c r="K442" s="23">
        <v>173</v>
      </c>
      <c r="L442" s="3" t="str">
        <f>IFERROR(MID(VLOOKUP($B442,Seqs!$A:$B,2,0),M442,1),"")</f>
        <v>C</v>
      </c>
      <c r="M442" s="23">
        <v>174</v>
      </c>
      <c r="N442" s="3" t="str">
        <f>IFERROR(MID(VLOOKUP($B442,Seqs!$A:$B,2,0),O442,1),"")</f>
        <v>K</v>
      </c>
      <c r="O442" s="3">
        <v>202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L</v>
      </c>
      <c r="U442" s="3">
        <v>224</v>
      </c>
      <c r="V442" s="3" t="str">
        <f>IFERROR(MID(VLOOKUP($B442,Seqs!$A:$B,2,0),W442,1),"")</f>
        <v>F</v>
      </c>
      <c r="W442" s="3">
        <v>257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E</v>
      </c>
      <c r="AC442" s="3">
        <v>262</v>
      </c>
      <c r="AD442" s="3" t="str">
        <f>IFERROR(MID(VLOOKUP($B442,Seqs!$A:$B,2,0),AE442,1),"")</f>
        <v>E</v>
      </c>
      <c r="AE442" s="3">
        <v>292</v>
      </c>
      <c r="AF442" s="3" t="str">
        <f>IFERROR(MID(VLOOKUP($B442,Seqs!$A:$B,2,0),AG442,1),"")</f>
        <v>C</v>
      </c>
      <c r="AG442" s="3">
        <v>296</v>
      </c>
      <c r="AH442" s="3" t="str">
        <f>IFERROR(MID(VLOOKUP($B442,Seqs!$A:$B,2,0),AI442,1),"")</f>
        <v>T</v>
      </c>
      <c r="AI442" s="3">
        <v>298</v>
      </c>
      <c r="AJ442" s="3" t="str">
        <f>IFERROR(MID(VLOOKUP($B442,Seqs!$A:$B,2,0),AK442,1),"")</f>
        <v>N</v>
      </c>
      <c r="AK442" s="3">
        <v>304</v>
      </c>
      <c r="AL442" s="3" t="str">
        <f>IFERROR(MID(VLOOKUP($B442,Seqs!$A:$B,2,0),AM442,1),"")</f>
        <v>A</v>
      </c>
      <c r="AM442" s="3">
        <v>337</v>
      </c>
      <c r="AN442" s="3" t="str">
        <f>IFERROR(MID(VLOOKUP($B442,Seqs!$A:$B,2,0),AO442,1),"")</f>
        <v>D</v>
      </c>
      <c r="AO442" s="3">
        <v>344</v>
      </c>
      <c r="AP442" s="3" t="str">
        <f>IFERROR(MID(VLOOKUP($B442,Seqs!$A:$B,2,0),AQ442,1),"")</f>
        <v>F</v>
      </c>
      <c r="AQ442" s="3">
        <v>367</v>
      </c>
      <c r="AR442" s="3" t="str">
        <f>IFERROR(MID(VLOOKUP($B442,Seqs!$A:$B,2,0),AS442,1),"")</f>
        <v>R</v>
      </c>
      <c r="AS442" s="3">
        <v>380</v>
      </c>
      <c r="AT442" s="3" t="str">
        <f>IFERROR(MID(VLOOKUP($B442,Seqs!$A:$B,2,0),AU442,1),"")</f>
        <v>V</v>
      </c>
      <c r="AU442" s="3">
        <v>405</v>
      </c>
      <c r="AV442" s="3" t="str">
        <f>IFERROR(MID(VLOOKUP($B442,Seqs!$A:$B,2,0),AW442,1),"")</f>
        <v>N</v>
      </c>
      <c r="AW442" s="3">
        <v>406</v>
      </c>
      <c r="AX442" s="3" t="str">
        <f>IFERROR(MID(VLOOKUP($B442,Seqs!$A:$B,2,0),AY442,1),"")</f>
        <v>L</v>
      </c>
      <c r="AY442" s="3">
        <v>422</v>
      </c>
      <c r="AZ442" s="77" t="str">
        <f>VLOOKUP(B442,Classification!A:D,2,0)</f>
        <v>B1</v>
      </c>
      <c r="BA442" s="94" t="str">
        <f>VLOOKUP(B442,Classification!A:D,4,0)</f>
        <v>Glucagonreceptorfamily</v>
      </c>
      <c r="BB442" s="27" t="b">
        <f t="shared" si="3998"/>
        <v>1</v>
      </c>
      <c r="BC442" s="23">
        <f t="shared" si="3999"/>
        <v>238</v>
      </c>
      <c r="BD442" s="4" t="s">
        <v>23</v>
      </c>
      <c r="BE442" s="3" t="s">
        <v>1370</v>
      </c>
      <c r="BF442" s="118">
        <v>3</v>
      </c>
      <c r="BG442" s="49" t="s">
        <v>1</v>
      </c>
      <c r="BH442" s="49" t="s">
        <v>1</v>
      </c>
      <c r="BI442" s="1"/>
      <c r="BJ442" s="70" t="s">
        <v>1283</v>
      </c>
      <c r="BK442" s="57" t="s">
        <v>1283</v>
      </c>
      <c r="BL442" s="57" t="s">
        <v>1283</v>
      </c>
      <c r="BM442" s="57" t="s">
        <v>1283</v>
      </c>
      <c r="BN442" s="57" t="s">
        <v>1283</v>
      </c>
      <c r="BO442" s="57" t="s">
        <v>1283</v>
      </c>
      <c r="BP442" s="57" t="s">
        <v>1283</v>
      </c>
      <c r="BQ442" s="57" t="s">
        <v>1283</v>
      </c>
      <c r="BR442" s="57" t="s">
        <v>1283</v>
      </c>
      <c r="BS442" s="57" t="s">
        <v>1283</v>
      </c>
      <c r="BT442" s="57" t="s">
        <v>1283</v>
      </c>
      <c r="BU442" s="57" t="s">
        <v>1283</v>
      </c>
      <c r="BV442" s="70">
        <f t="shared" si="4000"/>
        <v>136</v>
      </c>
      <c r="BW442" s="71">
        <f t="shared" si="4001"/>
        <v>170</v>
      </c>
      <c r="BX442" s="72">
        <f t="shared" si="4002"/>
        <v>174</v>
      </c>
      <c r="BY442" s="71" t="str">
        <f t="shared" si="4003"/>
        <v>-</v>
      </c>
      <c r="BZ442" s="72">
        <f t="shared" si="4004"/>
        <v>224</v>
      </c>
      <c r="CA442" s="71" t="str">
        <f t="shared" si="4005"/>
        <v>-</v>
      </c>
      <c r="CB442" s="72">
        <f t="shared" si="4006"/>
        <v>262</v>
      </c>
      <c r="CC442" s="71">
        <f t="shared" si="4007"/>
        <v>296</v>
      </c>
      <c r="CD442" s="72">
        <f t="shared" si="4008"/>
        <v>304</v>
      </c>
      <c r="CE442" s="71">
        <f t="shared" si="4009"/>
        <v>344</v>
      </c>
      <c r="CF442" s="72">
        <f t="shared" si="4010"/>
        <v>380</v>
      </c>
      <c r="CG442" s="71">
        <f t="shared" si="4011"/>
        <v>406</v>
      </c>
      <c r="CH442" s="70">
        <f t="shared" si="4012"/>
        <v>169</v>
      </c>
      <c r="CI442" s="71">
        <f t="shared" si="4013"/>
        <v>173</v>
      </c>
      <c r="CJ442" s="72">
        <f t="shared" si="4014"/>
        <v>202</v>
      </c>
      <c r="CK442" s="72" t="str">
        <f t="shared" si="4015"/>
        <v>-</v>
      </c>
      <c r="CL442" s="72">
        <f t="shared" si="4016"/>
        <v>257</v>
      </c>
      <c r="CM442" s="72" t="str">
        <f t="shared" si="4017"/>
        <v>-</v>
      </c>
      <c r="CN442" s="72">
        <f t="shared" si="4018"/>
        <v>292</v>
      </c>
      <c r="CO442" s="72">
        <f t="shared" si="4019"/>
        <v>298</v>
      </c>
      <c r="CP442" s="72">
        <f t="shared" si="4020"/>
        <v>337</v>
      </c>
      <c r="CQ442" s="72">
        <f t="shared" si="4021"/>
        <v>367</v>
      </c>
      <c r="CR442" s="72">
        <f t="shared" si="4022"/>
        <v>405</v>
      </c>
      <c r="CS442" s="72">
        <f t="shared" si="4023"/>
        <v>422</v>
      </c>
      <c r="CT442" s="23">
        <f t="shared" si="4024"/>
        <v>1</v>
      </c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  <c r="AMK442" s="1"/>
      <c r="AML442" s="1"/>
      <c r="AMM442" s="1"/>
      <c r="AMN442" s="1"/>
      <c r="AMO442" s="1"/>
    </row>
    <row r="443" spans="1:1029" x14ac:dyDescent="0.2">
      <c r="A443" s="3" t="str">
        <f t="shared" si="3997"/>
        <v>glp1r_human_5NX2</v>
      </c>
      <c r="B443" s="3" t="s">
        <v>405</v>
      </c>
      <c r="C443" s="3" t="s">
        <v>1414</v>
      </c>
      <c r="D443" s="3" t="str">
        <f>IFERROR(MID(VLOOKUP($B443,Seqs!$A:$B,2,0),E443,1),"")</f>
        <v>E</v>
      </c>
      <c r="E443" s="3">
        <v>138</v>
      </c>
      <c r="F443" s="3" t="str">
        <f>IFERROR(MID(VLOOKUP($B443,Seqs!$A:$B,2,0),G443,1),"")</f>
        <v>F</v>
      </c>
      <c r="G443" s="3">
        <v>169</v>
      </c>
      <c r="H443" s="3" t="str">
        <f>IFERROR(MID(VLOOKUP($B443,Seqs!$A:$B,2,0),I443,1),"")</f>
        <v>R</v>
      </c>
      <c r="I443" s="23">
        <v>170</v>
      </c>
      <c r="J443" s="3" t="str">
        <f>IFERROR(MID(VLOOKUP($B443,Seqs!$A:$B,2,0),K443,1),"")</f>
        <v>H</v>
      </c>
      <c r="K443" s="23">
        <v>173</v>
      </c>
      <c r="L443" s="3" t="str">
        <f>IFERROR(MID(VLOOKUP($B443,Seqs!$A:$B,2,0),M443,1),"")</f>
        <v>C</v>
      </c>
      <c r="M443" s="23">
        <v>174</v>
      </c>
      <c r="N443" s="3" t="str">
        <f>IFERROR(MID(VLOOKUP($B443,Seqs!$A:$B,2,0),O443,1),"")</f>
        <v>S</v>
      </c>
      <c r="O443" s="3">
        <v>206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L</v>
      </c>
      <c r="U443" s="3">
        <v>224</v>
      </c>
      <c r="V443" s="3" t="str">
        <f>IFERROR(MID(VLOOKUP($B443,Seqs!$A:$B,2,0),W443,1),"")</f>
        <v>F</v>
      </c>
      <c r="W443" s="3">
        <v>257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>E</v>
      </c>
      <c r="AC443" s="3">
        <v>262</v>
      </c>
      <c r="AD443" s="3" t="str">
        <f>IFERROR(MID(VLOOKUP($B443,Seqs!$A:$B,2,0),AE443,1),"")</f>
        <v>Y</v>
      </c>
      <c r="AE443" s="3">
        <v>291</v>
      </c>
      <c r="AF443" s="3" t="str">
        <f>IFERROR(MID(VLOOKUP($B443,Seqs!$A:$B,2,0),AG443,1),"")</f>
        <v>C</v>
      </c>
      <c r="AG443" s="3">
        <v>296</v>
      </c>
      <c r="AH443" s="3" t="str">
        <f>IFERROR(MID(VLOOKUP($B443,Seqs!$A:$B,2,0),AI443,1),"")</f>
        <v>T</v>
      </c>
      <c r="AI443" s="3">
        <v>298</v>
      </c>
      <c r="AJ443" s="3" t="str">
        <f>IFERROR(MID(VLOOKUP($B443,Seqs!$A:$B,2,0),AK443,1),"")</f>
        <v>N</v>
      </c>
      <c r="AK443" s="3">
        <v>302</v>
      </c>
      <c r="AL443" s="3" t="str">
        <f>IFERROR(MID(VLOOKUP($B443,Seqs!$A:$B,2,0),AM443,1),"")</f>
        <v>L</v>
      </c>
      <c r="AM443" s="3">
        <v>335</v>
      </c>
      <c r="AN443" s="3" t="str">
        <f>IFERROR(MID(VLOOKUP($B443,Seqs!$A:$B,2,0),AO443,1),"")</f>
        <v>M</v>
      </c>
      <c r="AO443" s="3">
        <v>340</v>
      </c>
      <c r="AP443" s="3" t="str">
        <f>IFERROR(MID(VLOOKUP($B443,Seqs!$A:$B,2,0),AQ443,1),"")</f>
        <v>F</v>
      </c>
      <c r="AQ443" s="3">
        <v>369</v>
      </c>
      <c r="AR443" s="3" t="str">
        <f>IFERROR(MID(VLOOKUP($B443,Seqs!$A:$B,2,0),AS443,1),"")</f>
        <v>G</v>
      </c>
      <c r="AS443" s="3">
        <v>377</v>
      </c>
      <c r="AT443" s="3" t="str">
        <f>IFERROR(MID(VLOOKUP($B443,Seqs!$A:$B,2,0),AU443,1),"")</f>
        <v>V</v>
      </c>
      <c r="AU443" s="3">
        <v>405</v>
      </c>
      <c r="AV443" s="3" t="str">
        <f>IFERROR(MID(VLOOKUP($B443,Seqs!$A:$B,2,0),AW443,1),"")</f>
        <v>N</v>
      </c>
      <c r="AW443" s="3">
        <v>406</v>
      </c>
      <c r="AX443" s="3" t="str">
        <f>IFERROR(MID(VLOOKUP($B443,Seqs!$A:$B,2,0),AY443,1),"")</f>
        <v>S</v>
      </c>
      <c r="AY443" s="3">
        <v>416</v>
      </c>
      <c r="AZ443" s="77" t="str">
        <f>VLOOKUP(B443,Classification!A:D,2,0)</f>
        <v>B1</v>
      </c>
      <c r="BA443" s="94" t="str">
        <f>VLOOKUP(B443,Classification!A:D,4,0)</f>
        <v>Glucagonreceptorfamily</v>
      </c>
      <c r="BB443" s="27" t="b">
        <f t="shared" si="3998"/>
        <v>1</v>
      </c>
      <c r="BC443" s="23">
        <f t="shared" si="3999"/>
        <v>242</v>
      </c>
      <c r="BD443" s="4" t="s">
        <v>1425</v>
      </c>
      <c r="BE443" s="3" t="s">
        <v>1424</v>
      </c>
      <c r="BF443" s="118">
        <v>3.7</v>
      </c>
      <c r="BG443" s="49" t="s">
        <v>1</v>
      </c>
      <c r="BH443" s="49" t="s">
        <v>1</v>
      </c>
      <c r="BI443" s="1"/>
      <c r="BJ443" s="70" t="s">
        <v>1283</v>
      </c>
      <c r="BK443" s="57" t="s">
        <v>1283</v>
      </c>
      <c r="BL443" s="57" t="s">
        <v>1283</v>
      </c>
      <c r="BM443" s="57" t="s">
        <v>1283</v>
      </c>
      <c r="BN443" s="57" t="s">
        <v>1283</v>
      </c>
      <c r="BO443" s="57" t="s">
        <v>1283</v>
      </c>
      <c r="BP443" s="57" t="s">
        <v>1283</v>
      </c>
      <c r="BQ443" s="57" t="s">
        <v>1283</v>
      </c>
      <c r="BR443" s="57" t="s">
        <v>1283</v>
      </c>
      <c r="BS443" s="57" t="s">
        <v>1283</v>
      </c>
      <c r="BT443" s="57" t="s">
        <v>1283</v>
      </c>
      <c r="BU443" s="57" t="s">
        <v>1283</v>
      </c>
      <c r="BV443" s="70">
        <f t="shared" si="4000"/>
        <v>138</v>
      </c>
      <c r="BW443" s="71">
        <f t="shared" si="4001"/>
        <v>170</v>
      </c>
      <c r="BX443" s="72">
        <f t="shared" si="4002"/>
        <v>174</v>
      </c>
      <c r="BY443" s="71" t="str">
        <f t="shared" si="4003"/>
        <v>-</v>
      </c>
      <c r="BZ443" s="72">
        <f t="shared" si="4004"/>
        <v>224</v>
      </c>
      <c r="CA443" s="71" t="str">
        <f t="shared" si="4005"/>
        <v>-</v>
      </c>
      <c r="CB443" s="72">
        <f t="shared" si="4006"/>
        <v>262</v>
      </c>
      <c r="CC443" s="71">
        <f t="shared" si="4007"/>
        <v>296</v>
      </c>
      <c r="CD443" s="72">
        <f t="shared" si="4008"/>
        <v>302</v>
      </c>
      <c r="CE443" s="71">
        <f t="shared" si="4009"/>
        <v>340</v>
      </c>
      <c r="CF443" s="72">
        <f t="shared" si="4010"/>
        <v>377</v>
      </c>
      <c r="CG443" s="71">
        <f t="shared" si="4011"/>
        <v>406</v>
      </c>
      <c r="CH443" s="70">
        <f t="shared" si="4012"/>
        <v>169</v>
      </c>
      <c r="CI443" s="71">
        <f t="shared" si="4013"/>
        <v>173</v>
      </c>
      <c r="CJ443" s="72">
        <f t="shared" si="4014"/>
        <v>206</v>
      </c>
      <c r="CK443" s="72" t="str">
        <f t="shared" si="4015"/>
        <v>-</v>
      </c>
      <c r="CL443" s="72">
        <f t="shared" si="4016"/>
        <v>257</v>
      </c>
      <c r="CM443" s="72" t="str">
        <f t="shared" si="4017"/>
        <v>-</v>
      </c>
      <c r="CN443" s="72">
        <f t="shared" si="4018"/>
        <v>291</v>
      </c>
      <c r="CO443" s="72">
        <f t="shared" si="4019"/>
        <v>298</v>
      </c>
      <c r="CP443" s="72">
        <f t="shared" si="4020"/>
        <v>335</v>
      </c>
      <c r="CQ443" s="72">
        <f t="shared" si="4021"/>
        <v>369</v>
      </c>
      <c r="CR443" s="72">
        <f t="shared" si="4022"/>
        <v>405</v>
      </c>
      <c r="CS443" s="72">
        <f t="shared" si="4023"/>
        <v>416</v>
      </c>
      <c r="CT443" s="23">
        <f t="shared" si="4024"/>
        <v>1</v>
      </c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  <c r="AMK443" s="1"/>
      <c r="AML443" s="1"/>
      <c r="AMM443" s="1"/>
      <c r="AMN443" s="1"/>
      <c r="AMO443" s="1"/>
    </row>
    <row r="444" spans="1:1029" x14ac:dyDescent="0.2">
      <c r="A444" s="3" t="str">
        <f t="shared" si="3997"/>
        <v>glp1r_human_6B3J</v>
      </c>
      <c r="B444" s="3" t="s">
        <v>405</v>
      </c>
      <c r="C444" s="3" t="s">
        <v>1469</v>
      </c>
      <c r="D444" s="3" t="str">
        <f>IFERROR(MID(VLOOKUP($B444,Seqs!$A:$B,2,0),E444,1),"")</f>
        <v>E</v>
      </c>
      <c r="E444" s="3">
        <v>138</v>
      </c>
      <c r="F444" s="3" t="str">
        <f>IFERROR(MID(VLOOKUP($B444,Seqs!$A:$B,2,0),G444,1),"")</f>
        <v>F</v>
      </c>
      <c r="G444" s="3">
        <v>169</v>
      </c>
      <c r="H444" s="3" t="str">
        <f>IFERROR(MID(VLOOKUP($B444,Seqs!$A:$B,2,0),I444,1),"")</f>
        <v/>
      </c>
      <c r="I444" s="23" t="s">
        <v>23</v>
      </c>
      <c r="J444" s="3" t="str">
        <f>IFERROR(MID(VLOOKUP($B444,Seqs!$A:$B,2,0),K444,1),"")</f>
        <v/>
      </c>
      <c r="K444" s="23" t="s">
        <v>23</v>
      </c>
      <c r="L444" s="3" t="str">
        <f>IFERROR(MID(VLOOKUP($B444,Seqs!$A:$B,2,0),M444,1),"")</f>
        <v>C</v>
      </c>
      <c r="M444" s="23">
        <v>174</v>
      </c>
      <c r="N444" s="3" t="str">
        <f>IFERROR(MID(VLOOKUP($B444,Seqs!$A:$B,2,0),O444,1),"")</f>
        <v>Y</v>
      </c>
      <c r="O444" s="3">
        <v>205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S</v>
      </c>
      <c r="U444" s="3">
        <v>225</v>
      </c>
      <c r="V444" s="3" t="str">
        <f>IFERROR(MID(VLOOKUP($B444,Seqs!$A:$B,2,0),W444,1),"")</f>
        <v>F</v>
      </c>
      <c r="W444" s="3">
        <v>257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S</v>
      </c>
      <c r="AC444" s="3">
        <v>261</v>
      </c>
      <c r="AD444" s="3" t="str">
        <f>IFERROR(MID(VLOOKUP($B444,Seqs!$A:$B,2,0),AE444,1),"")</f>
        <v>E</v>
      </c>
      <c r="AE444" s="3">
        <v>292</v>
      </c>
      <c r="AF444" s="3" t="str">
        <f>IFERROR(MID(VLOOKUP($B444,Seqs!$A:$B,2,0),AG444,1),"")</f>
        <v>C</v>
      </c>
      <c r="AG444" s="3">
        <v>296</v>
      </c>
      <c r="AH444" s="3" t="str">
        <f>IFERROR(MID(VLOOKUP($B444,Seqs!$A:$B,2,0),AI444,1),"")</f>
        <v>T</v>
      </c>
      <c r="AI444" s="3">
        <v>298</v>
      </c>
      <c r="AJ444" s="3" t="str">
        <f>IFERROR(MID(VLOOKUP($B444,Seqs!$A:$B,2,0),AK444,1),"")</f>
        <v>N</v>
      </c>
      <c r="AK444" s="3">
        <v>302</v>
      </c>
      <c r="AL444" s="3" t="str">
        <f>IFERROR(MID(VLOOKUP($B444,Seqs!$A:$B,2,0),AM444,1),"")</f>
        <v>A</v>
      </c>
      <c r="AM444" s="3">
        <v>337</v>
      </c>
      <c r="AN444" s="3" t="str">
        <f>IFERROR(MID(VLOOKUP($B444,Seqs!$A:$B,2,0),AO444,1),"")</f>
        <v>D</v>
      </c>
      <c r="AO444" s="3">
        <v>344</v>
      </c>
      <c r="AP444" s="3" t="str">
        <f>IFERROR(MID(VLOOKUP($B444,Seqs!$A:$B,2,0),AQ444,1),"")</f>
        <v>F</v>
      </c>
      <c r="AQ444" s="3">
        <v>369</v>
      </c>
      <c r="AR444" s="3" t="str">
        <f>IFERROR(MID(VLOOKUP($B444,Seqs!$A:$B,2,0),AS444,1),"")</f>
        <v>R</v>
      </c>
      <c r="AS444" s="3">
        <v>380</v>
      </c>
      <c r="AT444" s="3" t="str">
        <f>IFERROR(MID(VLOOKUP($B444,Seqs!$A:$B,2,0),AU444,1),"")</f>
        <v>V</v>
      </c>
      <c r="AU444" s="3">
        <v>405</v>
      </c>
      <c r="AV444" s="3" t="str">
        <f>IFERROR(MID(VLOOKUP($B444,Seqs!$A:$B,2,0),AW444,1),"")</f>
        <v>N</v>
      </c>
      <c r="AW444" s="3">
        <v>406</v>
      </c>
      <c r="AX444" s="3" t="str">
        <f>IFERROR(MID(VLOOKUP($B444,Seqs!$A:$B,2,0),AY444,1),"")</f>
        <v>E</v>
      </c>
      <c r="AY444" s="3">
        <v>423</v>
      </c>
      <c r="AZ444" s="77" t="str">
        <f>VLOOKUP(B444,Classification!A:D,2,0)</f>
        <v>B1</v>
      </c>
      <c r="BA444" s="94" t="str">
        <f>VLOOKUP(B444,Classification!A:D,4,0)</f>
        <v>Glucagonreceptorfamily</v>
      </c>
      <c r="BB444" s="27" t="b">
        <f t="shared" si="3998"/>
        <v>1</v>
      </c>
      <c r="BC444" s="23">
        <f t="shared" si="3999"/>
        <v>241</v>
      </c>
      <c r="BD444" s="4" t="s">
        <v>1371</v>
      </c>
      <c r="BE444" s="3" t="s">
        <v>1287</v>
      </c>
      <c r="BF444" s="118">
        <v>3.3</v>
      </c>
      <c r="BG444" s="49" t="s">
        <v>1418</v>
      </c>
      <c r="BH444" s="49" t="s">
        <v>1418</v>
      </c>
      <c r="BI444" s="1"/>
      <c r="BJ444" s="70" t="s">
        <v>1283</v>
      </c>
      <c r="BK444" s="57" t="s">
        <v>1283</v>
      </c>
      <c r="BL444" s="57" t="s">
        <v>1283</v>
      </c>
      <c r="BM444" s="57" t="s">
        <v>1283</v>
      </c>
      <c r="BN444" s="57" t="s">
        <v>1283</v>
      </c>
      <c r="BO444" s="57" t="s">
        <v>1283</v>
      </c>
      <c r="BP444" s="57" t="s">
        <v>1283</v>
      </c>
      <c r="BQ444" s="57" t="s">
        <v>1283</v>
      </c>
      <c r="BR444" s="57" t="s">
        <v>1283</v>
      </c>
      <c r="BS444" s="57" t="s">
        <v>1283</v>
      </c>
      <c r="BT444" s="57" t="s">
        <v>1283</v>
      </c>
      <c r="BU444" s="57" t="s">
        <v>1283</v>
      </c>
      <c r="BV444" s="70">
        <f t="shared" si="4000"/>
        <v>138</v>
      </c>
      <c r="BW444" s="71" t="str">
        <f t="shared" si="4001"/>
        <v>-</v>
      </c>
      <c r="BX444" s="72">
        <f t="shared" si="4002"/>
        <v>174</v>
      </c>
      <c r="BY444" s="71" t="str">
        <f t="shared" si="4003"/>
        <v>-</v>
      </c>
      <c r="BZ444" s="72">
        <f t="shared" si="4004"/>
        <v>225</v>
      </c>
      <c r="CA444" s="71" t="str">
        <f t="shared" si="4005"/>
        <v>-</v>
      </c>
      <c r="CB444" s="72">
        <f t="shared" si="4006"/>
        <v>261</v>
      </c>
      <c r="CC444" s="71">
        <f t="shared" si="4007"/>
        <v>296</v>
      </c>
      <c r="CD444" s="72">
        <f t="shared" si="4008"/>
        <v>302</v>
      </c>
      <c r="CE444" s="71">
        <f t="shared" si="4009"/>
        <v>344</v>
      </c>
      <c r="CF444" s="72">
        <f t="shared" si="4010"/>
        <v>380</v>
      </c>
      <c r="CG444" s="71">
        <f t="shared" si="4011"/>
        <v>406</v>
      </c>
      <c r="CH444" s="70">
        <f t="shared" si="4012"/>
        <v>169</v>
      </c>
      <c r="CI444" s="71" t="str">
        <f t="shared" si="4013"/>
        <v>-</v>
      </c>
      <c r="CJ444" s="72">
        <f t="shared" si="4014"/>
        <v>205</v>
      </c>
      <c r="CK444" s="72" t="str">
        <f t="shared" si="4015"/>
        <v>-</v>
      </c>
      <c r="CL444" s="72">
        <f t="shared" si="4016"/>
        <v>257</v>
      </c>
      <c r="CM444" s="72" t="str">
        <f t="shared" si="4017"/>
        <v>-</v>
      </c>
      <c r="CN444" s="72">
        <f t="shared" si="4018"/>
        <v>292</v>
      </c>
      <c r="CO444" s="72">
        <f t="shared" si="4019"/>
        <v>298</v>
      </c>
      <c r="CP444" s="72">
        <f t="shared" si="4020"/>
        <v>337</v>
      </c>
      <c r="CQ444" s="72">
        <f t="shared" si="4021"/>
        <v>369</v>
      </c>
      <c r="CR444" s="72">
        <f t="shared" si="4022"/>
        <v>405</v>
      </c>
      <c r="CS444" s="72">
        <f t="shared" si="4023"/>
        <v>423</v>
      </c>
      <c r="CT444" s="23" t="e">
        <f t="shared" si="4024"/>
        <v>#VALUE!</v>
      </c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  <c r="AMO444" s="1"/>
    </row>
    <row r="445" spans="1:1029" x14ac:dyDescent="0.2">
      <c r="A445" s="3" t="str">
        <f t="shared" ref="A445" si="4081">CONCATENATE(B445,"_",C445)</f>
        <v>glp1r_human_6KJV</v>
      </c>
      <c r="B445" s="3" t="s">
        <v>405</v>
      </c>
      <c r="C445" s="3" t="s">
        <v>1600</v>
      </c>
      <c r="D445" s="3" t="str">
        <f>IFERROR(MID(VLOOKUP($B445,Seqs!$A:$B,2,0),E445,1),"")</f>
        <v>S</v>
      </c>
      <c r="E445" s="3">
        <v>136</v>
      </c>
      <c r="F445" s="3" t="str">
        <f>IFERROR(MID(VLOOKUP($B445,Seqs!$A:$B,2,0),G445,1),"")</f>
        <v>F</v>
      </c>
      <c r="G445" s="3">
        <v>169</v>
      </c>
      <c r="H445" s="3" t="str">
        <f>IFERROR(MID(VLOOKUP($B445,Seqs!$A:$B,2,0),I445,1),"")</f>
        <v>R</v>
      </c>
      <c r="I445" s="23">
        <v>170</v>
      </c>
      <c r="J445" s="3" t="str">
        <f>IFERROR(MID(VLOOKUP($B445,Seqs!$A:$B,2,0),K445,1),"")</f>
        <v>H</v>
      </c>
      <c r="K445" s="23">
        <v>173</v>
      </c>
      <c r="L445" s="3" t="str">
        <f>IFERROR(MID(VLOOKUP($B445,Seqs!$A:$B,2,0),M445,1),"")</f>
        <v>C</v>
      </c>
      <c r="M445" s="23">
        <v>174</v>
      </c>
      <c r="N445" s="3" t="str">
        <f>IFERROR(MID(VLOOKUP($B445,Seqs!$A:$B,2,0),O445,1),"")</f>
        <v>K</v>
      </c>
      <c r="O445" s="3">
        <v>202</v>
      </c>
      <c r="P445" s="3" t="str">
        <f>IFERROR(MID(VLOOKUP($B445,Seqs!$A:$B,2,0),Q445,1),"")</f>
        <v/>
      </c>
      <c r="Q445" s="3" t="s">
        <v>23</v>
      </c>
      <c r="R445" s="3" t="str">
        <f>IFERROR(MID(VLOOKUP($B445,Seqs!$A:$B,2,0),S445,1),"")</f>
        <v/>
      </c>
      <c r="S445" s="3" t="s">
        <v>23</v>
      </c>
      <c r="T445" s="3" t="str">
        <f>IFERROR(MID(VLOOKUP($B445,Seqs!$A:$B,2,0),U445,1),"")</f>
        <v>L</v>
      </c>
      <c r="U445" s="3">
        <v>224</v>
      </c>
      <c r="V445" s="3" t="str">
        <f>IFERROR(MID(VLOOKUP($B445,Seqs!$A:$B,2,0),W445,1),"")</f>
        <v>F</v>
      </c>
      <c r="W445" s="3">
        <v>257</v>
      </c>
      <c r="X445" s="3" t="str">
        <f>IFERROR(MID(VLOOKUP($B445,Seqs!$A:$B,2,0),Y445,1),"")</f>
        <v/>
      </c>
      <c r="Y445" s="3" t="s">
        <v>23</v>
      </c>
      <c r="Z445" s="3" t="str">
        <f>IFERROR(MID(VLOOKUP($B445,Seqs!$A:$B,2,0),AA445,1),"")</f>
        <v/>
      </c>
      <c r="AA445" s="3" t="s">
        <v>23</v>
      </c>
      <c r="AB445" s="3" t="str">
        <f>IFERROR(MID(VLOOKUP($B445,Seqs!$A:$B,2,0),AC445,1),"")</f>
        <v>E</v>
      </c>
      <c r="AC445" s="3">
        <v>262</v>
      </c>
      <c r="AD445" s="3" t="str">
        <f>IFERROR(MID(VLOOKUP($B445,Seqs!$A:$B,2,0),AE445,1),"")</f>
        <v>E</v>
      </c>
      <c r="AE445" s="3">
        <v>292</v>
      </c>
      <c r="AF445" s="3" t="str">
        <f>IFERROR(MID(VLOOKUP($B445,Seqs!$A:$B,2,0),AG445,1),"")</f>
        <v>C</v>
      </c>
      <c r="AG445" s="3">
        <v>296</v>
      </c>
      <c r="AH445" s="3" t="str">
        <f>IFERROR(MID(VLOOKUP($B445,Seqs!$A:$B,2,0),AI445,1),"")</f>
        <v>T</v>
      </c>
      <c r="AI445" s="3">
        <v>298</v>
      </c>
      <c r="AJ445" s="3" t="str">
        <f>IFERROR(MID(VLOOKUP($B445,Seqs!$A:$B,2,0),AK445,1),"")</f>
        <v>M</v>
      </c>
      <c r="AK445" s="3">
        <v>303</v>
      </c>
      <c r="AL445" s="3" t="str">
        <f>IFERROR(MID(VLOOKUP($B445,Seqs!$A:$B,2,0),AM445,1),"")</f>
        <v>N</v>
      </c>
      <c r="AM445" s="3">
        <v>338</v>
      </c>
      <c r="AN445" s="3" t="str">
        <f>IFERROR(MID(VLOOKUP($B445,Seqs!$A:$B,2,0),AO445,1),"")</f>
        <v>D</v>
      </c>
      <c r="AO445" s="3">
        <v>344</v>
      </c>
      <c r="AP445" s="3" t="str">
        <f>IFERROR(MID(VLOOKUP($B445,Seqs!$A:$B,2,0),AQ445,1),"")</f>
        <v>F</v>
      </c>
      <c r="AQ445" s="3">
        <v>367</v>
      </c>
      <c r="AR445" s="3" t="str">
        <f>IFERROR(MID(VLOOKUP($B445,Seqs!$A:$B,2,0),AS445,1),"")</f>
        <v>R</v>
      </c>
      <c r="AS445" s="3">
        <v>380</v>
      </c>
      <c r="AT445" s="3" t="str">
        <f>IFERROR(MID(VLOOKUP($B445,Seqs!$A:$B,2,0),AU445,1),"")</f>
        <v>V</v>
      </c>
      <c r="AU445" s="3">
        <v>405</v>
      </c>
      <c r="AV445" s="3" t="str">
        <f>IFERROR(MID(VLOOKUP($B445,Seqs!$A:$B,2,0),AW445,1),"")</f>
        <v>N</v>
      </c>
      <c r="AW445" s="3">
        <v>406</v>
      </c>
      <c r="AX445" s="3" t="str">
        <f>IFERROR(MID(VLOOKUP($B445,Seqs!$A:$B,2,0),AY445,1),"")</f>
        <v>L</v>
      </c>
      <c r="AY445" s="3">
        <v>422</v>
      </c>
      <c r="AZ445" s="77" t="str">
        <f>VLOOKUP(B445,Classification!A:D,2,0)</f>
        <v>B1</v>
      </c>
      <c r="BA445" s="94" t="str">
        <f>VLOOKUP(B445,Classification!A:D,4,0)</f>
        <v>Glucagonreceptorfamily</v>
      </c>
      <c r="BB445" s="27" t="b">
        <f t="shared" ref="BB445" si="4082"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23">
        <f t="shared" ref="BC445" si="4083">_xlfn.AGGREGATE(9,6,CH445:CS445)-_xlfn.AGGREGATE(9,6,BV445:CG445)+12</f>
        <v>240</v>
      </c>
      <c r="BD445" s="4" t="s">
        <v>23</v>
      </c>
      <c r="BE445" s="3" t="s">
        <v>1370</v>
      </c>
      <c r="BF445" s="118">
        <v>2.8</v>
      </c>
      <c r="BG445" s="49" t="s">
        <v>1277</v>
      </c>
      <c r="BH445" s="49" t="s">
        <v>1277</v>
      </c>
      <c r="BI445" s="1"/>
      <c r="BJ445" s="70" t="s">
        <v>1283</v>
      </c>
      <c r="BK445" s="57" t="s">
        <v>1283</v>
      </c>
      <c r="BL445" s="57" t="s">
        <v>1283</v>
      </c>
      <c r="BM445" s="57" t="s">
        <v>1283</v>
      </c>
      <c r="BN445" s="57" t="s">
        <v>1283</v>
      </c>
      <c r="BO445" s="57" t="s">
        <v>1283</v>
      </c>
      <c r="BP445" s="57" t="s">
        <v>1283</v>
      </c>
      <c r="BQ445" s="57" t="s">
        <v>1283</v>
      </c>
      <c r="BR445" s="57" t="s">
        <v>1283</v>
      </c>
      <c r="BS445" s="57" t="s">
        <v>1283</v>
      </c>
      <c r="BT445" s="57" t="s">
        <v>1283</v>
      </c>
      <c r="BU445" s="57" t="s">
        <v>1283</v>
      </c>
      <c r="BV445" s="70">
        <f t="shared" ref="BV445" si="4084">E445</f>
        <v>136</v>
      </c>
      <c r="BW445" s="71">
        <f t="shared" ref="BW445" si="4085">I445</f>
        <v>170</v>
      </c>
      <c r="BX445" s="72">
        <f t="shared" ref="BX445" si="4086">M445</f>
        <v>174</v>
      </c>
      <c r="BY445" s="71" t="str">
        <f t="shared" ref="BY445" si="4087">Q445</f>
        <v>-</v>
      </c>
      <c r="BZ445" s="72">
        <f t="shared" ref="BZ445" si="4088">U445</f>
        <v>224</v>
      </c>
      <c r="CA445" s="71" t="str">
        <f t="shared" ref="CA445" si="4089">Y445</f>
        <v>-</v>
      </c>
      <c r="CB445" s="72">
        <f t="shared" ref="CB445" si="4090">AC445</f>
        <v>262</v>
      </c>
      <c r="CC445" s="71">
        <f t="shared" ref="CC445" si="4091">AG445</f>
        <v>296</v>
      </c>
      <c r="CD445" s="72">
        <f t="shared" ref="CD445" si="4092">AK445</f>
        <v>303</v>
      </c>
      <c r="CE445" s="71">
        <f t="shared" ref="CE445" si="4093">AO445</f>
        <v>344</v>
      </c>
      <c r="CF445" s="72">
        <f t="shared" ref="CF445" si="4094">AS445</f>
        <v>380</v>
      </c>
      <c r="CG445" s="71">
        <f t="shared" ref="CG445" si="4095">AW445</f>
        <v>406</v>
      </c>
      <c r="CH445" s="70">
        <f t="shared" ref="CH445" si="4096">G445</f>
        <v>169</v>
      </c>
      <c r="CI445" s="71">
        <f t="shared" ref="CI445" si="4097">K445</f>
        <v>173</v>
      </c>
      <c r="CJ445" s="72">
        <f t="shared" ref="CJ445" si="4098">O445</f>
        <v>202</v>
      </c>
      <c r="CK445" s="72" t="str">
        <f t="shared" ref="CK445" si="4099">S445</f>
        <v>-</v>
      </c>
      <c r="CL445" s="72">
        <f t="shared" ref="CL445" si="4100">W445</f>
        <v>257</v>
      </c>
      <c r="CM445" s="72" t="str">
        <f t="shared" ref="CM445" si="4101">AA445</f>
        <v>-</v>
      </c>
      <c r="CN445" s="72">
        <f t="shared" ref="CN445" si="4102">AE445</f>
        <v>292</v>
      </c>
      <c r="CO445" s="72">
        <f t="shared" ref="CO445" si="4103">AI445</f>
        <v>298</v>
      </c>
      <c r="CP445" s="72">
        <f t="shared" ref="CP445" si="4104">AM445</f>
        <v>338</v>
      </c>
      <c r="CQ445" s="72">
        <f t="shared" ref="CQ445" si="4105">AQ445</f>
        <v>367</v>
      </c>
      <c r="CR445" s="72">
        <f t="shared" ref="CR445" si="4106">AU445</f>
        <v>405</v>
      </c>
      <c r="CS445" s="72">
        <f t="shared" ref="CS445" si="4107">AY445</f>
        <v>422</v>
      </c>
      <c r="CT445" s="23">
        <f t="shared" ref="CT445" si="4108">M445-K445</f>
        <v>1</v>
      </c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  <c r="AMO445" s="1"/>
    </row>
    <row r="446" spans="1:1029" x14ac:dyDescent="0.2">
      <c r="A446" s="3" t="str">
        <f t="shared" ref="A446" si="4109">CONCATENATE(B446,"_",C446)</f>
        <v>glp1r_human_6KK1</v>
      </c>
      <c r="B446" s="3" t="s">
        <v>405</v>
      </c>
      <c r="C446" s="3" t="s">
        <v>1601</v>
      </c>
      <c r="D446" s="3" t="str">
        <f>IFERROR(MID(VLOOKUP($B446,Seqs!$A:$B,2,0),E446,1),"")</f>
        <v>S</v>
      </c>
      <c r="E446" s="3">
        <v>136</v>
      </c>
      <c r="F446" s="3" t="str">
        <f>IFERROR(MID(VLOOKUP($B446,Seqs!$A:$B,2,0),G446,1),"")</f>
        <v>F</v>
      </c>
      <c r="G446" s="3">
        <v>169</v>
      </c>
      <c r="H446" s="3" t="str">
        <f>IFERROR(MID(VLOOKUP($B446,Seqs!$A:$B,2,0),I446,1),"")</f>
        <v>R</v>
      </c>
      <c r="I446" s="23">
        <v>170</v>
      </c>
      <c r="J446" s="3" t="str">
        <f>IFERROR(MID(VLOOKUP($B446,Seqs!$A:$B,2,0),K446,1),"")</f>
        <v>H</v>
      </c>
      <c r="K446" s="23">
        <v>173</v>
      </c>
      <c r="L446" s="3" t="str">
        <f>IFERROR(MID(VLOOKUP($B446,Seqs!$A:$B,2,0),M446,1),"")</f>
        <v>C</v>
      </c>
      <c r="M446" s="23">
        <v>174</v>
      </c>
      <c r="N446" s="3" t="str">
        <f>IFERROR(MID(VLOOKUP($B446,Seqs!$A:$B,2,0),O446,1),"")</f>
        <v>K</v>
      </c>
      <c r="O446" s="3">
        <v>202</v>
      </c>
      <c r="P446" s="3" t="str">
        <f>IFERROR(MID(VLOOKUP($B446,Seqs!$A:$B,2,0),Q446,1),"")</f>
        <v/>
      </c>
      <c r="Q446" s="3" t="s">
        <v>23</v>
      </c>
      <c r="R446" s="3" t="str">
        <f>IFERROR(MID(VLOOKUP($B446,Seqs!$A:$B,2,0),S446,1),"")</f>
        <v/>
      </c>
      <c r="S446" s="3" t="s">
        <v>23</v>
      </c>
      <c r="T446" s="3" t="str">
        <f>IFERROR(MID(VLOOKUP($B446,Seqs!$A:$B,2,0),U446,1),"")</f>
        <v>L</v>
      </c>
      <c r="U446" s="3">
        <v>224</v>
      </c>
      <c r="V446" s="3" t="str">
        <f>IFERROR(MID(VLOOKUP($B446,Seqs!$A:$B,2,0),W446,1),"")</f>
        <v>F</v>
      </c>
      <c r="W446" s="3">
        <v>257</v>
      </c>
      <c r="X446" s="3" t="str">
        <f>IFERROR(MID(VLOOKUP($B446,Seqs!$A:$B,2,0),Y446,1),"")</f>
        <v/>
      </c>
      <c r="Y446" s="3" t="s">
        <v>23</v>
      </c>
      <c r="Z446" s="3" t="str">
        <f>IFERROR(MID(VLOOKUP($B446,Seqs!$A:$B,2,0),AA446,1),"")</f>
        <v/>
      </c>
      <c r="AA446" s="3" t="s">
        <v>23</v>
      </c>
      <c r="AB446" s="3" t="str">
        <f>IFERROR(MID(VLOOKUP($B446,Seqs!$A:$B,2,0),AC446,1),"")</f>
        <v>E</v>
      </c>
      <c r="AC446" s="3">
        <v>262</v>
      </c>
      <c r="AD446" s="3" t="str">
        <f>IFERROR(MID(VLOOKUP($B446,Seqs!$A:$B,2,0),AE446,1),"")</f>
        <v>E</v>
      </c>
      <c r="AE446" s="3">
        <v>292</v>
      </c>
      <c r="AF446" s="3" t="str">
        <f>IFERROR(MID(VLOOKUP($B446,Seqs!$A:$B,2,0),AG446,1),"")</f>
        <v>C</v>
      </c>
      <c r="AG446" s="3">
        <v>296</v>
      </c>
      <c r="AH446" s="3" t="str">
        <f>IFERROR(MID(VLOOKUP($B446,Seqs!$A:$B,2,0),AI446,1),"")</f>
        <v>T</v>
      </c>
      <c r="AI446" s="3">
        <v>298</v>
      </c>
      <c r="AJ446" s="3" t="str">
        <f>IFERROR(MID(VLOOKUP($B446,Seqs!$A:$B,2,0),AK446,1),"")</f>
        <v>M</v>
      </c>
      <c r="AK446" s="3">
        <v>303</v>
      </c>
      <c r="AL446" s="3" t="str">
        <f>IFERROR(MID(VLOOKUP($B446,Seqs!$A:$B,2,0),AM446,1),"")</f>
        <v>N</v>
      </c>
      <c r="AM446" s="3">
        <v>338</v>
      </c>
      <c r="AN446" s="3" t="str">
        <f>IFERROR(MID(VLOOKUP($B446,Seqs!$A:$B,2,0),AO446,1),"")</f>
        <v>D</v>
      </c>
      <c r="AO446" s="3">
        <v>344</v>
      </c>
      <c r="AP446" s="3" t="str">
        <f>IFERROR(MID(VLOOKUP($B446,Seqs!$A:$B,2,0),AQ446,1),"")</f>
        <v>F</v>
      </c>
      <c r="AQ446" s="3">
        <v>367</v>
      </c>
      <c r="AR446" s="3" t="str">
        <f>IFERROR(MID(VLOOKUP($B446,Seqs!$A:$B,2,0),AS446,1),"")</f>
        <v>R</v>
      </c>
      <c r="AS446" s="3">
        <v>380</v>
      </c>
      <c r="AT446" s="3" t="str">
        <f>IFERROR(MID(VLOOKUP($B446,Seqs!$A:$B,2,0),AU446,1),"")</f>
        <v>V</v>
      </c>
      <c r="AU446" s="3">
        <v>405</v>
      </c>
      <c r="AV446" s="3" t="str">
        <f>IFERROR(MID(VLOOKUP($B446,Seqs!$A:$B,2,0),AW446,1),"")</f>
        <v>N</v>
      </c>
      <c r="AW446" s="3">
        <v>406</v>
      </c>
      <c r="AX446" s="3" t="str">
        <f>IFERROR(MID(VLOOKUP($B446,Seqs!$A:$B,2,0),AY446,1),"")</f>
        <v>L</v>
      </c>
      <c r="AY446" s="3">
        <v>422</v>
      </c>
      <c r="AZ446" s="77" t="str">
        <f>VLOOKUP(B446,Classification!A:D,2,0)</f>
        <v>B1</v>
      </c>
      <c r="BA446" s="94" t="str">
        <f>VLOOKUP(B446,Classification!A:D,4,0)</f>
        <v>Glucagonreceptorfamily</v>
      </c>
      <c r="BB446" s="27" t="b">
        <f t="shared" ref="BB446" si="4110"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23">
        <f t="shared" ref="BC446" si="4111">_xlfn.AGGREGATE(9,6,CH446:CS446)-_xlfn.AGGREGATE(9,6,BV446:CG446)+12</f>
        <v>240</v>
      </c>
      <c r="BD446" s="4" t="s">
        <v>23</v>
      </c>
      <c r="BE446" s="3" t="s">
        <v>1370</v>
      </c>
      <c r="BF446" s="118">
        <v>2.8</v>
      </c>
      <c r="BG446" s="49" t="s">
        <v>1277</v>
      </c>
      <c r="BH446" s="49" t="s">
        <v>1277</v>
      </c>
      <c r="BI446" s="1"/>
      <c r="BJ446" s="70" t="s">
        <v>1283</v>
      </c>
      <c r="BK446" s="57" t="s">
        <v>1283</v>
      </c>
      <c r="BL446" s="57" t="s">
        <v>1283</v>
      </c>
      <c r="BM446" s="57" t="s">
        <v>1283</v>
      </c>
      <c r="BN446" s="57" t="s">
        <v>1283</v>
      </c>
      <c r="BO446" s="57" t="s">
        <v>1283</v>
      </c>
      <c r="BP446" s="57" t="s">
        <v>1283</v>
      </c>
      <c r="BQ446" s="57" t="s">
        <v>1283</v>
      </c>
      <c r="BR446" s="57" t="s">
        <v>1283</v>
      </c>
      <c r="BS446" s="57" t="s">
        <v>1283</v>
      </c>
      <c r="BT446" s="57" t="s">
        <v>1283</v>
      </c>
      <c r="BU446" s="57" t="s">
        <v>1283</v>
      </c>
      <c r="BV446" s="70">
        <f t="shared" ref="BV446" si="4112">E446</f>
        <v>136</v>
      </c>
      <c r="BW446" s="71">
        <f t="shared" ref="BW446" si="4113">I446</f>
        <v>170</v>
      </c>
      <c r="BX446" s="72">
        <f t="shared" ref="BX446" si="4114">M446</f>
        <v>174</v>
      </c>
      <c r="BY446" s="71" t="str">
        <f t="shared" ref="BY446" si="4115">Q446</f>
        <v>-</v>
      </c>
      <c r="BZ446" s="72">
        <f t="shared" ref="BZ446" si="4116">U446</f>
        <v>224</v>
      </c>
      <c r="CA446" s="71" t="str">
        <f t="shared" ref="CA446" si="4117">Y446</f>
        <v>-</v>
      </c>
      <c r="CB446" s="72">
        <f t="shared" ref="CB446" si="4118">AC446</f>
        <v>262</v>
      </c>
      <c r="CC446" s="71">
        <f t="shared" ref="CC446" si="4119">AG446</f>
        <v>296</v>
      </c>
      <c r="CD446" s="72">
        <f t="shared" ref="CD446" si="4120">AK446</f>
        <v>303</v>
      </c>
      <c r="CE446" s="71">
        <f t="shared" ref="CE446" si="4121">AO446</f>
        <v>344</v>
      </c>
      <c r="CF446" s="72">
        <f t="shared" ref="CF446" si="4122">AS446</f>
        <v>380</v>
      </c>
      <c r="CG446" s="71">
        <f t="shared" ref="CG446" si="4123">AW446</f>
        <v>406</v>
      </c>
      <c r="CH446" s="70">
        <f t="shared" ref="CH446" si="4124">G446</f>
        <v>169</v>
      </c>
      <c r="CI446" s="71">
        <f t="shared" ref="CI446" si="4125">K446</f>
        <v>173</v>
      </c>
      <c r="CJ446" s="72">
        <f t="shared" ref="CJ446" si="4126">O446</f>
        <v>202</v>
      </c>
      <c r="CK446" s="72" t="str">
        <f t="shared" ref="CK446" si="4127">S446</f>
        <v>-</v>
      </c>
      <c r="CL446" s="72">
        <f t="shared" ref="CL446" si="4128">W446</f>
        <v>257</v>
      </c>
      <c r="CM446" s="72" t="str">
        <f t="shared" ref="CM446" si="4129">AA446</f>
        <v>-</v>
      </c>
      <c r="CN446" s="72">
        <f t="shared" ref="CN446" si="4130">AE446</f>
        <v>292</v>
      </c>
      <c r="CO446" s="72">
        <f t="shared" ref="CO446" si="4131">AI446</f>
        <v>298</v>
      </c>
      <c r="CP446" s="72">
        <f t="shared" ref="CP446" si="4132">AM446</f>
        <v>338</v>
      </c>
      <c r="CQ446" s="72">
        <f t="shared" ref="CQ446" si="4133">AQ446</f>
        <v>367</v>
      </c>
      <c r="CR446" s="72">
        <f t="shared" ref="CR446" si="4134">AU446</f>
        <v>405</v>
      </c>
      <c r="CS446" s="72">
        <f t="shared" ref="CS446" si="4135">AY446</f>
        <v>422</v>
      </c>
      <c r="CT446" s="23">
        <f t="shared" ref="CT446" si="4136">M446-K446</f>
        <v>1</v>
      </c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  <c r="AMO446" s="1"/>
    </row>
    <row r="447" spans="1:1029" x14ac:dyDescent="0.2">
      <c r="A447" s="3" t="str">
        <f t="shared" ref="A447" si="4137">CONCATENATE(B447,"_",C447)</f>
        <v>glp1r_human_6KK7</v>
      </c>
      <c r="B447" s="3" t="s">
        <v>405</v>
      </c>
      <c r="C447" s="3" t="s">
        <v>1602</v>
      </c>
      <c r="D447" s="3" t="str">
        <f>IFERROR(MID(VLOOKUP($B447,Seqs!$A:$B,2,0),E447,1),"")</f>
        <v>S</v>
      </c>
      <c r="E447" s="3">
        <v>136</v>
      </c>
      <c r="F447" s="3" t="str">
        <f>IFERROR(MID(VLOOKUP($B447,Seqs!$A:$B,2,0),G447,1),"")</f>
        <v>F</v>
      </c>
      <c r="G447" s="3">
        <v>169</v>
      </c>
      <c r="H447" s="3" t="str">
        <f>IFERROR(MID(VLOOKUP($B447,Seqs!$A:$B,2,0),I447,1),"")</f>
        <v>R</v>
      </c>
      <c r="I447" s="23">
        <v>170</v>
      </c>
      <c r="J447" s="3" t="str">
        <f>IFERROR(MID(VLOOKUP($B447,Seqs!$A:$B,2,0),K447,1),"")</f>
        <v>H</v>
      </c>
      <c r="K447" s="23">
        <v>173</v>
      </c>
      <c r="L447" s="3" t="str">
        <f>IFERROR(MID(VLOOKUP($B447,Seqs!$A:$B,2,0),M447,1),"")</f>
        <v>C</v>
      </c>
      <c r="M447" s="23">
        <v>174</v>
      </c>
      <c r="N447" s="3" t="str">
        <f>IFERROR(MID(VLOOKUP($B447,Seqs!$A:$B,2,0),O447,1),"")</f>
        <v>K</v>
      </c>
      <c r="O447" s="3">
        <v>202</v>
      </c>
      <c r="P447" s="3" t="str">
        <f>IFERROR(MID(VLOOKUP($B447,Seqs!$A:$B,2,0),Q447,1),"")</f>
        <v/>
      </c>
      <c r="Q447" s="3" t="s">
        <v>23</v>
      </c>
      <c r="R447" s="3" t="str">
        <f>IFERROR(MID(VLOOKUP($B447,Seqs!$A:$B,2,0),S447,1),"")</f>
        <v/>
      </c>
      <c r="S447" s="3" t="s">
        <v>23</v>
      </c>
      <c r="T447" s="3" t="str">
        <f>IFERROR(MID(VLOOKUP($B447,Seqs!$A:$B,2,0),U447,1),"")</f>
        <v>L</v>
      </c>
      <c r="U447" s="3">
        <v>224</v>
      </c>
      <c r="V447" s="3" t="str">
        <f>IFERROR(MID(VLOOKUP($B447,Seqs!$A:$B,2,0),W447,1),"")</f>
        <v>F</v>
      </c>
      <c r="W447" s="3">
        <v>257</v>
      </c>
      <c r="X447" s="3" t="str">
        <f>IFERROR(MID(VLOOKUP($B447,Seqs!$A:$B,2,0),Y447,1),"")</f>
        <v/>
      </c>
      <c r="Y447" s="3" t="s">
        <v>23</v>
      </c>
      <c r="Z447" s="3" t="str">
        <f>IFERROR(MID(VLOOKUP($B447,Seqs!$A:$B,2,0),AA447,1),"")</f>
        <v/>
      </c>
      <c r="AA447" s="3" t="s">
        <v>23</v>
      </c>
      <c r="AB447" s="3" t="str">
        <f>IFERROR(MID(VLOOKUP($B447,Seqs!$A:$B,2,0),AC447,1),"")</f>
        <v>E</v>
      </c>
      <c r="AC447" s="3">
        <v>262</v>
      </c>
      <c r="AD447" s="3" t="str">
        <f>IFERROR(MID(VLOOKUP($B447,Seqs!$A:$B,2,0),AE447,1),"")</f>
        <v>E</v>
      </c>
      <c r="AE447" s="3">
        <v>292</v>
      </c>
      <c r="AF447" s="3" t="str">
        <f>IFERROR(MID(VLOOKUP($B447,Seqs!$A:$B,2,0),AG447,1),"")</f>
        <v>C</v>
      </c>
      <c r="AG447" s="3">
        <v>296</v>
      </c>
      <c r="AH447" s="3" t="str">
        <f>IFERROR(MID(VLOOKUP($B447,Seqs!$A:$B,2,0),AI447,1),"")</f>
        <v>T</v>
      </c>
      <c r="AI447" s="3">
        <v>298</v>
      </c>
      <c r="AJ447" s="3" t="str">
        <f>IFERROR(MID(VLOOKUP($B447,Seqs!$A:$B,2,0),AK447,1),"")</f>
        <v>M</v>
      </c>
      <c r="AK447" s="3">
        <v>303</v>
      </c>
      <c r="AL447" s="3" t="str">
        <f>IFERROR(MID(VLOOKUP($B447,Seqs!$A:$B,2,0),AM447,1),"")</f>
        <v>N</v>
      </c>
      <c r="AM447" s="3">
        <v>338</v>
      </c>
      <c r="AN447" s="3" t="str">
        <f>IFERROR(MID(VLOOKUP($B447,Seqs!$A:$B,2,0),AO447,1),"")</f>
        <v>D</v>
      </c>
      <c r="AO447" s="3">
        <v>344</v>
      </c>
      <c r="AP447" s="3" t="str">
        <f>IFERROR(MID(VLOOKUP($B447,Seqs!$A:$B,2,0),AQ447,1),"")</f>
        <v>F</v>
      </c>
      <c r="AQ447" s="3">
        <v>367</v>
      </c>
      <c r="AR447" s="3" t="str">
        <f>IFERROR(MID(VLOOKUP($B447,Seqs!$A:$B,2,0),AS447,1),"")</f>
        <v>R</v>
      </c>
      <c r="AS447" s="3">
        <v>380</v>
      </c>
      <c r="AT447" s="3" t="str">
        <f>IFERROR(MID(VLOOKUP($B447,Seqs!$A:$B,2,0),AU447,1),"")</f>
        <v>V</v>
      </c>
      <c r="AU447" s="3">
        <v>405</v>
      </c>
      <c r="AV447" s="3" t="str">
        <f>IFERROR(MID(VLOOKUP($B447,Seqs!$A:$B,2,0),AW447,1),"")</f>
        <v>N</v>
      </c>
      <c r="AW447" s="3">
        <v>406</v>
      </c>
      <c r="AX447" s="3" t="str">
        <f>IFERROR(MID(VLOOKUP($B447,Seqs!$A:$B,2,0),AY447,1),"")</f>
        <v>L</v>
      </c>
      <c r="AY447" s="3">
        <v>422</v>
      </c>
      <c r="AZ447" s="77" t="str">
        <f>VLOOKUP(B447,Classification!A:D,2,0)</f>
        <v>B1</v>
      </c>
      <c r="BA447" s="94" t="str">
        <f>VLOOKUP(B447,Classification!A:D,4,0)</f>
        <v>Glucagonreceptorfamily</v>
      </c>
      <c r="BB447" s="27" t="b">
        <f t="shared" ref="BB447" si="4138">AND(E447&lt;G447,OR(G447&lt;I447,I447="-"),OR(I447&lt;K447,I447="-"),OR(K447&lt;M447,K447="-"),M447&lt;O447,OR(O447&lt;Q447,Q447="-"),OR(Q447&lt;S447,Q447="-"),OR(S447&lt;U447,S447="-"),U447&lt;W447,OR(W447&lt;Y447,Y447="-"),OR(Y447&lt;AA447,Y447="-"),OR(AA447&lt;AC447,AA447="-"),AC447&lt;AE447,OR(AE447&lt;AG447,AG447="-"),OR(AG447&lt;AI447,AG447="-"),OR(AI447&lt;AK447,AI447="-"),AK447&lt;AM447,AM447&lt;AO447,AO447&lt;AQ447,AQ447&lt;AS447,AS447&lt;AU447,OR(AU447&lt;AW447,AW447="-"),OR(AW447&lt;AY447,AW447="-"))</f>
        <v>1</v>
      </c>
      <c r="BC447" s="23">
        <f t="shared" ref="BC447" si="4139">_xlfn.AGGREGATE(9,6,CH447:CS447)-_xlfn.AGGREGATE(9,6,BV447:CG447)+12</f>
        <v>240</v>
      </c>
      <c r="BD447" s="4" t="s">
        <v>23</v>
      </c>
      <c r="BE447" s="3" t="s">
        <v>1370</v>
      </c>
      <c r="BF447" s="118">
        <v>2.8</v>
      </c>
      <c r="BG447" s="49" t="s">
        <v>1277</v>
      </c>
      <c r="BH447" s="49" t="s">
        <v>1277</v>
      </c>
      <c r="BI447" s="1"/>
      <c r="BJ447" s="70" t="s">
        <v>1283</v>
      </c>
      <c r="BK447" s="57" t="s">
        <v>1283</v>
      </c>
      <c r="BL447" s="57" t="s">
        <v>1283</v>
      </c>
      <c r="BM447" s="57" t="s">
        <v>1283</v>
      </c>
      <c r="BN447" s="57" t="s">
        <v>1283</v>
      </c>
      <c r="BO447" s="57" t="s">
        <v>1283</v>
      </c>
      <c r="BP447" s="57" t="s">
        <v>1283</v>
      </c>
      <c r="BQ447" s="57" t="s">
        <v>1283</v>
      </c>
      <c r="BR447" s="57" t="s">
        <v>1283</v>
      </c>
      <c r="BS447" s="57" t="s">
        <v>1283</v>
      </c>
      <c r="BT447" s="57" t="s">
        <v>1283</v>
      </c>
      <c r="BU447" s="57" t="s">
        <v>1283</v>
      </c>
      <c r="BV447" s="70">
        <f t="shared" ref="BV447" si="4140">E447</f>
        <v>136</v>
      </c>
      <c r="BW447" s="71">
        <f t="shared" ref="BW447" si="4141">I447</f>
        <v>170</v>
      </c>
      <c r="BX447" s="72">
        <f t="shared" ref="BX447" si="4142">M447</f>
        <v>174</v>
      </c>
      <c r="BY447" s="71" t="str">
        <f t="shared" ref="BY447" si="4143">Q447</f>
        <v>-</v>
      </c>
      <c r="BZ447" s="72">
        <f t="shared" ref="BZ447" si="4144">U447</f>
        <v>224</v>
      </c>
      <c r="CA447" s="71" t="str">
        <f t="shared" ref="CA447" si="4145">Y447</f>
        <v>-</v>
      </c>
      <c r="CB447" s="72">
        <f t="shared" ref="CB447" si="4146">AC447</f>
        <v>262</v>
      </c>
      <c r="CC447" s="71">
        <f t="shared" ref="CC447" si="4147">AG447</f>
        <v>296</v>
      </c>
      <c r="CD447" s="72">
        <f t="shared" ref="CD447" si="4148">AK447</f>
        <v>303</v>
      </c>
      <c r="CE447" s="71">
        <f t="shared" ref="CE447" si="4149">AO447</f>
        <v>344</v>
      </c>
      <c r="CF447" s="72">
        <f t="shared" ref="CF447" si="4150">AS447</f>
        <v>380</v>
      </c>
      <c r="CG447" s="71">
        <f t="shared" ref="CG447" si="4151">AW447</f>
        <v>406</v>
      </c>
      <c r="CH447" s="70">
        <f t="shared" ref="CH447" si="4152">G447</f>
        <v>169</v>
      </c>
      <c r="CI447" s="71">
        <f t="shared" ref="CI447" si="4153">K447</f>
        <v>173</v>
      </c>
      <c r="CJ447" s="72">
        <f t="shared" ref="CJ447" si="4154">O447</f>
        <v>202</v>
      </c>
      <c r="CK447" s="72" t="str">
        <f t="shared" ref="CK447" si="4155">S447</f>
        <v>-</v>
      </c>
      <c r="CL447" s="72">
        <f t="shared" ref="CL447" si="4156">W447</f>
        <v>257</v>
      </c>
      <c r="CM447" s="72" t="str">
        <f t="shared" ref="CM447" si="4157">AA447</f>
        <v>-</v>
      </c>
      <c r="CN447" s="72">
        <f t="shared" ref="CN447" si="4158">AE447</f>
        <v>292</v>
      </c>
      <c r="CO447" s="72">
        <f t="shared" ref="CO447" si="4159">AI447</f>
        <v>298</v>
      </c>
      <c r="CP447" s="72">
        <f t="shared" ref="CP447" si="4160">AM447</f>
        <v>338</v>
      </c>
      <c r="CQ447" s="72">
        <f t="shared" ref="CQ447" si="4161">AQ447</f>
        <v>367</v>
      </c>
      <c r="CR447" s="72">
        <f t="shared" ref="CR447" si="4162">AU447</f>
        <v>405</v>
      </c>
      <c r="CS447" s="72">
        <f t="shared" ref="CS447" si="4163">AY447</f>
        <v>422</v>
      </c>
      <c r="CT447" s="23">
        <f t="shared" ref="CT447" si="4164">M447-K447</f>
        <v>1</v>
      </c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</row>
    <row r="448" spans="1:1029" x14ac:dyDescent="0.2">
      <c r="A448" s="3" t="str">
        <f t="shared" ref="A448" si="4165">CONCATENATE(B448,"_",C448)</f>
        <v>glp1r_human_6LN2</v>
      </c>
      <c r="B448" s="3" t="s">
        <v>405</v>
      </c>
      <c r="C448" s="3" t="s">
        <v>1664</v>
      </c>
      <c r="D448" s="3" t="str">
        <f>IFERROR(MID(VLOOKUP($B448,Seqs!$A:$B,2,0),E448,1),"")</f>
        <v>S</v>
      </c>
      <c r="E448" s="3">
        <v>135</v>
      </c>
      <c r="F448" s="3" t="str">
        <f>IFERROR(MID(VLOOKUP($B448,Seqs!$A:$B,2,0),G448,1),"")</f>
        <v>F</v>
      </c>
      <c r="G448" s="3">
        <v>169</v>
      </c>
      <c r="H448" s="3" t="str">
        <f>IFERROR(MID(VLOOKUP($B448,Seqs!$A:$B,2,0),I448,1),"")</f>
        <v>R</v>
      </c>
      <c r="I448" s="23">
        <v>170</v>
      </c>
      <c r="J448" s="3" t="str">
        <f>IFERROR(MID(VLOOKUP($B448,Seqs!$A:$B,2,0),K448,1),"")</f>
        <v>H</v>
      </c>
      <c r="K448" s="23">
        <v>173</v>
      </c>
      <c r="L448" s="3" t="str">
        <f>IFERROR(MID(VLOOKUP($B448,Seqs!$A:$B,2,0),M448,1),"")</f>
        <v>C</v>
      </c>
      <c r="M448" s="23">
        <v>174</v>
      </c>
      <c r="N448" s="3" t="str">
        <f>IFERROR(MID(VLOOKUP($B448,Seqs!$A:$B,2,0),O448,1),"")</f>
        <v>T</v>
      </c>
      <c r="O448" s="3">
        <v>207</v>
      </c>
      <c r="P448" s="3" t="str">
        <f>IFERROR(MID(VLOOKUP($B448,Seqs!$A:$B,2,0),Q448,1),"")</f>
        <v/>
      </c>
      <c r="Q448" s="3" t="s">
        <v>23</v>
      </c>
      <c r="R448" s="3" t="str">
        <f>IFERROR(MID(VLOOKUP($B448,Seqs!$A:$B,2,0),S448,1),"")</f>
        <v/>
      </c>
      <c r="S448" s="3" t="s">
        <v>23</v>
      </c>
      <c r="T448" s="3" t="str">
        <f>IFERROR(MID(VLOOKUP($B448,Seqs!$A:$B,2,0),U448,1),"")</f>
        <v>L</v>
      </c>
      <c r="U448" s="3">
        <v>224</v>
      </c>
      <c r="V448" s="3" t="str">
        <f>IFERROR(MID(VLOOKUP($B448,Seqs!$A:$B,2,0),W448,1),"")</f>
        <v>F</v>
      </c>
      <c r="W448" s="3">
        <v>257</v>
      </c>
      <c r="X448" s="3" t="str">
        <f>IFERROR(MID(VLOOKUP($B448,Seqs!$A:$B,2,0),Y448,1),"")</f>
        <v/>
      </c>
      <c r="Y448" s="3" t="s">
        <v>23</v>
      </c>
      <c r="Z448" s="3" t="str">
        <f>IFERROR(MID(VLOOKUP($B448,Seqs!$A:$B,2,0),AA448,1),"")</f>
        <v/>
      </c>
      <c r="AA448" s="3" t="s">
        <v>23</v>
      </c>
      <c r="AB448" s="3" t="str">
        <f>IFERROR(MID(VLOOKUP($B448,Seqs!$A:$B,2,0),AC448,1),"")</f>
        <v>Q</v>
      </c>
      <c r="AC448" s="3">
        <v>263</v>
      </c>
      <c r="AD448" s="3" t="str">
        <f>IFERROR(MID(VLOOKUP($B448,Seqs!$A:$B,2,0),AE448,1),"")</f>
        <v>Y</v>
      </c>
      <c r="AE448" s="3">
        <v>291</v>
      </c>
      <c r="AF448" s="3" t="str">
        <f>IFERROR(MID(VLOOKUP($B448,Seqs!$A:$B,2,0),AG448,1),"")</f>
        <v>C</v>
      </c>
      <c r="AG448" s="3">
        <v>296</v>
      </c>
      <c r="AH448" s="3" t="str">
        <f>IFERROR(MID(VLOOKUP($B448,Seqs!$A:$B,2,0),AI448,1),"")</f>
        <v>T</v>
      </c>
      <c r="AI448" s="3">
        <v>298</v>
      </c>
      <c r="AJ448" s="3" t="str">
        <f>IFERROR(MID(VLOOKUP($B448,Seqs!$A:$B,2,0),AK448,1),"")</f>
        <v>W</v>
      </c>
      <c r="AK448" s="3">
        <v>306</v>
      </c>
      <c r="AL448" s="3" t="str">
        <f>IFERROR(MID(VLOOKUP($B448,Seqs!$A:$B,2,0),AM448,1),"")</f>
        <v>N</v>
      </c>
      <c r="AM448" s="3">
        <v>338</v>
      </c>
      <c r="AN448" s="3" t="str">
        <f>IFERROR(MID(VLOOKUP($B448,Seqs!$A:$B,2,0),AO448,1),"")</f>
        <v>D</v>
      </c>
      <c r="AO448" s="3">
        <v>344</v>
      </c>
      <c r="AP448" s="3" t="str">
        <f>IFERROR(MID(VLOOKUP($B448,Seqs!$A:$B,2,0),AQ448,1),"")</f>
        <v>F</v>
      </c>
      <c r="AQ448" s="3">
        <v>367</v>
      </c>
      <c r="AR448" s="3" t="str">
        <f>IFERROR(MID(VLOOKUP($B448,Seqs!$A:$B,2,0),AS448,1),"")</f>
        <v>R</v>
      </c>
      <c r="AS448" s="3">
        <v>376</v>
      </c>
      <c r="AT448" s="3" t="str">
        <f>IFERROR(MID(VLOOKUP($B448,Seqs!$A:$B,2,0),AU448,1),"")</f>
        <v>C</v>
      </c>
      <c r="AU448" s="3">
        <v>403</v>
      </c>
      <c r="AV448" s="3" t="str">
        <f>IFERROR(MID(VLOOKUP($B448,Seqs!$A:$B,2,0),AW448,1),"")</f>
        <v>N</v>
      </c>
      <c r="AW448" s="3">
        <v>406</v>
      </c>
      <c r="AX448" s="3" t="str">
        <f>IFERROR(MID(VLOOKUP($B448,Seqs!$A:$B,2,0),AY448,1),"")</f>
        <v>R</v>
      </c>
      <c r="AY448" s="3">
        <v>421</v>
      </c>
      <c r="AZ448" s="77" t="str">
        <f>VLOOKUP(B448,Classification!A:D,2,0)</f>
        <v>B1</v>
      </c>
      <c r="BA448" s="94" t="str">
        <f>VLOOKUP(B448,Classification!A:D,4,0)</f>
        <v>Glucagonreceptorfamily</v>
      </c>
      <c r="BB448" s="27" t="b">
        <f t="shared" ref="BB448" si="4166">AND(E448&lt;G448,OR(G448&lt;I448,I448="-"),OR(I448&lt;K448,I448="-"),OR(K448&lt;M448,K448="-"),M448&lt;O448,OR(O448&lt;Q448,Q448="-"),OR(Q448&lt;S448,Q448="-"),OR(S448&lt;U448,S448="-"),U448&lt;W448,OR(W448&lt;Y448,Y448="-"),OR(Y448&lt;AA448,Y448="-"),OR(AA448&lt;AC448,AA448="-"),AC448&lt;AE448,OR(AE448&lt;AG448,AG448="-"),OR(AG448&lt;AI448,AG448="-"),OR(AI448&lt;AK448,AI448="-"),AK448&lt;AM448,AM448&lt;AO448,AO448&lt;AQ448,AQ448&lt;AS448,AS448&lt;AU448,OR(AU448&lt;AW448,AW448="-"),OR(AW448&lt;AY448,AW448="-"))</f>
        <v>1</v>
      </c>
      <c r="BC448" s="23">
        <f t="shared" ref="BC448" si="4167">_xlfn.AGGREGATE(9,6,CH448:CS448)-_xlfn.AGGREGATE(9,6,BV448:CG448)+12</f>
        <v>242</v>
      </c>
      <c r="BD448" s="4" t="s">
        <v>23</v>
      </c>
      <c r="BE448" s="3" t="s">
        <v>1370</v>
      </c>
      <c r="BF448" s="118">
        <v>3.2</v>
      </c>
      <c r="BG448" s="49" t="s">
        <v>1</v>
      </c>
      <c r="BH448" s="49" t="s">
        <v>1</v>
      </c>
      <c r="BI448" s="1"/>
      <c r="BJ448" s="70" t="s">
        <v>1283</v>
      </c>
      <c r="BK448" s="57" t="s">
        <v>1283</v>
      </c>
      <c r="BL448" s="57" t="s">
        <v>1283</v>
      </c>
      <c r="BM448" s="57" t="s">
        <v>1283</v>
      </c>
      <c r="BN448" s="57" t="s">
        <v>1283</v>
      </c>
      <c r="BO448" s="57" t="s">
        <v>1283</v>
      </c>
      <c r="BP448" s="57" t="s">
        <v>1283</v>
      </c>
      <c r="BQ448" s="57" t="s">
        <v>1283</v>
      </c>
      <c r="BR448" s="57" t="s">
        <v>1283</v>
      </c>
      <c r="BS448" s="57" t="s">
        <v>1283</v>
      </c>
      <c r="BT448" s="57" t="s">
        <v>1283</v>
      </c>
      <c r="BU448" s="57" t="s">
        <v>1283</v>
      </c>
      <c r="BV448" s="70">
        <f t="shared" ref="BV448" si="4168">E448</f>
        <v>135</v>
      </c>
      <c r="BW448" s="71">
        <f t="shared" ref="BW448" si="4169">I448</f>
        <v>170</v>
      </c>
      <c r="BX448" s="72">
        <f t="shared" ref="BX448" si="4170">M448</f>
        <v>174</v>
      </c>
      <c r="BY448" s="71" t="str">
        <f t="shared" ref="BY448" si="4171">Q448</f>
        <v>-</v>
      </c>
      <c r="BZ448" s="72">
        <f t="shared" ref="BZ448" si="4172">U448</f>
        <v>224</v>
      </c>
      <c r="CA448" s="71" t="str">
        <f t="shared" ref="CA448" si="4173">Y448</f>
        <v>-</v>
      </c>
      <c r="CB448" s="72">
        <f t="shared" ref="CB448" si="4174">AC448</f>
        <v>263</v>
      </c>
      <c r="CC448" s="71">
        <f t="shared" ref="CC448" si="4175">AG448</f>
        <v>296</v>
      </c>
      <c r="CD448" s="72">
        <f t="shared" ref="CD448" si="4176">AK448</f>
        <v>306</v>
      </c>
      <c r="CE448" s="71">
        <f t="shared" ref="CE448" si="4177">AO448</f>
        <v>344</v>
      </c>
      <c r="CF448" s="72">
        <f t="shared" ref="CF448" si="4178">AS448</f>
        <v>376</v>
      </c>
      <c r="CG448" s="71">
        <f t="shared" ref="CG448" si="4179">AW448</f>
        <v>406</v>
      </c>
      <c r="CH448" s="70">
        <f t="shared" ref="CH448" si="4180">G448</f>
        <v>169</v>
      </c>
      <c r="CI448" s="71">
        <f t="shared" ref="CI448" si="4181">K448</f>
        <v>173</v>
      </c>
      <c r="CJ448" s="72">
        <f t="shared" ref="CJ448" si="4182">O448</f>
        <v>207</v>
      </c>
      <c r="CK448" s="72" t="str">
        <f t="shared" ref="CK448" si="4183">S448</f>
        <v>-</v>
      </c>
      <c r="CL448" s="72">
        <f t="shared" ref="CL448" si="4184">W448</f>
        <v>257</v>
      </c>
      <c r="CM448" s="72" t="str">
        <f t="shared" ref="CM448" si="4185">AA448</f>
        <v>-</v>
      </c>
      <c r="CN448" s="72">
        <f t="shared" ref="CN448" si="4186">AE448</f>
        <v>291</v>
      </c>
      <c r="CO448" s="72">
        <f t="shared" ref="CO448" si="4187">AI448</f>
        <v>298</v>
      </c>
      <c r="CP448" s="72">
        <f t="shared" ref="CP448" si="4188">AM448</f>
        <v>338</v>
      </c>
      <c r="CQ448" s="72">
        <f t="shared" ref="CQ448" si="4189">AQ448</f>
        <v>367</v>
      </c>
      <c r="CR448" s="72">
        <f t="shared" ref="CR448" si="4190">AU448</f>
        <v>403</v>
      </c>
      <c r="CS448" s="72">
        <f t="shared" ref="CS448" si="4191">AY448</f>
        <v>421</v>
      </c>
      <c r="CT448" s="23">
        <f t="shared" ref="CT448" si="4192">M448-K448</f>
        <v>1</v>
      </c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</row>
    <row r="449" spans="1:1030" x14ac:dyDescent="0.2">
      <c r="A449" s="3" t="str">
        <f t="shared" si="3997"/>
        <v>g1sgd4_rabit__wt</v>
      </c>
      <c r="B449" s="3" t="s">
        <v>1416</v>
      </c>
      <c r="C449" s="3" t="s">
        <v>100</v>
      </c>
      <c r="D449" s="3" t="str">
        <f>IFERROR(MID(VLOOKUP($B449,Seqs!$A:$B,2,0),E449,1),"")</f>
        <v>P</v>
      </c>
      <c r="E449" s="3">
        <v>137</v>
      </c>
      <c r="F449" s="3" t="str">
        <f>IFERROR(MID(VLOOKUP($B449,Seqs!$A:$B,2,0),G449,1),"")</f>
        <v>F</v>
      </c>
      <c r="G449" s="3">
        <v>169</v>
      </c>
      <c r="H449" s="3" t="str">
        <f>IFERROR(MID(VLOOKUP($B449,Seqs!$A:$B,2,0),I449,1),"")</f>
        <v>R</v>
      </c>
      <c r="I449" s="23">
        <v>170</v>
      </c>
      <c r="J449" s="3" t="str">
        <f>IFERROR(MID(VLOOKUP($B449,Seqs!$A:$B,2,0),K449,1),"")</f>
        <v>H</v>
      </c>
      <c r="K449" s="23">
        <v>173</v>
      </c>
      <c r="L449" s="3" t="str">
        <f>IFERROR(MID(VLOOKUP($B449,Seqs!$A:$B,2,0),M449,1),"")</f>
        <v>C</v>
      </c>
      <c r="M449" s="23">
        <v>174</v>
      </c>
      <c r="N449" s="3" t="str">
        <f>IFERROR(MID(VLOOKUP($B449,Seqs!$A:$B,2,0),O449,1),"")</f>
        <v>Q</v>
      </c>
      <c r="O449" s="3">
        <v>211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L</v>
      </c>
      <c r="U449" s="3">
        <v>224</v>
      </c>
      <c r="V449" s="3" t="str">
        <f>IFERROR(MID(VLOOKUP($B449,Seqs!$A:$B,2,0),W449,1),"")</f>
        <v>F</v>
      </c>
      <c r="W449" s="3">
        <v>257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S</v>
      </c>
      <c r="AC449" s="3">
        <v>261</v>
      </c>
      <c r="AD449" s="3" t="str">
        <f>IFERROR(MID(VLOOKUP($B449,Seqs!$A:$B,2,0),AE449,1),"")</f>
        <v>E</v>
      </c>
      <c r="AE449" s="3">
        <v>292</v>
      </c>
      <c r="AF449" s="3" t="str">
        <f>IFERROR(MID(VLOOKUP($B449,Seqs!$A:$B,2,0),AG449,1),"")</f>
        <v>C</v>
      </c>
      <c r="AG449" s="3">
        <v>296</v>
      </c>
      <c r="AH449" s="3" t="str">
        <f>IFERROR(MID(VLOOKUP($B449,Seqs!$A:$B,2,0),AI449,1),"")</f>
        <v>T</v>
      </c>
      <c r="AI449" s="3">
        <v>298</v>
      </c>
      <c r="AJ449" s="3" t="str">
        <f>IFERROR(MID(VLOOKUP($B449,Seqs!$A:$B,2,0),AK449,1),"")</f>
        <v>N</v>
      </c>
      <c r="AK449" s="105">
        <v>302</v>
      </c>
      <c r="AL449" s="3" t="str">
        <f>IFERROR(MID(VLOOKUP($B449,Seqs!$A:$B,2,0),AM449,1),"")</f>
        <v>A</v>
      </c>
      <c r="AM449" s="3">
        <v>337</v>
      </c>
      <c r="AN449" s="3" t="str">
        <f>IFERROR(MID(VLOOKUP($B449,Seqs!$A:$B,2,0),AO449,1),"")</f>
        <v>K</v>
      </c>
      <c r="AO449" s="3">
        <v>346</v>
      </c>
      <c r="AP449" s="3" t="str">
        <f>IFERROR(MID(VLOOKUP($B449,Seqs!$A:$B,2,0),AQ449,1),"")</f>
        <v>F</v>
      </c>
      <c r="AQ449" s="3">
        <v>369</v>
      </c>
      <c r="AR449" s="3" t="str">
        <f>IFERROR(MID(VLOOKUP($B449,Seqs!$A:$B,2,0),AS449,1),"")</f>
        <v>L</v>
      </c>
      <c r="AS449" s="3">
        <v>379</v>
      </c>
      <c r="AT449" s="3" t="str">
        <f>IFERROR(MID(VLOOKUP($B449,Seqs!$A:$B,2,0),AU449,1),"")</f>
        <v>V</v>
      </c>
      <c r="AU449" s="3">
        <v>405</v>
      </c>
      <c r="AV449" s="3" t="str">
        <f>IFERROR(MID(VLOOKUP($B449,Seqs!$A:$B,2,0),AW449,1),"")</f>
        <v>N</v>
      </c>
      <c r="AW449" s="3">
        <v>406</v>
      </c>
      <c r="AX449" s="3" t="str">
        <f>IFERROR(MID(VLOOKUP($B449,Seqs!$A:$B,2,0),AY449,1),"")</f>
        <v>S</v>
      </c>
      <c r="AY449" s="3">
        <v>431</v>
      </c>
      <c r="AZ449" s="77" t="str">
        <f>VLOOKUP(B449,Classification!A:D,2,0)</f>
        <v>B1</v>
      </c>
      <c r="BA449" s="94" t="str">
        <f>VLOOKUP(B449,Classification!A:D,4,0)</f>
        <v>Glucagonreceptorfamily</v>
      </c>
      <c r="BB449" s="27" t="b">
        <f t="shared" si="3998"/>
        <v>1</v>
      </c>
      <c r="BC449" s="23">
        <f t="shared" si="3999"/>
        <v>259</v>
      </c>
      <c r="BD449" s="4" t="s">
        <v>23</v>
      </c>
      <c r="BE449" s="3" t="s">
        <v>23</v>
      </c>
      <c r="BF449" s="118" t="s">
        <v>23</v>
      </c>
      <c r="BI449" s="1"/>
      <c r="BJ449" s="70" t="s">
        <v>1283</v>
      </c>
      <c r="BK449" s="57" t="s">
        <v>1283</v>
      </c>
      <c r="BL449" s="57" t="s">
        <v>1283</v>
      </c>
      <c r="BM449" s="57" t="s">
        <v>1283</v>
      </c>
      <c r="BN449" s="57" t="s">
        <v>1283</v>
      </c>
      <c r="BO449" s="57" t="s">
        <v>1283</v>
      </c>
      <c r="BP449" s="57" t="s">
        <v>1283</v>
      </c>
      <c r="BQ449" s="57" t="s">
        <v>1283</v>
      </c>
      <c r="BR449" s="57" t="s">
        <v>1283</v>
      </c>
      <c r="BS449" s="57" t="s">
        <v>1283</v>
      </c>
      <c r="BT449" s="57" t="s">
        <v>1283</v>
      </c>
      <c r="BU449" s="57" t="s">
        <v>1283</v>
      </c>
      <c r="BV449" s="70">
        <f t="shared" si="4000"/>
        <v>137</v>
      </c>
      <c r="BW449" s="71">
        <f t="shared" si="4001"/>
        <v>170</v>
      </c>
      <c r="BX449" s="72">
        <f t="shared" si="4002"/>
        <v>174</v>
      </c>
      <c r="BY449" s="71" t="str">
        <f t="shared" si="4003"/>
        <v>-</v>
      </c>
      <c r="BZ449" s="72">
        <f t="shared" si="4004"/>
        <v>224</v>
      </c>
      <c r="CA449" s="71" t="str">
        <f t="shared" si="4005"/>
        <v>-</v>
      </c>
      <c r="CB449" s="72">
        <f t="shared" si="4006"/>
        <v>261</v>
      </c>
      <c r="CC449" s="71">
        <f t="shared" si="4007"/>
        <v>296</v>
      </c>
      <c r="CD449" s="72">
        <f t="shared" si="4008"/>
        <v>302</v>
      </c>
      <c r="CE449" s="71">
        <f t="shared" si="4009"/>
        <v>346</v>
      </c>
      <c r="CF449" s="72">
        <f t="shared" si="4010"/>
        <v>379</v>
      </c>
      <c r="CG449" s="71">
        <f t="shared" si="4011"/>
        <v>406</v>
      </c>
      <c r="CH449" s="70">
        <f t="shared" si="4012"/>
        <v>169</v>
      </c>
      <c r="CI449" s="71">
        <f t="shared" si="4013"/>
        <v>173</v>
      </c>
      <c r="CJ449" s="72">
        <f t="shared" si="4014"/>
        <v>211</v>
      </c>
      <c r="CK449" s="72" t="str">
        <f t="shared" si="4015"/>
        <v>-</v>
      </c>
      <c r="CL449" s="72">
        <f t="shared" si="4016"/>
        <v>257</v>
      </c>
      <c r="CM449" s="72" t="str">
        <f t="shared" si="4017"/>
        <v>-</v>
      </c>
      <c r="CN449" s="72">
        <f t="shared" si="4018"/>
        <v>292</v>
      </c>
      <c r="CO449" s="72">
        <f t="shared" si="4019"/>
        <v>298</v>
      </c>
      <c r="CP449" s="72">
        <f t="shared" si="4020"/>
        <v>337</v>
      </c>
      <c r="CQ449" s="72">
        <f t="shared" si="4021"/>
        <v>369</v>
      </c>
      <c r="CR449" s="72">
        <f t="shared" si="4022"/>
        <v>405</v>
      </c>
      <c r="CS449" s="72">
        <f t="shared" si="4023"/>
        <v>431</v>
      </c>
      <c r="CT449" s="23">
        <f t="shared" si="4024"/>
        <v>1</v>
      </c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</row>
    <row r="450" spans="1:1030" x14ac:dyDescent="0.2">
      <c r="A450" s="3" t="str">
        <f t="shared" si="3997"/>
        <v>g1sgd4_rabit_5VAI</v>
      </c>
      <c r="B450" s="3" t="s">
        <v>1416</v>
      </c>
      <c r="C450" s="3" t="s">
        <v>1417</v>
      </c>
      <c r="D450" s="3" t="str">
        <f>IFERROR(MID(VLOOKUP($B450,Seqs!$A:$B,2,0),E450,1),"")</f>
        <v>P</v>
      </c>
      <c r="E450" s="3">
        <v>137</v>
      </c>
      <c r="F450" s="3" t="str">
        <f>IFERROR(MID(VLOOKUP($B450,Seqs!$A:$B,2,0),G450,1),"")</f>
        <v>G</v>
      </c>
      <c r="G450" s="3">
        <v>168</v>
      </c>
      <c r="H450" s="3" t="str">
        <f>IFERROR(MID(VLOOKUP($B450,Seqs!$A:$B,2,0),I450,1),"")</f>
        <v>R</v>
      </c>
      <c r="I450" s="23">
        <v>170</v>
      </c>
      <c r="J450" s="3" t="str">
        <f>IFERROR(MID(VLOOKUP($B450,Seqs!$A:$B,2,0),K450,1),"")</f>
        <v>H</v>
      </c>
      <c r="K450" s="23">
        <v>173</v>
      </c>
      <c r="L450" s="3" t="str">
        <f>IFERROR(MID(VLOOKUP($B450,Seqs!$A:$B,2,0),M450,1),"")</f>
        <v>C</v>
      </c>
      <c r="M450" s="23">
        <v>174</v>
      </c>
      <c r="N450" s="3" t="str">
        <f>IFERROR(MID(VLOOKUP($B450,Seqs!$A:$B,2,0),O450,1),"")</f>
        <v>Q</v>
      </c>
      <c r="O450" s="3">
        <v>211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L</v>
      </c>
      <c r="U450" s="3">
        <v>224</v>
      </c>
      <c r="V450" s="3" t="str">
        <f>IFERROR(MID(VLOOKUP($B450,Seqs!$A:$B,2,0),W450,1),"")</f>
        <v>F</v>
      </c>
      <c r="W450" s="3">
        <v>257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S</v>
      </c>
      <c r="AC450" s="3">
        <v>261</v>
      </c>
      <c r="AD450" s="3" t="str">
        <f>IFERROR(MID(VLOOKUP($B450,Seqs!$A:$B,2,0),AE450,1),"")</f>
        <v>E</v>
      </c>
      <c r="AE450" s="3">
        <v>292</v>
      </c>
      <c r="AF450" s="3" t="str">
        <f>IFERROR(MID(VLOOKUP($B450,Seqs!$A:$B,2,0),AG450,1),"")</f>
        <v>C</v>
      </c>
      <c r="AG450" s="3">
        <v>296</v>
      </c>
      <c r="AH450" s="3" t="str">
        <f>IFERROR(MID(VLOOKUP($B450,Seqs!$A:$B,2,0),AI450,1),"")</f>
        <v>T</v>
      </c>
      <c r="AI450" s="3">
        <v>298</v>
      </c>
      <c r="AJ450" s="3" t="str">
        <f>IFERROR(MID(VLOOKUP($B450,Seqs!$A:$B,2,0),AK450,1),"")</f>
        <v>Y</v>
      </c>
      <c r="AK450" s="3">
        <v>305</v>
      </c>
      <c r="AL450" s="3" t="str">
        <f>IFERROR(MID(VLOOKUP($B450,Seqs!$A:$B,2,0),AM450,1),"")</f>
        <v>A</v>
      </c>
      <c r="AM450" s="3">
        <v>337</v>
      </c>
      <c r="AN450" s="3" t="str">
        <f>IFERROR(MID(VLOOKUP($B450,Seqs!$A:$B,2,0),AO450,1),"")</f>
        <v>K</v>
      </c>
      <c r="AO450" s="3">
        <v>346</v>
      </c>
      <c r="AP450" s="3" t="str">
        <f>IFERROR(MID(VLOOKUP($B450,Seqs!$A:$B,2,0),AQ450,1),"")</f>
        <v>F</v>
      </c>
      <c r="AQ450" s="3">
        <v>369</v>
      </c>
      <c r="AR450" s="3" t="str">
        <f>IFERROR(MID(VLOOKUP($B450,Seqs!$A:$B,2,0),AS450,1),"")</f>
        <v>L</v>
      </c>
      <c r="AS450" s="3">
        <v>379</v>
      </c>
      <c r="AT450" s="3" t="str">
        <f>IFERROR(MID(VLOOKUP($B450,Seqs!$A:$B,2,0),AU450,1),"")</f>
        <v>V</v>
      </c>
      <c r="AU450" s="3">
        <v>405</v>
      </c>
      <c r="AV450" s="3" t="str">
        <f>IFERROR(MID(VLOOKUP($B450,Seqs!$A:$B,2,0),AW450,1),"")</f>
        <v>N</v>
      </c>
      <c r="AW450" s="3">
        <v>406</v>
      </c>
      <c r="AX450" s="3" t="str">
        <f>IFERROR(MID(VLOOKUP($B450,Seqs!$A:$B,2,0),AY450,1),"")</f>
        <v>R</v>
      </c>
      <c r="AY450" s="3">
        <v>421</v>
      </c>
      <c r="AZ450" s="77" t="str">
        <f>VLOOKUP(B450,Classification!A:D,2,0)</f>
        <v>B1</v>
      </c>
      <c r="BA450" s="94" t="str">
        <f>VLOOKUP(B450,Classification!A:D,4,0)</f>
        <v>Glucagonreceptorfamily</v>
      </c>
      <c r="BB450" s="27" t="b">
        <f t="shared" si="3998"/>
        <v>1</v>
      </c>
      <c r="BC450" s="23">
        <f t="shared" si="3999"/>
        <v>245</v>
      </c>
      <c r="BD450" s="4" t="s">
        <v>23</v>
      </c>
      <c r="BE450" s="3" t="s">
        <v>1287</v>
      </c>
      <c r="BF450" s="118">
        <v>4.0999999999999996</v>
      </c>
      <c r="BG450" s="49" t="s">
        <v>1418</v>
      </c>
      <c r="BH450" s="49" t="s">
        <v>1418</v>
      </c>
      <c r="BI450" s="1"/>
      <c r="BJ450" s="70" t="s">
        <v>1283</v>
      </c>
      <c r="BK450" s="57" t="s">
        <v>1283</v>
      </c>
      <c r="BL450" s="57" t="s">
        <v>1283</v>
      </c>
      <c r="BM450" s="57" t="s">
        <v>1283</v>
      </c>
      <c r="BN450" s="57" t="s">
        <v>1283</v>
      </c>
      <c r="BO450" s="57" t="s">
        <v>1283</v>
      </c>
      <c r="BP450" s="57" t="s">
        <v>1283</v>
      </c>
      <c r="BQ450" s="57" t="s">
        <v>1283</v>
      </c>
      <c r="BR450" s="57" t="s">
        <v>1283</v>
      </c>
      <c r="BS450" s="57" t="s">
        <v>1283</v>
      </c>
      <c r="BT450" s="57" t="s">
        <v>1283</v>
      </c>
      <c r="BU450" s="57" t="s">
        <v>1283</v>
      </c>
      <c r="BV450" s="70">
        <f t="shared" si="4000"/>
        <v>137</v>
      </c>
      <c r="BW450" s="71">
        <f t="shared" si="4001"/>
        <v>170</v>
      </c>
      <c r="BX450" s="72">
        <f t="shared" si="4002"/>
        <v>174</v>
      </c>
      <c r="BY450" s="71" t="str">
        <f t="shared" si="4003"/>
        <v>-</v>
      </c>
      <c r="BZ450" s="72">
        <f t="shared" si="4004"/>
        <v>224</v>
      </c>
      <c r="CA450" s="71" t="str">
        <f t="shared" si="4005"/>
        <v>-</v>
      </c>
      <c r="CB450" s="72">
        <f t="shared" si="4006"/>
        <v>261</v>
      </c>
      <c r="CC450" s="71">
        <f t="shared" si="4007"/>
        <v>296</v>
      </c>
      <c r="CD450" s="72">
        <f t="shared" si="4008"/>
        <v>305</v>
      </c>
      <c r="CE450" s="71">
        <f t="shared" si="4009"/>
        <v>346</v>
      </c>
      <c r="CF450" s="72">
        <f t="shared" si="4010"/>
        <v>379</v>
      </c>
      <c r="CG450" s="71">
        <f t="shared" si="4011"/>
        <v>406</v>
      </c>
      <c r="CH450" s="70">
        <f t="shared" si="4012"/>
        <v>168</v>
      </c>
      <c r="CI450" s="71">
        <f t="shared" si="4013"/>
        <v>173</v>
      </c>
      <c r="CJ450" s="72">
        <f t="shared" si="4014"/>
        <v>211</v>
      </c>
      <c r="CK450" s="72" t="str">
        <f t="shared" si="4015"/>
        <v>-</v>
      </c>
      <c r="CL450" s="72">
        <f t="shared" si="4016"/>
        <v>257</v>
      </c>
      <c r="CM450" s="72" t="str">
        <f t="shared" si="4017"/>
        <v>-</v>
      </c>
      <c r="CN450" s="72">
        <f t="shared" si="4018"/>
        <v>292</v>
      </c>
      <c r="CO450" s="72">
        <f t="shared" si="4019"/>
        <v>298</v>
      </c>
      <c r="CP450" s="72">
        <f t="shared" si="4020"/>
        <v>337</v>
      </c>
      <c r="CQ450" s="72">
        <f t="shared" si="4021"/>
        <v>369</v>
      </c>
      <c r="CR450" s="72">
        <f t="shared" si="4022"/>
        <v>405</v>
      </c>
      <c r="CS450" s="72">
        <f t="shared" si="4023"/>
        <v>421</v>
      </c>
      <c r="CT450" s="23">
        <f t="shared" si="4024"/>
        <v>1</v>
      </c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</row>
    <row r="451" spans="1:1030" x14ac:dyDescent="0.2">
      <c r="A451" s="3" t="str">
        <f t="shared" ref="A451:A452" si="4193">CONCATENATE(B451,"_",C451)</f>
        <v>pacr_human__wt</v>
      </c>
      <c r="B451" s="3" t="s">
        <v>407</v>
      </c>
      <c r="C451" s="3" t="s">
        <v>100</v>
      </c>
      <c r="D451" s="3" t="str">
        <f>IFERROR(MID(VLOOKUP($B451,Seqs!$A:$B,2,0),E451,1),"")</f>
        <v>Y</v>
      </c>
      <c r="E451" s="3">
        <v>139</v>
      </c>
      <c r="F451" s="3" t="str">
        <f>IFERROR(MID(VLOOKUP($B451,Seqs!$A:$B,2,0),G451,1),"")</f>
        <v>F</v>
      </c>
      <c r="G451" s="3">
        <v>178</v>
      </c>
      <c r="H451" s="3" t="str">
        <f>IFERROR(MID(VLOOKUP($B451,Seqs!$A:$B,2,0),I451,1),"")</f>
        <v>R</v>
      </c>
      <c r="I451" s="23">
        <v>179</v>
      </c>
      <c r="J451" s="3" t="str">
        <f>IFERROR(MID(VLOOKUP($B451,Seqs!$A:$B,2,0),K451,1),"")</f>
        <v>H</v>
      </c>
      <c r="K451" s="23">
        <v>182</v>
      </c>
      <c r="L451" s="3" t="str">
        <f>IFERROR(MID(VLOOKUP($B451,Seqs!$A:$B,2,0),M451,1),"")</f>
        <v>C</v>
      </c>
      <c r="M451" s="23">
        <v>183</v>
      </c>
      <c r="N451" s="3" t="str">
        <f>IFERROR(MID(VLOOKUP($B451,Seqs!$A:$B,2,0),O451,1),"")</f>
        <v>L</v>
      </c>
      <c r="O451" s="3">
        <v>210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T</v>
      </c>
      <c r="U451" s="3">
        <v>223</v>
      </c>
      <c r="V451" s="3" t="str">
        <f>IFERROR(MID(VLOOKUP($B451,Seqs!$A:$B,2,0),W451,1),"")</f>
        <v>E</v>
      </c>
      <c r="W451" s="3">
        <v>257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R</v>
      </c>
      <c r="AC451" s="3">
        <v>264</v>
      </c>
      <c r="AD451" s="3" t="str">
        <f>IFERROR(MID(VLOOKUP($B451,Seqs!$A:$B,2,0),AE451,1),"")</f>
        <v>D</v>
      </c>
      <c r="AE451" s="3">
        <v>292</v>
      </c>
      <c r="AF451" s="3" t="str">
        <f>IFERROR(MID(VLOOKUP($B451,Seqs!$A:$B,2,0),AG451,1),"")</f>
        <v>C</v>
      </c>
      <c r="AG451" s="3">
        <v>296</v>
      </c>
      <c r="AH451" s="3" t="str">
        <f>IFERROR(MID(VLOOKUP($B451,Seqs!$A:$B,2,0),AI451,1),"")</f>
        <v>D</v>
      </c>
      <c r="AI451" s="3">
        <v>298</v>
      </c>
      <c r="AJ451" s="3" t="str">
        <f>IFERROR(MID(VLOOKUP($B451,Seqs!$A:$B,2,0),AK451,1),"")</f>
        <v>S</v>
      </c>
      <c r="AK451" s="3">
        <v>302</v>
      </c>
      <c r="AL451" s="3" t="str">
        <f>IFERROR(MID(VLOOKUP($B451,Seqs!$A:$B,2,0),AM451,1),"")</f>
        <v>L</v>
      </c>
      <c r="AM451" s="3">
        <v>335</v>
      </c>
      <c r="AN451" s="3" t="str">
        <f>IFERROR(MID(VLOOKUP($B451,Seqs!$A:$B,2,0),AO451,1),"")</f>
        <v>N</v>
      </c>
      <c r="AO451" s="3">
        <v>343</v>
      </c>
      <c r="AP451" s="3" t="str">
        <f>IFERROR(MID(VLOOKUP($B451,Seqs!$A:$B,2,0),AQ451,1),"")</f>
        <v>S</v>
      </c>
      <c r="AQ451" s="3">
        <v>372</v>
      </c>
      <c r="AR451" s="3" t="str">
        <f>IFERROR(MID(VLOOKUP($B451,Seqs!$A:$B,2,0),AS451,1),"")</f>
        <v>K</v>
      </c>
      <c r="AS451" s="3">
        <v>378</v>
      </c>
      <c r="AT451" s="3" t="str">
        <f>IFERROR(MID(VLOOKUP($B451,Seqs!$A:$B,2,0),AU451,1),"")</f>
        <v>L</v>
      </c>
      <c r="AU451" s="3">
        <v>403</v>
      </c>
      <c r="AV451" s="3" t="str">
        <f>IFERROR(MID(VLOOKUP($B451,Seqs!$A:$B,2,0),AW451,1),"")</f>
        <v>N</v>
      </c>
      <c r="AW451" s="3">
        <v>404</v>
      </c>
      <c r="AX451" s="3" t="str">
        <f>IFERROR(MID(VLOOKUP($B451,Seqs!$A:$B,2,0),AY451,1),"")</f>
        <v>K</v>
      </c>
      <c r="AY451" s="3">
        <v>429</v>
      </c>
      <c r="AZ451" s="77" t="str">
        <f>VLOOKUP(B451,Classification!A:D,2,0)</f>
        <v>B1</v>
      </c>
      <c r="BA451" s="94" t="str">
        <f>VLOOKUP(B451,Classification!A:D,4,0)</f>
        <v>VIPandPACAP</v>
      </c>
      <c r="BB451" s="27" t="b">
        <f t="shared" ref="BB451:BB452" si="4194">AND(E451&lt;G451,OR(G451&lt;I451,I451="-"),OR(I451&lt;K451,I451="-"),OR(K451&lt;M451,K451="-"),M451&lt;O451,OR(O451&lt;Q451,Q451="-"),OR(Q451&lt;S451,Q451="-"),OR(S451&lt;U451,S451="-"),U451&lt;W451,OR(W451&lt;Y451,Y451="-"),OR(Y451&lt;AA451,Y451="-"),OR(AA451&lt;AC451,AA451="-"),AC451&lt;AE451,OR(AE451&lt;AG451,AG451="-"),OR(AG451&lt;AI451,AG451="-"),OR(AI451&lt;AK451,AI451="-"),AK451&lt;AM451,AM451&lt;AO451,AO451&lt;AQ451,AQ451&lt;AS451,AS451&lt;AU451,OR(AU451&lt;AW451,AW451="-"),OR(AW451&lt;AY451,AW451="-"))</f>
        <v>1</v>
      </c>
      <c r="BC451" s="23">
        <f t="shared" ref="BC451:BC452" si="4195">_xlfn.AGGREGATE(9,6,CH451:CS451)-_xlfn.AGGREGATE(9,6,BV451:CG451)+12</f>
        <v>257</v>
      </c>
      <c r="BD451" s="4" t="s">
        <v>23</v>
      </c>
      <c r="BE451" s="3" t="s">
        <v>23</v>
      </c>
      <c r="BF451" s="118" t="s">
        <v>23</v>
      </c>
      <c r="BG451" s="49" t="s">
        <v>23</v>
      </c>
      <c r="BH451" s="49" t="s">
        <v>23</v>
      </c>
      <c r="BI451" s="1"/>
      <c r="BJ451" s="70" t="s">
        <v>1283</v>
      </c>
      <c r="BK451" s="57" t="s">
        <v>1283</v>
      </c>
      <c r="BL451" s="57" t="s">
        <v>1283</v>
      </c>
      <c r="BM451" s="57" t="s">
        <v>1283</v>
      </c>
      <c r="BN451" s="57" t="s">
        <v>1283</v>
      </c>
      <c r="BO451" s="57" t="s">
        <v>1283</v>
      </c>
      <c r="BP451" s="57" t="s">
        <v>1283</v>
      </c>
      <c r="BQ451" s="57" t="s">
        <v>1283</v>
      </c>
      <c r="BR451" s="57" t="s">
        <v>1283</v>
      </c>
      <c r="BS451" s="57" t="s">
        <v>1283</v>
      </c>
      <c r="BT451" s="57" t="s">
        <v>1283</v>
      </c>
      <c r="BU451" s="57" t="s">
        <v>1283</v>
      </c>
      <c r="BV451" s="70">
        <f t="shared" ref="BV451:BV452" si="4196">E451</f>
        <v>139</v>
      </c>
      <c r="BW451" s="71">
        <f t="shared" ref="BW451:BW452" si="4197">I451</f>
        <v>179</v>
      </c>
      <c r="BX451" s="72">
        <f t="shared" ref="BX451:BX452" si="4198">M451</f>
        <v>183</v>
      </c>
      <c r="BY451" s="71" t="str">
        <f t="shared" ref="BY451:BY452" si="4199">Q451</f>
        <v>-</v>
      </c>
      <c r="BZ451" s="72">
        <f t="shared" ref="BZ451:BZ452" si="4200">U451</f>
        <v>223</v>
      </c>
      <c r="CA451" s="71" t="str">
        <f t="shared" ref="CA451:CA452" si="4201">Y451</f>
        <v>-</v>
      </c>
      <c r="CB451" s="72">
        <f t="shared" ref="CB451:CB452" si="4202">AC451</f>
        <v>264</v>
      </c>
      <c r="CC451" s="71">
        <f t="shared" ref="CC451:CC452" si="4203">AG451</f>
        <v>296</v>
      </c>
      <c r="CD451" s="72">
        <f t="shared" ref="CD451:CD452" si="4204">AK451</f>
        <v>302</v>
      </c>
      <c r="CE451" s="71">
        <f t="shared" ref="CE451:CE452" si="4205">AO451</f>
        <v>343</v>
      </c>
      <c r="CF451" s="72">
        <f t="shared" ref="CF451:CF452" si="4206">AS451</f>
        <v>378</v>
      </c>
      <c r="CG451" s="71">
        <f t="shared" ref="CG451:CG452" si="4207">AW451</f>
        <v>404</v>
      </c>
      <c r="CH451" s="70">
        <f t="shared" ref="CH451:CH452" si="4208">G451</f>
        <v>178</v>
      </c>
      <c r="CI451" s="71">
        <f t="shared" ref="CI451:CI452" si="4209">K451</f>
        <v>182</v>
      </c>
      <c r="CJ451" s="72">
        <f t="shared" ref="CJ451:CJ452" si="4210">O451</f>
        <v>210</v>
      </c>
      <c r="CK451" s="72" t="str">
        <f t="shared" ref="CK451:CK452" si="4211">S451</f>
        <v>-</v>
      </c>
      <c r="CL451" s="72">
        <f t="shared" ref="CL451:CL452" si="4212">W451</f>
        <v>257</v>
      </c>
      <c r="CM451" s="72" t="str">
        <f t="shared" ref="CM451:CM452" si="4213">AA451</f>
        <v>-</v>
      </c>
      <c r="CN451" s="72">
        <f t="shared" ref="CN451:CN452" si="4214">AE451</f>
        <v>292</v>
      </c>
      <c r="CO451" s="72">
        <f t="shared" ref="CO451:CO452" si="4215">AI451</f>
        <v>298</v>
      </c>
      <c r="CP451" s="72">
        <f t="shared" ref="CP451:CP452" si="4216">AM451</f>
        <v>335</v>
      </c>
      <c r="CQ451" s="72">
        <f t="shared" ref="CQ451:CQ452" si="4217">AQ451</f>
        <v>372</v>
      </c>
      <c r="CR451" s="72">
        <f t="shared" ref="CR451:CR452" si="4218">AU451</f>
        <v>403</v>
      </c>
      <c r="CS451" s="72">
        <f t="shared" ref="CS451:CS452" si="4219">AY451</f>
        <v>429</v>
      </c>
      <c r="CT451" s="23">
        <f t="shared" ref="CT451:CT452" si="4220">M451-K451</f>
        <v>1</v>
      </c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</row>
    <row r="452" spans="1:1030" x14ac:dyDescent="0.2">
      <c r="A452" s="3" t="str">
        <f t="shared" si="4193"/>
        <v>pacr_human_6P9Y</v>
      </c>
      <c r="B452" s="3" t="s">
        <v>407</v>
      </c>
      <c r="C452" s="3" t="s">
        <v>1641</v>
      </c>
      <c r="D452" s="3" t="str">
        <f>IFERROR(MID(VLOOKUP($B452,Seqs!$A:$B,2,0),E452,1),"")</f>
        <v>Y</v>
      </c>
      <c r="E452" s="3">
        <v>149</v>
      </c>
      <c r="F452" s="3" t="str">
        <f>IFERROR(MID(VLOOKUP($B452,Seqs!$A:$B,2,0),G452,1),"")</f>
        <v>F</v>
      </c>
      <c r="G452" s="3">
        <v>178</v>
      </c>
      <c r="H452" s="3" t="str">
        <f>IFERROR(MID(VLOOKUP($B452,Seqs!$A:$B,2,0),I452,1),"")</f>
        <v/>
      </c>
      <c r="I452" s="23" t="s">
        <v>23</v>
      </c>
      <c r="J452" s="3" t="str">
        <f>IFERROR(MID(VLOOKUP($B452,Seqs!$A:$B,2,0),K452,1),"")</f>
        <v/>
      </c>
      <c r="K452" s="23" t="s">
        <v>23</v>
      </c>
      <c r="L452" s="3" t="str">
        <f>IFERROR(MID(VLOOKUP($B452,Seqs!$A:$B,2,0),M452,1),"")</f>
        <v>C</v>
      </c>
      <c r="M452" s="23">
        <v>183</v>
      </c>
      <c r="N452" s="3" t="str">
        <f>IFERROR(MID(VLOOKUP($B452,Seqs!$A:$B,2,0),O452,1),"")</f>
        <v>Y</v>
      </c>
      <c r="O452" s="3">
        <v>211</v>
      </c>
      <c r="P452" s="3" t="str">
        <f>IFERROR(MID(VLOOKUP($B452,Seqs!$A:$B,2,0),Q452,1),"")</f>
        <v/>
      </c>
      <c r="Q452" s="3" t="s">
        <v>23</v>
      </c>
      <c r="R452" s="3" t="str">
        <f>IFERROR(MID(VLOOKUP($B452,Seqs!$A:$B,2,0),S452,1),"")</f>
        <v/>
      </c>
      <c r="S452" s="3" t="s">
        <v>23</v>
      </c>
      <c r="T452" s="3" t="str">
        <f>IFERROR(MID(VLOOKUP($B452,Seqs!$A:$B,2,0),U452,1),"")</f>
        <v>T</v>
      </c>
      <c r="U452" s="3">
        <v>223</v>
      </c>
      <c r="V452" s="3" t="str">
        <f>IFERROR(MID(VLOOKUP($B452,Seqs!$A:$B,2,0),W452,1),"")</f>
        <v>V</v>
      </c>
      <c r="W452" s="3">
        <v>256</v>
      </c>
      <c r="X452" s="3" t="str">
        <f>IFERROR(MID(VLOOKUP($B452,Seqs!$A:$B,2,0),Y452,1),"")</f>
        <v/>
      </c>
      <c r="Y452" s="3" t="s">
        <v>23</v>
      </c>
      <c r="Z452" s="3" t="str">
        <f>IFERROR(MID(VLOOKUP($B452,Seqs!$A:$B,2,0),AA452,1),"")</f>
        <v/>
      </c>
      <c r="AA452" s="3" t="s">
        <v>23</v>
      </c>
      <c r="AB452" s="3" t="str">
        <f>IFERROR(MID(VLOOKUP($B452,Seqs!$A:$B,2,0),AC452,1),"")</f>
        <v>R</v>
      </c>
      <c r="AC452" s="3">
        <v>264</v>
      </c>
      <c r="AD452" s="3" t="str">
        <f>IFERROR(MID(VLOOKUP($B452,Seqs!$A:$B,2,0),AE452,1),"")</f>
        <v>F</v>
      </c>
      <c r="AE452" s="3">
        <v>291</v>
      </c>
      <c r="AF452" s="3" t="str">
        <f>IFERROR(MID(VLOOKUP($B452,Seqs!$A:$B,2,0),AG452,1),"")</f>
        <v>C</v>
      </c>
      <c r="AG452" s="3">
        <v>296</v>
      </c>
      <c r="AH452" s="3" t="str">
        <f>IFERROR(MID(VLOOKUP($B452,Seqs!$A:$B,2,0),AI452,1),"")</f>
        <v>D</v>
      </c>
      <c r="AI452" s="3">
        <v>298</v>
      </c>
      <c r="AJ452" s="3" t="str">
        <f>IFERROR(MID(VLOOKUP($B452,Seqs!$A:$B,2,0),AK452,1),"")</f>
        <v>S</v>
      </c>
      <c r="AK452" s="3">
        <v>302</v>
      </c>
      <c r="AL452" s="3" t="str">
        <f>IFERROR(MID(VLOOKUP($B452,Seqs!$A:$B,2,0),AM452,1),"")</f>
        <v>S</v>
      </c>
      <c r="AM452" s="3">
        <v>337</v>
      </c>
      <c r="AN452" s="3" t="str">
        <f>IFERROR(MID(VLOOKUP($B452,Seqs!$A:$B,2,0),AO452,1),"")</f>
        <v>S</v>
      </c>
      <c r="AO452" s="3">
        <v>346</v>
      </c>
      <c r="AP452" s="3" t="str">
        <f>IFERROR(MID(VLOOKUP($B452,Seqs!$A:$B,2,0),AQ452,1),"")</f>
        <v>A</v>
      </c>
      <c r="AQ452" s="3">
        <v>370</v>
      </c>
      <c r="AR452" s="3" t="str">
        <f>IFERROR(MID(VLOOKUP($B452,Seqs!$A:$B,2,0),AS452,1),"")</f>
        <v>K</v>
      </c>
      <c r="AS452" s="3">
        <v>378</v>
      </c>
      <c r="AT452" s="3" t="str">
        <f>IFERROR(MID(VLOOKUP($B452,Seqs!$A:$B,2,0),AU452,1),"")</f>
        <v>L</v>
      </c>
      <c r="AU452" s="3">
        <v>403</v>
      </c>
      <c r="AV452" s="3" t="str">
        <f>IFERROR(MID(VLOOKUP($B452,Seqs!$A:$B,2,0),AW452,1),"")</f>
        <v>N</v>
      </c>
      <c r="AW452" s="3">
        <v>404</v>
      </c>
      <c r="AX452" s="3" t="str">
        <f>IFERROR(MID(VLOOKUP($B452,Seqs!$A:$B,2,0),AY452,1),"")</f>
        <v>W</v>
      </c>
      <c r="AY452" s="3">
        <v>418</v>
      </c>
      <c r="AZ452" s="77" t="str">
        <f>VLOOKUP(B452,Classification!A:D,2,0)</f>
        <v>B1</v>
      </c>
      <c r="BA452" s="94" t="str">
        <f>VLOOKUP(B452,Classification!A:D,4,0)</f>
        <v>VIPandPACAP</v>
      </c>
      <c r="BB452" s="27" t="b">
        <f t="shared" si="4194"/>
        <v>1</v>
      </c>
      <c r="BC452" s="23">
        <f t="shared" si="4195"/>
        <v>229</v>
      </c>
      <c r="BD452" s="4" t="s">
        <v>1371</v>
      </c>
      <c r="BE452" s="3" t="s">
        <v>1287</v>
      </c>
      <c r="BF452" s="118">
        <v>3.01</v>
      </c>
      <c r="BG452" s="49" t="s">
        <v>1418</v>
      </c>
      <c r="BH452" s="49" t="s">
        <v>1418</v>
      </c>
      <c r="BI452" s="1"/>
      <c r="BJ452" s="70" t="s">
        <v>1283</v>
      </c>
      <c r="BK452" s="57" t="s">
        <v>1283</v>
      </c>
      <c r="BL452" s="57" t="s">
        <v>1283</v>
      </c>
      <c r="BM452" s="57" t="s">
        <v>1283</v>
      </c>
      <c r="BN452" s="57" t="s">
        <v>1283</v>
      </c>
      <c r="BO452" s="57" t="s">
        <v>1283</v>
      </c>
      <c r="BP452" s="57" t="s">
        <v>1283</v>
      </c>
      <c r="BQ452" s="57" t="s">
        <v>1283</v>
      </c>
      <c r="BR452" s="57" t="s">
        <v>1283</v>
      </c>
      <c r="BS452" s="57" t="s">
        <v>1283</v>
      </c>
      <c r="BT452" s="57" t="s">
        <v>1283</v>
      </c>
      <c r="BU452" s="57" t="s">
        <v>1283</v>
      </c>
      <c r="BV452" s="70">
        <f t="shared" si="4196"/>
        <v>149</v>
      </c>
      <c r="BW452" s="71" t="str">
        <f t="shared" si="4197"/>
        <v>-</v>
      </c>
      <c r="BX452" s="72">
        <f t="shared" si="4198"/>
        <v>183</v>
      </c>
      <c r="BY452" s="71" t="str">
        <f t="shared" si="4199"/>
        <v>-</v>
      </c>
      <c r="BZ452" s="72">
        <f t="shared" si="4200"/>
        <v>223</v>
      </c>
      <c r="CA452" s="71" t="str">
        <f t="shared" si="4201"/>
        <v>-</v>
      </c>
      <c r="CB452" s="72">
        <f t="shared" si="4202"/>
        <v>264</v>
      </c>
      <c r="CC452" s="71">
        <f t="shared" si="4203"/>
        <v>296</v>
      </c>
      <c r="CD452" s="72">
        <f t="shared" si="4204"/>
        <v>302</v>
      </c>
      <c r="CE452" s="71">
        <f t="shared" si="4205"/>
        <v>346</v>
      </c>
      <c r="CF452" s="72">
        <f t="shared" si="4206"/>
        <v>378</v>
      </c>
      <c r="CG452" s="71">
        <f t="shared" si="4207"/>
        <v>404</v>
      </c>
      <c r="CH452" s="70">
        <f t="shared" si="4208"/>
        <v>178</v>
      </c>
      <c r="CI452" s="71" t="str">
        <f t="shared" si="4209"/>
        <v>-</v>
      </c>
      <c r="CJ452" s="72">
        <f t="shared" si="4210"/>
        <v>211</v>
      </c>
      <c r="CK452" s="72" t="str">
        <f t="shared" si="4211"/>
        <v>-</v>
      </c>
      <c r="CL452" s="72">
        <f t="shared" si="4212"/>
        <v>256</v>
      </c>
      <c r="CM452" s="72" t="str">
        <f t="shared" si="4213"/>
        <v>-</v>
      </c>
      <c r="CN452" s="72">
        <f t="shared" si="4214"/>
        <v>291</v>
      </c>
      <c r="CO452" s="72">
        <f t="shared" si="4215"/>
        <v>298</v>
      </c>
      <c r="CP452" s="72">
        <f t="shared" si="4216"/>
        <v>337</v>
      </c>
      <c r="CQ452" s="72">
        <f t="shared" si="4217"/>
        <v>370</v>
      </c>
      <c r="CR452" s="72">
        <f t="shared" si="4218"/>
        <v>403</v>
      </c>
      <c r="CS452" s="72">
        <f t="shared" si="4219"/>
        <v>418</v>
      </c>
      <c r="CT452" s="23" t="e">
        <f t="shared" si="4220"/>
        <v>#VALUE!</v>
      </c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  <c r="AMK452" s="1"/>
      <c r="AML452" s="1"/>
      <c r="AMM452" s="1"/>
      <c r="AMN452" s="1"/>
      <c r="AMO452" s="1"/>
    </row>
    <row r="453" spans="1:1030" x14ac:dyDescent="0.2">
      <c r="A453" s="3" t="str">
        <f t="shared" ref="A453" si="4221">CONCATENATE(B453,"_",C453)</f>
        <v>pacr_human_6LPB</v>
      </c>
      <c r="B453" s="3" t="s">
        <v>407</v>
      </c>
      <c r="C453" s="3" t="s">
        <v>1673</v>
      </c>
      <c r="D453" s="3" t="str">
        <f>IFERROR(MID(VLOOKUP($B453,Seqs!$A:$B,2,0),E453,1),"")</f>
        <v>Q</v>
      </c>
      <c r="E453" s="3">
        <v>146</v>
      </c>
      <c r="F453" s="3" t="str">
        <f>IFERROR(MID(VLOOKUP($B453,Seqs!$A:$B,2,0),G453,1),"")</f>
        <v>C</v>
      </c>
      <c r="G453" s="3">
        <v>176</v>
      </c>
      <c r="H453" s="3" t="str">
        <f>IFERROR(MID(VLOOKUP($B453,Seqs!$A:$B,2,0),I453,1),"")</f>
        <v/>
      </c>
      <c r="I453" s="23" t="s">
        <v>23</v>
      </c>
      <c r="J453" s="3" t="str">
        <f>IFERROR(MID(VLOOKUP($B453,Seqs!$A:$B,2,0),K453,1),"")</f>
        <v/>
      </c>
      <c r="K453" s="23" t="s">
        <v>23</v>
      </c>
      <c r="L453" s="3" t="str">
        <f>IFERROR(MID(VLOOKUP($B453,Seqs!$A:$B,2,0),M453,1),"")</f>
        <v>T</v>
      </c>
      <c r="M453" s="23">
        <v>184</v>
      </c>
      <c r="N453" s="3" t="str">
        <f>IFERROR(MID(VLOOKUP($B453,Seqs!$A:$B,2,0),O453,1),"")</f>
        <v>Y</v>
      </c>
      <c r="O453" s="3">
        <v>211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T</v>
      </c>
      <c r="U453" s="3">
        <v>223</v>
      </c>
      <c r="V453" s="3" t="str">
        <f>IFERROR(MID(VLOOKUP($B453,Seqs!$A:$B,2,0),W453,1),"")</f>
        <v>E</v>
      </c>
      <c r="W453" s="3">
        <v>257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E</v>
      </c>
      <c r="AC453" s="3">
        <v>262</v>
      </c>
      <c r="AD453" s="3" t="str">
        <f>IFERROR(MID(VLOOKUP($B453,Seqs!$A:$B,2,0),AE453,1),"")</f>
        <v>Y</v>
      </c>
      <c r="AE453" s="3">
        <v>290</v>
      </c>
      <c r="AF453" s="3" t="str">
        <f>IFERROR(MID(VLOOKUP($B453,Seqs!$A:$B,2,0),AG453,1),"")</f>
        <v>C</v>
      </c>
      <c r="AG453" s="3">
        <v>296</v>
      </c>
      <c r="AH453" s="3" t="str">
        <f>IFERROR(MID(VLOOKUP($B453,Seqs!$A:$B,2,0),AI453,1),"")</f>
        <v>D</v>
      </c>
      <c r="AI453" s="3">
        <v>298</v>
      </c>
      <c r="AJ453" s="3" t="str">
        <f>IFERROR(MID(VLOOKUP($B453,Seqs!$A:$B,2,0),AK453,1),"")</f>
        <v>S</v>
      </c>
      <c r="AK453" s="3">
        <v>302</v>
      </c>
      <c r="AL453" s="3" t="str">
        <f>IFERROR(MID(VLOOKUP($B453,Seqs!$A:$B,2,0),AM453,1),"")</f>
        <v>Q</v>
      </c>
      <c r="AM453" s="3">
        <v>336</v>
      </c>
      <c r="AN453" s="3" t="str">
        <f>IFERROR(MID(VLOOKUP($B453,Seqs!$A:$B,2,0),AO453,1),"")</f>
        <v>I</v>
      </c>
      <c r="AO453" s="3">
        <v>347</v>
      </c>
      <c r="AP453" s="3" t="str">
        <f>IFERROR(MID(VLOOKUP($B453,Seqs!$A:$B,2,0),AQ453,1),"")</f>
        <v>V</v>
      </c>
      <c r="AQ453" s="3">
        <v>368</v>
      </c>
      <c r="AR453" s="3" t="str">
        <f>IFERROR(MID(VLOOKUP($B453,Seqs!$A:$B,2,0),AS453,1),"")</f>
        <v>S</v>
      </c>
      <c r="AS453" s="3">
        <v>377</v>
      </c>
      <c r="AT453" s="3" t="str">
        <f>IFERROR(MID(VLOOKUP($B453,Seqs!$A:$B,2,0),AU453,1),"")</f>
        <v>F</v>
      </c>
      <c r="AU453" s="3">
        <v>402</v>
      </c>
      <c r="AV453" s="3" t="str">
        <f>IFERROR(MID(VLOOKUP($B453,Seqs!$A:$B,2,0),AW453,1),"")</f>
        <v>G</v>
      </c>
      <c r="AW453" s="3">
        <v>405</v>
      </c>
      <c r="AX453" s="3" t="str">
        <f>IFERROR(MID(VLOOKUP($B453,Seqs!$A:$B,2,0),AY453,1),"")</f>
        <v>K</v>
      </c>
      <c r="AY453" s="3">
        <v>414</v>
      </c>
      <c r="AZ453" s="77" t="str">
        <f>VLOOKUP(B453,Classification!A:D,2,0)</f>
        <v>B1</v>
      </c>
      <c r="BA453" s="94" t="str">
        <f>VLOOKUP(B453,Classification!A:D,4,0)</f>
        <v>VIPandPACAP</v>
      </c>
      <c r="BB453" s="27" t="b">
        <f t="shared" ref="BB453" si="4222">AND(E453&lt;G453,OR(G453&lt;I453,I453="-"),OR(I453&lt;K453,I453="-"),OR(K453&lt;M453,K453="-"),M453&lt;O453,OR(O453&lt;Q453,Q453="-"),OR(Q453&lt;S453,Q453="-"),OR(S453&lt;U453,S453="-"),U453&lt;W453,OR(W453&lt;Y453,Y453="-"),OR(Y453&lt;AA453,Y453="-"),OR(AA453&lt;AC453,AA453="-"),AC453&lt;AE453,OR(AE453&lt;AG453,AG453="-"),OR(AG453&lt;AI453,AG453="-"),OR(AI453&lt;AK453,AI453="-"),AK453&lt;AM453,AM453&lt;AO453,AO453&lt;AQ453,AQ453&lt;AS453,AS453&lt;AU453,OR(AU453&lt;AW453,AW453="-"),OR(AW453&lt;AY453,AW453="-"))</f>
        <v>1</v>
      </c>
      <c r="BC453" s="23">
        <f t="shared" ref="BC453" si="4223">_xlfn.AGGREGATE(9,6,CH453:CS453)-_xlfn.AGGREGATE(9,6,BV453:CG453)+12</f>
        <v>222</v>
      </c>
      <c r="BD453" s="4" t="s">
        <v>23</v>
      </c>
      <c r="BE453" s="3" t="s">
        <v>1287</v>
      </c>
      <c r="BF453" s="118">
        <v>3.9</v>
      </c>
      <c r="BG453" s="49" t="s">
        <v>1418</v>
      </c>
      <c r="BH453" s="49" t="s">
        <v>1418</v>
      </c>
      <c r="BI453" s="1"/>
      <c r="BJ453" s="70" t="s">
        <v>1283</v>
      </c>
      <c r="BK453" s="57" t="s">
        <v>1283</v>
      </c>
      <c r="BL453" s="57" t="s">
        <v>1283</v>
      </c>
      <c r="BM453" s="57" t="s">
        <v>1283</v>
      </c>
      <c r="BN453" s="57" t="s">
        <v>1283</v>
      </c>
      <c r="BO453" s="57" t="s">
        <v>1283</v>
      </c>
      <c r="BP453" s="57" t="s">
        <v>1283</v>
      </c>
      <c r="BQ453" s="57" t="s">
        <v>1283</v>
      </c>
      <c r="BR453" s="57" t="s">
        <v>1283</v>
      </c>
      <c r="BS453" s="57" t="s">
        <v>1283</v>
      </c>
      <c r="BT453" s="57" t="s">
        <v>1283</v>
      </c>
      <c r="BU453" s="57" t="s">
        <v>1283</v>
      </c>
      <c r="BV453" s="70">
        <f t="shared" ref="BV453" si="4224">E453</f>
        <v>146</v>
      </c>
      <c r="BW453" s="71" t="str">
        <f t="shared" ref="BW453" si="4225">I453</f>
        <v>-</v>
      </c>
      <c r="BX453" s="72">
        <f t="shared" ref="BX453" si="4226">M453</f>
        <v>184</v>
      </c>
      <c r="BY453" s="71" t="str">
        <f t="shared" ref="BY453" si="4227">Q453</f>
        <v>-</v>
      </c>
      <c r="BZ453" s="72">
        <f t="shared" ref="BZ453" si="4228">U453</f>
        <v>223</v>
      </c>
      <c r="CA453" s="71" t="str">
        <f t="shared" ref="CA453" si="4229">Y453</f>
        <v>-</v>
      </c>
      <c r="CB453" s="72">
        <f t="shared" ref="CB453" si="4230">AC453</f>
        <v>262</v>
      </c>
      <c r="CC453" s="71">
        <f t="shared" ref="CC453" si="4231">AG453</f>
        <v>296</v>
      </c>
      <c r="CD453" s="72">
        <f t="shared" ref="CD453" si="4232">AK453</f>
        <v>302</v>
      </c>
      <c r="CE453" s="71">
        <f t="shared" ref="CE453" si="4233">AO453</f>
        <v>347</v>
      </c>
      <c r="CF453" s="72">
        <f t="shared" ref="CF453" si="4234">AS453</f>
        <v>377</v>
      </c>
      <c r="CG453" s="71">
        <f t="shared" ref="CG453" si="4235">AW453</f>
        <v>405</v>
      </c>
      <c r="CH453" s="70">
        <f t="shared" ref="CH453" si="4236">G453</f>
        <v>176</v>
      </c>
      <c r="CI453" s="71" t="str">
        <f t="shared" ref="CI453" si="4237">K453</f>
        <v>-</v>
      </c>
      <c r="CJ453" s="72">
        <f t="shared" ref="CJ453" si="4238">O453</f>
        <v>211</v>
      </c>
      <c r="CK453" s="72" t="str">
        <f t="shared" ref="CK453" si="4239">S453</f>
        <v>-</v>
      </c>
      <c r="CL453" s="72">
        <f t="shared" ref="CL453" si="4240">W453</f>
        <v>257</v>
      </c>
      <c r="CM453" s="72" t="str">
        <f t="shared" ref="CM453" si="4241">AA453</f>
        <v>-</v>
      </c>
      <c r="CN453" s="72">
        <f t="shared" ref="CN453" si="4242">AE453</f>
        <v>290</v>
      </c>
      <c r="CO453" s="72">
        <f t="shared" ref="CO453" si="4243">AI453</f>
        <v>298</v>
      </c>
      <c r="CP453" s="72">
        <f t="shared" ref="CP453" si="4244">AM453</f>
        <v>336</v>
      </c>
      <c r="CQ453" s="72">
        <f t="shared" ref="CQ453" si="4245">AQ453</f>
        <v>368</v>
      </c>
      <c r="CR453" s="72">
        <f t="shared" ref="CR453" si="4246">AU453</f>
        <v>402</v>
      </c>
      <c r="CS453" s="72">
        <f t="shared" ref="CS453" si="4247">AY453</f>
        <v>414</v>
      </c>
      <c r="CT453" s="23" t="e">
        <f t="shared" ref="CT453" si="4248">M453-K453</f>
        <v>#VALUE!</v>
      </c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  <c r="AMO453" s="1"/>
    </row>
    <row r="454" spans="1:1030" x14ac:dyDescent="0.2">
      <c r="A454" s="3" t="str">
        <f t="shared" ref="A454" si="4249">CONCATENATE(B454,"_",C454)</f>
        <v>pth1r_human__wt</v>
      </c>
      <c r="B454" s="3" t="s">
        <v>408</v>
      </c>
      <c r="C454" s="3" t="s">
        <v>100</v>
      </c>
      <c r="D454" s="3" t="str">
        <f>IFERROR(MID(VLOOKUP($B454,Seqs!$A:$B,2,0),E454,1),"")</f>
        <v>F</v>
      </c>
      <c r="E454" s="105">
        <v>173</v>
      </c>
      <c r="F454" s="3" t="str">
        <f>IFERROR(MID(VLOOKUP($B454,Seqs!$A:$B,2,0),G454,1),"")</f>
        <v>F</v>
      </c>
      <c r="G454" s="3">
        <v>212</v>
      </c>
      <c r="H454" s="3" t="str">
        <f>IFERROR(MID(VLOOKUP($B454,Seqs!$A:$B,2,0),I454,1),"")</f>
        <v>R</v>
      </c>
      <c r="I454" s="23">
        <v>213</v>
      </c>
      <c r="J454" s="3" t="str">
        <f>IFERROR(MID(VLOOKUP($B454,Seqs!$A:$B,2,0),K454,1),"")</f>
        <v>H</v>
      </c>
      <c r="K454" s="23">
        <v>216</v>
      </c>
      <c r="L454" s="3" t="str">
        <f>IFERROR(MID(VLOOKUP($B454,Seqs!$A:$B,2,0),M454,1),"")</f>
        <v>C</v>
      </c>
      <c r="M454" s="23">
        <v>217</v>
      </c>
      <c r="N454" s="3" t="str">
        <f>IFERROR(MID(VLOOKUP($B454,Seqs!$A:$B,2,0),O454,1),"")</f>
        <v>T</v>
      </c>
      <c r="O454" s="3">
        <v>249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G</v>
      </c>
      <c r="U454" s="3">
        <v>277</v>
      </c>
      <c r="V454" s="3" t="str">
        <f>IFERROR(MID(VLOOKUP($B454,Seqs!$A:$B,2,0),W454,1),"")</f>
        <v>M</v>
      </c>
      <c r="W454" s="3">
        <v>312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S</v>
      </c>
      <c r="AC454" s="3">
        <v>316</v>
      </c>
      <c r="AD454" s="3" t="str">
        <f>IFERROR(MID(VLOOKUP($B454,Seqs!$A:$B,2,0),AE454,1),"")</f>
        <v>A</v>
      </c>
      <c r="AE454" s="3">
        <v>347</v>
      </c>
      <c r="AF454" s="3" t="str">
        <f>IFERROR(MID(VLOOKUP($B454,Seqs!$A:$B,2,0),AG454,1),"")</f>
        <v>C</v>
      </c>
      <c r="AG454" s="3">
        <v>351</v>
      </c>
      <c r="AH454" s="3" t="str">
        <f>IFERROR(MID(VLOOKUP($B454,Seqs!$A:$B,2,0),AI454,1),"")</f>
        <v>D</v>
      </c>
      <c r="AI454" s="3">
        <v>353</v>
      </c>
      <c r="AJ454" s="3" t="str">
        <f>IFERROR(MID(VLOOKUP($B454,Seqs!$A:$B,2,0),AK454,1),"")</f>
        <v>G</v>
      </c>
      <c r="AK454" s="105">
        <v>357</v>
      </c>
      <c r="AL454" s="3" t="str">
        <f>IFERROR(MID(VLOOKUP($B454,Seqs!$A:$B,2,0),AM454,1),"")</f>
        <v>L</v>
      </c>
      <c r="AM454" s="3">
        <v>389</v>
      </c>
      <c r="AN454" s="3" t="str">
        <f>IFERROR(MID(VLOOKUP($B454,Seqs!$A:$B,2,0),AO454,1),"")</f>
        <v>D</v>
      </c>
      <c r="AO454" s="3">
        <v>398</v>
      </c>
      <c r="AP454" s="3" t="str">
        <f>IFERROR(MID(VLOOKUP($B454,Seqs!$A:$B,2,0),AQ454,1),"")</f>
        <v>T</v>
      </c>
      <c r="AQ454" s="3">
        <v>427</v>
      </c>
      <c r="AR454" s="3" t="str">
        <f>IFERROR(MID(VLOOKUP($B454,Seqs!$A:$B,2,0),AS454,1),"")</f>
        <v>G</v>
      </c>
      <c r="AS454" s="3">
        <v>434</v>
      </c>
      <c r="AT454" s="3" t="str">
        <f>IFERROR(MID(VLOOKUP($B454,Seqs!$A:$B,2,0),AU454,1),"")</f>
        <v>C</v>
      </c>
      <c r="AU454" s="3">
        <v>462</v>
      </c>
      <c r="AV454" s="3" t="str">
        <f>IFERROR(MID(VLOOKUP($B454,Seqs!$A:$B,2,0),AW454,1),"")</f>
        <v>N</v>
      </c>
      <c r="AW454" s="3">
        <v>463</v>
      </c>
      <c r="AX454" s="3" t="str">
        <f>IFERROR(MID(VLOOKUP($B454,Seqs!$A:$B,2,0),AY454,1),"")</f>
        <v>R</v>
      </c>
      <c r="AY454" s="3">
        <v>488</v>
      </c>
      <c r="AZ454" s="77" t="str">
        <f>VLOOKUP(B454,Classification!A:D,2,0)</f>
        <v>B1</v>
      </c>
      <c r="BA454" s="94" t="str">
        <f>VLOOKUP(B454,Classification!A:D,4,0)</f>
        <v>Parathyroidhormone</v>
      </c>
      <c r="BB454" s="27" t="b">
        <f t="shared" ref="BB454" si="4250">AND(E454&lt;G454,OR(G454&lt;I454,I454="-"),OR(I454&lt;K454,I454="-"),OR(K454&lt;M454,K454="-"),M454&lt;O454,OR(O454&lt;Q454,Q454="-"),OR(Q454&lt;S454,Q454="-"),OR(S454&lt;U454,S454="-"),U454&lt;W454,OR(W454&lt;Y454,Y454="-"),OR(Y454&lt;AA454,Y454="-"),OR(AA454&lt;AC454,AA454="-"),AC454&lt;AE454,OR(AE454&lt;AG454,AG454="-"),OR(AG454&lt;AI454,AG454="-"),OR(AI454&lt;AK454,AI454="-"),AK454&lt;AM454,AM454&lt;AO454,AO454&lt;AQ454,AQ454&lt;AS454,AS454&lt;AU454,OR(AU454&lt;AW454,AW454="-"),OR(AW454&lt;AY454,AW454="-"))</f>
        <v>1</v>
      </c>
      <c r="BC454" s="23">
        <f t="shared" ref="BC454" si="4251">_xlfn.AGGREGATE(9,6,CH454:CS454)-_xlfn.AGGREGATE(9,6,BV454:CG454)+12</f>
        <v>268</v>
      </c>
      <c r="BD454" s="4" t="s">
        <v>23</v>
      </c>
      <c r="BE454" s="3" t="s">
        <v>23</v>
      </c>
      <c r="BF454" s="118" t="s">
        <v>23</v>
      </c>
      <c r="BG454" s="49" t="s">
        <v>23</v>
      </c>
      <c r="BH454" s="49" t="s">
        <v>23</v>
      </c>
      <c r="BI454" s="1"/>
      <c r="BJ454" s="70" t="s">
        <v>1283</v>
      </c>
      <c r="BK454" s="57" t="s">
        <v>1283</v>
      </c>
      <c r="BL454" s="57" t="s">
        <v>1283</v>
      </c>
      <c r="BM454" s="57" t="s">
        <v>1283</v>
      </c>
      <c r="BN454" s="57" t="s">
        <v>1283</v>
      </c>
      <c r="BO454" s="57" t="s">
        <v>1283</v>
      </c>
      <c r="BP454" s="57" t="s">
        <v>1283</v>
      </c>
      <c r="BQ454" s="57" t="s">
        <v>1283</v>
      </c>
      <c r="BR454" s="57" t="s">
        <v>1283</v>
      </c>
      <c r="BS454" s="57" t="s">
        <v>1283</v>
      </c>
      <c r="BT454" s="57" t="s">
        <v>1283</v>
      </c>
      <c r="BU454" s="57" t="s">
        <v>1283</v>
      </c>
      <c r="BV454" s="70">
        <f t="shared" ref="BV454" si="4252">E454</f>
        <v>173</v>
      </c>
      <c r="BW454" s="71">
        <f t="shared" ref="BW454" si="4253">I454</f>
        <v>213</v>
      </c>
      <c r="BX454" s="72">
        <f t="shared" ref="BX454" si="4254">M454</f>
        <v>217</v>
      </c>
      <c r="BY454" s="71" t="str">
        <f t="shared" ref="BY454" si="4255">Q454</f>
        <v>-</v>
      </c>
      <c r="BZ454" s="72">
        <f t="shared" ref="BZ454" si="4256">U454</f>
        <v>277</v>
      </c>
      <c r="CA454" s="71" t="str">
        <f t="shared" ref="CA454" si="4257">Y454</f>
        <v>-</v>
      </c>
      <c r="CB454" s="72">
        <f t="shared" ref="CB454" si="4258">AC454</f>
        <v>316</v>
      </c>
      <c r="CC454" s="71">
        <f t="shared" ref="CC454" si="4259">AG454</f>
        <v>351</v>
      </c>
      <c r="CD454" s="72">
        <f t="shared" ref="CD454" si="4260">AK454</f>
        <v>357</v>
      </c>
      <c r="CE454" s="71">
        <f t="shared" ref="CE454" si="4261">AO454</f>
        <v>398</v>
      </c>
      <c r="CF454" s="72">
        <f t="shared" ref="CF454" si="4262">AS454</f>
        <v>434</v>
      </c>
      <c r="CG454" s="71">
        <f t="shared" ref="CG454" si="4263">AW454</f>
        <v>463</v>
      </c>
      <c r="CH454" s="70">
        <f t="shared" ref="CH454" si="4264">G454</f>
        <v>212</v>
      </c>
      <c r="CI454" s="71">
        <f t="shared" ref="CI454" si="4265">K454</f>
        <v>216</v>
      </c>
      <c r="CJ454" s="72">
        <f t="shared" ref="CJ454" si="4266">O454</f>
        <v>249</v>
      </c>
      <c r="CK454" s="72" t="str">
        <f t="shared" ref="CK454" si="4267">S454</f>
        <v>-</v>
      </c>
      <c r="CL454" s="72">
        <f t="shared" ref="CL454" si="4268">W454</f>
        <v>312</v>
      </c>
      <c r="CM454" s="72" t="str">
        <f t="shared" ref="CM454" si="4269">AA454</f>
        <v>-</v>
      </c>
      <c r="CN454" s="72">
        <f t="shared" ref="CN454" si="4270">AE454</f>
        <v>347</v>
      </c>
      <c r="CO454" s="72">
        <f t="shared" ref="CO454" si="4271">AI454</f>
        <v>353</v>
      </c>
      <c r="CP454" s="72">
        <f t="shared" ref="CP454" si="4272">AM454</f>
        <v>389</v>
      </c>
      <c r="CQ454" s="72">
        <f t="shared" ref="CQ454" si="4273">AQ454</f>
        <v>427</v>
      </c>
      <c r="CR454" s="72">
        <f t="shared" ref="CR454" si="4274">AU454</f>
        <v>462</v>
      </c>
      <c r="CS454" s="72">
        <f t="shared" ref="CS454" si="4275">AY454</f>
        <v>488</v>
      </c>
      <c r="CT454" s="23">
        <f t="shared" ref="CT454" si="4276">M454-K454</f>
        <v>1</v>
      </c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</row>
    <row r="455" spans="1:1030" x14ac:dyDescent="0.2">
      <c r="A455" s="3" t="str">
        <f t="shared" ref="A455" si="4277">CONCATENATE(B455,"_",C455)</f>
        <v>pth1r_human_6FJ3</v>
      </c>
      <c r="B455" s="3" t="s">
        <v>408</v>
      </c>
      <c r="C455" s="3" t="s">
        <v>1523</v>
      </c>
      <c r="D455" s="3" t="str">
        <f>IFERROR(MID(VLOOKUP($B455,Seqs!$A:$B,2,0),E455,1),"")</f>
        <v>R</v>
      </c>
      <c r="E455" s="3">
        <v>179</v>
      </c>
      <c r="F455" s="3" t="str">
        <f>IFERROR(MID(VLOOKUP($B455,Seqs!$A:$B,2,0),G455,1),"")</f>
        <v>F</v>
      </c>
      <c r="G455" s="3">
        <v>212</v>
      </c>
      <c r="H455" s="3" t="str">
        <f>IFERROR(MID(VLOOKUP($B455,Seqs!$A:$B,2,0),I455,1),"")</f>
        <v>R</v>
      </c>
      <c r="I455" s="23">
        <v>213</v>
      </c>
      <c r="J455" s="3" t="str">
        <f>IFERROR(MID(VLOOKUP($B455,Seqs!$A:$B,2,0),K455,1),"")</f>
        <v>H</v>
      </c>
      <c r="K455" s="23">
        <v>216</v>
      </c>
      <c r="L455" s="3" t="str">
        <f>IFERROR(MID(VLOOKUP($B455,Seqs!$A:$B,2,0),M455,1),"")</f>
        <v>C</v>
      </c>
      <c r="M455" s="23">
        <v>217</v>
      </c>
      <c r="N455" s="3" t="str">
        <f>IFERROR(MID(VLOOKUP($B455,Seqs!$A:$B,2,0),O455,1),"")</f>
        <v>Y</v>
      </c>
      <c r="O455" s="3">
        <v>245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Y</v>
      </c>
      <c r="U455" s="3">
        <v>278</v>
      </c>
      <c r="V455" s="3" t="str">
        <f>IFERROR(MID(VLOOKUP($B455,Seqs!$A:$B,2,0),W455,1),"")</f>
        <v>M</v>
      </c>
      <c r="W455" s="3">
        <v>312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S</v>
      </c>
      <c r="AC455" s="3">
        <v>316</v>
      </c>
      <c r="AD455" s="3" t="str">
        <f>IFERROR(MID(VLOOKUP($B455,Seqs!$A:$B,2,0),AE455,1),"")</f>
        <v>A</v>
      </c>
      <c r="AE455" s="3">
        <v>347</v>
      </c>
      <c r="AF455" s="3" t="str">
        <f>IFERROR(MID(VLOOKUP($B455,Seqs!$A:$B,2,0),AG455,1),"")</f>
        <v>C</v>
      </c>
      <c r="AG455" s="3">
        <v>351</v>
      </c>
      <c r="AH455" s="3" t="str">
        <f>IFERROR(MID(VLOOKUP($B455,Seqs!$A:$B,2,0),AI455,1),"")</f>
        <v>D</v>
      </c>
      <c r="AI455" s="3">
        <v>353</v>
      </c>
      <c r="AJ455" s="3" t="str">
        <f>IFERROR(MID(VLOOKUP($B455,Seqs!$A:$B,2,0),AK455,1),"")</f>
        <v>G</v>
      </c>
      <c r="AK455" s="3">
        <v>357</v>
      </c>
      <c r="AL455" s="3" t="str">
        <f>IFERROR(MID(VLOOKUP($B455,Seqs!$A:$B,2,0),AM455,1),"")</f>
        <v>R</v>
      </c>
      <c r="AM455" s="3">
        <v>383</v>
      </c>
      <c r="AN455" s="3" t="str">
        <f>IFERROR(MID(VLOOKUP($B455,Seqs!$A:$B,2,0),AO455,1),"")</f>
        <v>D</v>
      </c>
      <c r="AO455" s="3">
        <v>398</v>
      </c>
      <c r="AP455" s="3" t="str">
        <f>IFERROR(MID(VLOOKUP($B455,Seqs!$A:$B,2,0),AQ455,1),"")</f>
        <v>T</v>
      </c>
      <c r="AQ455" s="3">
        <v>427</v>
      </c>
      <c r="AR455" s="3" t="str">
        <f>IFERROR(MID(VLOOKUP($B455,Seqs!$A:$B,2,0),AS455,1),"")</f>
        <v>G</v>
      </c>
      <c r="AS455" s="3">
        <v>434</v>
      </c>
      <c r="AT455" s="3" t="str">
        <f>IFERROR(MID(VLOOKUP($B455,Seqs!$A:$B,2,0),AU455,1),"")</f>
        <v>C</v>
      </c>
      <c r="AU455" s="3">
        <v>462</v>
      </c>
      <c r="AV455" s="3" t="str">
        <f>IFERROR(MID(VLOOKUP($B455,Seqs!$A:$B,2,0),AW455,1),"")</f>
        <v>N</v>
      </c>
      <c r="AW455" s="3">
        <v>463</v>
      </c>
      <c r="AX455" s="3" t="str">
        <f>IFERROR(MID(VLOOKUP($B455,Seqs!$A:$B,2,0),AY455,1),"")</f>
        <v>W</v>
      </c>
      <c r="AY455" s="3">
        <v>477</v>
      </c>
      <c r="AZ455" s="77" t="str">
        <f>VLOOKUP(B455,Classification!A:D,2,0)</f>
        <v>B1</v>
      </c>
      <c r="BA455" s="94" t="str">
        <f>VLOOKUP(B455,Classification!A:D,4,0)</f>
        <v>Parathyroidhormone</v>
      </c>
      <c r="BB455" s="27" t="b">
        <f t="shared" ref="BB455" si="4278">AND(E455&lt;G455,OR(G455&lt;I455,I455="-"),OR(I455&lt;K455,I455="-"),OR(K455&lt;M455,K455="-"),M455&lt;O455,OR(O455&lt;Q455,Q455="-"),OR(Q455&lt;S455,Q455="-"),OR(S455&lt;U455,S455="-"),U455&lt;W455,OR(W455&lt;Y455,Y455="-"),OR(Y455&lt;AA455,Y455="-"),OR(AA455&lt;AC455,AA455="-"),AC455&lt;AE455,OR(AE455&lt;AG455,AG455="-"),OR(AG455&lt;AI455,AG455="-"),OR(AI455&lt;AK455,AI455="-"),AK455&lt;AM455,AM455&lt;AO455,AO455&lt;AQ455,AQ455&lt;AS455,AS455&lt;AU455,OR(AU455&lt;AW455,AW455="-"),OR(AW455&lt;AY455,AW455="-"))</f>
        <v>1</v>
      </c>
      <c r="BC455" s="23">
        <f t="shared" ref="BC455" si="4279">_xlfn.AGGREGATE(9,6,CH455:CS455)-_xlfn.AGGREGATE(9,6,BV455:CG455)+12</f>
        <v>240</v>
      </c>
      <c r="BD455" s="4" t="s">
        <v>1372</v>
      </c>
      <c r="BE455" s="3" t="s">
        <v>1370</v>
      </c>
      <c r="BF455" s="118">
        <v>2.5</v>
      </c>
      <c r="BG455" s="49" t="s">
        <v>1</v>
      </c>
      <c r="BH455" s="49" t="s">
        <v>1</v>
      </c>
      <c r="BI455" s="1"/>
      <c r="BJ455" s="70" t="s">
        <v>1283</v>
      </c>
      <c r="BK455" s="57" t="s">
        <v>1283</v>
      </c>
      <c r="BL455" s="57" t="s">
        <v>1283</v>
      </c>
      <c r="BM455" s="57" t="s">
        <v>1283</v>
      </c>
      <c r="BN455" s="57" t="s">
        <v>1283</v>
      </c>
      <c r="BO455" s="57" t="s">
        <v>1283</v>
      </c>
      <c r="BP455" s="57" t="s">
        <v>1283</v>
      </c>
      <c r="BQ455" s="57" t="s">
        <v>1283</v>
      </c>
      <c r="BR455" s="57" t="s">
        <v>1283</v>
      </c>
      <c r="BS455" s="57" t="s">
        <v>1283</v>
      </c>
      <c r="BT455" s="57" t="s">
        <v>1283</v>
      </c>
      <c r="BU455" s="57" t="s">
        <v>1283</v>
      </c>
      <c r="BV455" s="70">
        <f t="shared" ref="BV455" si="4280">E455</f>
        <v>179</v>
      </c>
      <c r="BW455" s="71">
        <f t="shared" ref="BW455" si="4281">I455</f>
        <v>213</v>
      </c>
      <c r="BX455" s="72">
        <f t="shared" ref="BX455" si="4282">M455</f>
        <v>217</v>
      </c>
      <c r="BY455" s="71" t="str">
        <f t="shared" ref="BY455" si="4283">Q455</f>
        <v>-</v>
      </c>
      <c r="BZ455" s="72">
        <f t="shared" ref="BZ455" si="4284">U455</f>
        <v>278</v>
      </c>
      <c r="CA455" s="71" t="str">
        <f t="shared" ref="CA455" si="4285">Y455</f>
        <v>-</v>
      </c>
      <c r="CB455" s="72">
        <f t="shared" ref="CB455" si="4286">AC455</f>
        <v>316</v>
      </c>
      <c r="CC455" s="71">
        <f t="shared" ref="CC455" si="4287">AG455</f>
        <v>351</v>
      </c>
      <c r="CD455" s="72">
        <f t="shared" ref="CD455" si="4288">AK455</f>
        <v>357</v>
      </c>
      <c r="CE455" s="71">
        <f t="shared" ref="CE455" si="4289">AO455</f>
        <v>398</v>
      </c>
      <c r="CF455" s="72">
        <f t="shared" ref="CF455" si="4290">AS455</f>
        <v>434</v>
      </c>
      <c r="CG455" s="71">
        <f t="shared" ref="CG455" si="4291">AW455</f>
        <v>463</v>
      </c>
      <c r="CH455" s="70">
        <f t="shared" ref="CH455" si="4292">G455</f>
        <v>212</v>
      </c>
      <c r="CI455" s="71">
        <f t="shared" ref="CI455" si="4293">K455</f>
        <v>216</v>
      </c>
      <c r="CJ455" s="72">
        <f t="shared" ref="CJ455" si="4294">O455</f>
        <v>245</v>
      </c>
      <c r="CK455" s="72" t="str">
        <f t="shared" ref="CK455" si="4295">S455</f>
        <v>-</v>
      </c>
      <c r="CL455" s="72">
        <f t="shared" ref="CL455" si="4296">W455</f>
        <v>312</v>
      </c>
      <c r="CM455" s="72" t="str">
        <f t="shared" ref="CM455" si="4297">AA455</f>
        <v>-</v>
      </c>
      <c r="CN455" s="72">
        <f t="shared" ref="CN455" si="4298">AE455</f>
        <v>347</v>
      </c>
      <c r="CO455" s="72">
        <f t="shared" ref="CO455" si="4299">AI455</f>
        <v>353</v>
      </c>
      <c r="CP455" s="72">
        <f t="shared" ref="CP455" si="4300">AM455</f>
        <v>383</v>
      </c>
      <c r="CQ455" s="72">
        <f t="shared" ref="CQ455" si="4301">AQ455</f>
        <v>427</v>
      </c>
      <c r="CR455" s="72">
        <f t="shared" ref="CR455" si="4302">AU455</f>
        <v>462</v>
      </c>
      <c r="CS455" s="72">
        <f t="shared" ref="CS455" si="4303">AY455</f>
        <v>477</v>
      </c>
      <c r="CT455" s="23">
        <f t="shared" ref="CT455" si="4304">M455-K455</f>
        <v>1</v>
      </c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</row>
    <row r="456" spans="1:1030" x14ac:dyDescent="0.2">
      <c r="A456" s="3" t="str">
        <f t="shared" ref="A456" si="4305">CONCATENATE(B456,"_",C456)</f>
        <v>pth1r_human_6NBF</v>
      </c>
      <c r="B456" s="3" t="s">
        <v>408</v>
      </c>
      <c r="C456" s="3" t="s">
        <v>1569</v>
      </c>
      <c r="D456" s="3" t="str">
        <f>IFERROR(MID(VLOOKUP($B456,Seqs!$A:$B,2,0),E456,1),"")</f>
        <v>T</v>
      </c>
      <c r="E456" s="3">
        <v>178</v>
      </c>
      <c r="F456" s="3" t="str">
        <f>IFERROR(MID(VLOOKUP($B456,Seqs!$A:$B,2,0),G456,1),"")</f>
        <v>F</v>
      </c>
      <c r="G456" s="3">
        <v>212</v>
      </c>
      <c r="H456" s="3" t="str">
        <f>IFERROR(MID(VLOOKUP($B456,Seqs!$A:$B,2,0),I456,1),"")</f>
        <v>R</v>
      </c>
      <c r="I456" s="23">
        <v>213</v>
      </c>
      <c r="J456" s="3" t="str">
        <f>IFERROR(MID(VLOOKUP($B456,Seqs!$A:$B,2,0),K456,1),"")</f>
        <v>H</v>
      </c>
      <c r="K456" s="23">
        <v>216</v>
      </c>
      <c r="L456" s="3" t="str">
        <f>IFERROR(MID(VLOOKUP($B456,Seqs!$A:$B,2,0),M456,1),"")</f>
        <v>C</v>
      </c>
      <c r="M456" s="23">
        <v>217</v>
      </c>
      <c r="N456" s="3" t="str">
        <f>IFERROR(MID(VLOOKUP($B456,Seqs!$A:$B,2,0),O456,1),"")</f>
        <v>S</v>
      </c>
      <c r="O456" s="3">
        <v>246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Y</v>
      </c>
      <c r="U456" s="3">
        <v>278</v>
      </c>
      <c r="V456" s="3" t="str">
        <f>IFERROR(MID(VLOOKUP($B456,Seqs!$A:$B,2,0),W456,1),"")</f>
        <v>M</v>
      </c>
      <c r="W456" s="3">
        <v>312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S</v>
      </c>
      <c r="AC456" s="3">
        <v>316</v>
      </c>
      <c r="AD456" s="3" t="str">
        <f>IFERROR(MID(VLOOKUP($B456,Seqs!$A:$B,2,0),AE456,1),"")</f>
        <v>L</v>
      </c>
      <c r="AE456" s="3">
        <v>346</v>
      </c>
      <c r="AF456" s="3" t="str">
        <f>IFERROR(MID(VLOOKUP($B456,Seqs!$A:$B,2,0),AG456,1),"")</f>
        <v>C</v>
      </c>
      <c r="AG456" s="3">
        <v>351</v>
      </c>
      <c r="AH456" s="3" t="str">
        <f>IFERROR(MID(VLOOKUP($B456,Seqs!$A:$B,2,0),AI456,1),"")</f>
        <v>D</v>
      </c>
      <c r="AI456" s="3">
        <v>353</v>
      </c>
      <c r="AJ456" s="3" t="str">
        <f>IFERROR(MID(VLOOKUP($B456,Seqs!$A:$B,2,0),AK456,1),"")</f>
        <v>G</v>
      </c>
      <c r="AK456" s="3">
        <v>357</v>
      </c>
      <c r="AL456" s="3" t="str">
        <f>IFERROR(MID(VLOOKUP($B456,Seqs!$A:$B,2,0),AM456,1),"")</f>
        <v>N</v>
      </c>
      <c r="AM456" s="3">
        <v>393</v>
      </c>
      <c r="AN456" s="3" t="str">
        <f>IFERROR(MID(VLOOKUP($B456,Seqs!$A:$B,2,0),AO456,1),"")</f>
        <v>T</v>
      </c>
      <c r="AO456" s="3">
        <v>399</v>
      </c>
      <c r="AP456" s="3" t="str">
        <f>IFERROR(MID(VLOOKUP($B456,Seqs!$A:$B,2,0),AQ456,1),"")</f>
        <v>F</v>
      </c>
      <c r="AQ456" s="3">
        <v>424</v>
      </c>
      <c r="AR456" s="3" t="str">
        <f>IFERROR(MID(VLOOKUP($B456,Seqs!$A:$B,2,0),AS456,1),"")</f>
        <v>G</v>
      </c>
      <c r="AS456" s="3">
        <v>434</v>
      </c>
      <c r="AT456" s="3" t="str">
        <f>IFERROR(MID(VLOOKUP($B456,Seqs!$A:$B,2,0),AU456,1),"")</f>
        <v>C</v>
      </c>
      <c r="AU456" s="3">
        <v>462</v>
      </c>
      <c r="AV456" s="3" t="str">
        <f>IFERROR(MID(VLOOKUP($B456,Seqs!$A:$B,2,0),AW456,1),"")</f>
        <v>N</v>
      </c>
      <c r="AW456" s="3">
        <v>463</v>
      </c>
      <c r="AX456" s="3" t="str">
        <f>IFERROR(MID(VLOOKUP($B456,Seqs!$A:$B,2,0),AY456,1),"")</f>
        <v>L</v>
      </c>
      <c r="AY456" s="3">
        <v>481</v>
      </c>
      <c r="AZ456" s="77" t="str">
        <f>VLOOKUP(B456,Classification!A:D,2,0)</f>
        <v>B1</v>
      </c>
      <c r="BA456" s="94" t="str">
        <f>VLOOKUP(B456,Classification!A:D,4,0)</f>
        <v>Parathyroidhormone</v>
      </c>
      <c r="BB456" s="27" t="b">
        <f t="shared" ref="BB456" si="4306">AND(E456&lt;G456,OR(G456&lt;I456,I456="-"),OR(I456&lt;K456,I456="-"),OR(K456&lt;M456,K456="-"),M456&lt;O456,OR(O456&lt;Q456,Q456="-"),OR(Q456&lt;S456,Q456="-"),OR(S456&lt;U456,S456="-"),U456&lt;W456,OR(W456&lt;Y456,Y456="-"),OR(Y456&lt;AA456,Y456="-"),OR(AA456&lt;AC456,AA456="-"),AC456&lt;AE456,OR(AE456&lt;AG456,AG456="-"),OR(AG456&lt;AI456,AG456="-"),OR(AI456&lt;AK456,AI456="-"),AK456&lt;AM456,AM456&lt;AO456,AO456&lt;AQ456,AQ456&lt;AS456,AS456&lt;AU456,OR(AU456&lt;AW456,AW456="-"),OR(AW456&lt;AY456,AW456="-"))</f>
        <v>1</v>
      </c>
      <c r="BC456" s="23">
        <f t="shared" ref="BC456" si="4307">_xlfn.AGGREGATE(9,6,CH456:CS456)-_xlfn.AGGREGATE(9,6,BV456:CG456)+12</f>
        <v>251</v>
      </c>
      <c r="BD456" s="4" t="s">
        <v>23</v>
      </c>
      <c r="BE456" s="3" t="s">
        <v>1287</v>
      </c>
      <c r="BF456" s="118">
        <v>3</v>
      </c>
      <c r="BG456" s="49" t="s">
        <v>1418</v>
      </c>
      <c r="BH456" s="49" t="s">
        <v>1418</v>
      </c>
      <c r="BI456" s="1"/>
      <c r="BJ456" s="70" t="s">
        <v>1283</v>
      </c>
      <c r="BK456" s="57" t="s">
        <v>1283</v>
      </c>
      <c r="BL456" s="57" t="s">
        <v>1283</v>
      </c>
      <c r="BM456" s="57" t="s">
        <v>1283</v>
      </c>
      <c r="BN456" s="57" t="s">
        <v>1283</v>
      </c>
      <c r="BO456" s="57" t="s">
        <v>1283</v>
      </c>
      <c r="BP456" s="57" t="s">
        <v>1283</v>
      </c>
      <c r="BQ456" s="57" t="s">
        <v>1283</v>
      </c>
      <c r="BR456" s="57" t="s">
        <v>1283</v>
      </c>
      <c r="BS456" s="57" t="s">
        <v>1283</v>
      </c>
      <c r="BT456" s="57" t="s">
        <v>1283</v>
      </c>
      <c r="BU456" s="57" t="s">
        <v>1283</v>
      </c>
      <c r="BV456" s="70">
        <f t="shared" ref="BV456" si="4308">E456</f>
        <v>178</v>
      </c>
      <c r="BW456" s="71">
        <f t="shared" ref="BW456" si="4309">I456</f>
        <v>213</v>
      </c>
      <c r="BX456" s="72">
        <f t="shared" ref="BX456" si="4310">M456</f>
        <v>217</v>
      </c>
      <c r="BY456" s="71" t="str">
        <f t="shared" ref="BY456" si="4311">Q456</f>
        <v>-</v>
      </c>
      <c r="BZ456" s="72">
        <f t="shared" ref="BZ456" si="4312">U456</f>
        <v>278</v>
      </c>
      <c r="CA456" s="71" t="str">
        <f t="shared" ref="CA456" si="4313">Y456</f>
        <v>-</v>
      </c>
      <c r="CB456" s="72">
        <f t="shared" ref="CB456" si="4314">AC456</f>
        <v>316</v>
      </c>
      <c r="CC456" s="71">
        <f t="shared" ref="CC456" si="4315">AG456</f>
        <v>351</v>
      </c>
      <c r="CD456" s="72">
        <f t="shared" ref="CD456" si="4316">AK456</f>
        <v>357</v>
      </c>
      <c r="CE456" s="71">
        <f t="shared" ref="CE456" si="4317">AO456</f>
        <v>399</v>
      </c>
      <c r="CF456" s="72">
        <f t="shared" ref="CF456" si="4318">AS456</f>
        <v>434</v>
      </c>
      <c r="CG456" s="71">
        <f t="shared" ref="CG456" si="4319">AW456</f>
        <v>463</v>
      </c>
      <c r="CH456" s="70">
        <f t="shared" ref="CH456" si="4320">G456</f>
        <v>212</v>
      </c>
      <c r="CI456" s="71">
        <f t="shared" ref="CI456" si="4321">K456</f>
        <v>216</v>
      </c>
      <c r="CJ456" s="72">
        <f t="shared" ref="CJ456" si="4322">O456</f>
        <v>246</v>
      </c>
      <c r="CK456" s="72" t="str">
        <f t="shared" ref="CK456" si="4323">S456</f>
        <v>-</v>
      </c>
      <c r="CL456" s="72">
        <f t="shared" ref="CL456" si="4324">W456</f>
        <v>312</v>
      </c>
      <c r="CM456" s="72" t="str">
        <f t="shared" ref="CM456" si="4325">AA456</f>
        <v>-</v>
      </c>
      <c r="CN456" s="72">
        <f t="shared" ref="CN456" si="4326">AE456</f>
        <v>346</v>
      </c>
      <c r="CO456" s="72">
        <f t="shared" ref="CO456" si="4327">AI456</f>
        <v>353</v>
      </c>
      <c r="CP456" s="72">
        <f t="shared" ref="CP456" si="4328">AM456</f>
        <v>393</v>
      </c>
      <c r="CQ456" s="72">
        <f t="shared" ref="CQ456" si="4329">AQ456</f>
        <v>424</v>
      </c>
      <c r="CR456" s="72">
        <f t="shared" ref="CR456" si="4330">AU456</f>
        <v>462</v>
      </c>
      <c r="CS456" s="72">
        <f t="shared" ref="CS456" si="4331">AY456</f>
        <v>481</v>
      </c>
      <c r="CT456" s="23">
        <f t="shared" ref="CT456" si="4332">M456-K456</f>
        <v>1</v>
      </c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</row>
    <row r="457" spans="1:1030" x14ac:dyDescent="0.2">
      <c r="A457" s="3" t="str">
        <f t="shared" ref="A457" si="4333">CONCATENATE(B457,"_",C457)</f>
        <v>pth1r_human_6NBH</v>
      </c>
      <c r="B457" s="3" t="s">
        <v>408</v>
      </c>
      <c r="C457" s="3" t="s">
        <v>1570</v>
      </c>
      <c r="D457" s="3" t="str">
        <f>IFERROR(MID(VLOOKUP($B457,Seqs!$A:$B,2,0),E457,1),"")</f>
        <v>T</v>
      </c>
      <c r="E457" s="3">
        <v>178</v>
      </c>
      <c r="F457" s="3" t="str">
        <f>IFERROR(MID(VLOOKUP($B457,Seqs!$A:$B,2,0),G457,1),"")</f>
        <v>F</v>
      </c>
      <c r="G457" s="3">
        <v>212</v>
      </c>
      <c r="H457" s="3" t="str">
        <f>IFERROR(MID(VLOOKUP($B457,Seqs!$A:$B,2,0),I457,1),"")</f>
        <v>R</v>
      </c>
      <c r="I457" s="23">
        <v>213</v>
      </c>
      <c r="J457" s="3" t="str">
        <f>IFERROR(MID(VLOOKUP($B457,Seqs!$A:$B,2,0),K457,1),"")</f>
        <v>H</v>
      </c>
      <c r="K457" s="23">
        <v>216</v>
      </c>
      <c r="L457" s="3" t="str">
        <f>IFERROR(MID(VLOOKUP($B457,Seqs!$A:$B,2,0),M457,1),"")</f>
        <v>C</v>
      </c>
      <c r="M457" s="23">
        <v>217</v>
      </c>
      <c r="N457" s="3" t="str">
        <f>IFERROR(MID(VLOOKUP($B457,Seqs!$A:$B,2,0),O457,1),"")</f>
        <v>L</v>
      </c>
      <c r="O457" s="3">
        <v>250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Y</v>
      </c>
      <c r="U457" s="3">
        <v>278</v>
      </c>
      <c r="V457" s="3" t="str">
        <f>IFERROR(MID(VLOOKUP($B457,Seqs!$A:$B,2,0),W457,1),"")</f>
        <v>M</v>
      </c>
      <c r="W457" s="3">
        <v>312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S</v>
      </c>
      <c r="AC457" s="3">
        <v>316</v>
      </c>
      <c r="AD457" s="3" t="str">
        <f>IFERROR(MID(VLOOKUP($B457,Seqs!$A:$B,2,0),AE457,1),"")</f>
        <v>A</v>
      </c>
      <c r="AE457" s="3">
        <v>347</v>
      </c>
      <c r="AF457" s="3" t="str">
        <f>IFERROR(MID(VLOOKUP($B457,Seqs!$A:$B,2,0),AG457,1),"")</f>
        <v>C</v>
      </c>
      <c r="AG457" s="3">
        <v>351</v>
      </c>
      <c r="AH457" s="3" t="str">
        <f>IFERROR(MID(VLOOKUP($B457,Seqs!$A:$B,2,0),AI457,1),"")</f>
        <v>D</v>
      </c>
      <c r="AI457" s="3">
        <v>353</v>
      </c>
      <c r="AJ457" s="3" t="str">
        <f>IFERROR(MID(VLOOKUP($B457,Seqs!$A:$B,2,0),AK457,1),"")</f>
        <v>G</v>
      </c>
      <c r="AK457" s="3">
        <v>357</v>
      </c>
      <c r="AL457" s="3" t="str">
        <f>IFERROR(MID(VLOOKUP($B457,Seqs!$A:$B,2,0),AM457,1),"")</f>
        <v>T</v>
      </c>
      <c r="AM457" s="3">
        <v>392</v>
      </c>
      <c r="AN457" s="3" t="str">
        <f>IFERROR(MID(VLOOKUP($B457,Seqs!$A:$B,2,0),AO457,1),"")</f>
        <v>T</v>
      </c>
      <c r="AO457" s="3">
        <v>399</v>
      </c>
      <c r="AP457" s="3" t="str">
        <f>IFERROR(MID(VLOOKUP($B457,Seqs!$A:$B,2,0),AQ457,1),"")</f>
        <v>F</v>
      </c>
      <c r="AQ457" s="3">
        <v>424</v>
      </c>
      <c r="AR457" s="3" t="str">
        <f>IFERROR(MID(VLOOKUP($B457,Seqs!$A:$B,2,0),AS457,1),"")</f>
        <v>G</v>
      </c>
      <c r="AS457" s="3">
        <v>434</v>
      </c>
      <c r="AT457" s="3" t="str">
        <f>IFERROR(MID(VLOOKUP($B457,Seqs!$A:$B,2,0),AU457,1),"")</f>
        <v>C</v>
      </c>
      <c r="AU457" s="3">
        <v>462</v>
      </c>
      <c r="AV457" s="3" t="str">
        <f>IFERROR(MID(VLOOKUP($B457,Seqs!$A:$B,2,0),AW457,1),"")</f>
        <v>N</v>
      </c>
      <c r="AW457" s="3">
        <v>463</v>
      </c>
      <c r="AX457" s="3" t="str">
        <f>IFERROR(MID(VLOOKUP($B457,Seqs!$A:$B,2,0),AY457,1),"")</f>
        <v>D</v>
      </c>
      <c r="AY457" s="3">
        <v>482</v>
      </c>
      <c r="AZ457" s="77" t="str">
        <f>VLOOKUP(B457,Classification!A:D,2,0)</f>
        <v>B1</v>
      </c>
      <c r="BA457" s="94" t="str">
        <f>VLOOKUP(B457,Classification!A:D,4,0)</f>
        <v>Parathyroidhormone</v>
      </c>
      <c r="BB457" s="27" t="b">
        <f t="shared" ref="BB457" si="4334">AND(E457&lt;G457,OR(G457&lt;I457,I457="-"),OR(I457&lt;K457,I457="-"),OR(K457&lt;M457,K457="-"),M457&lt;O457,OR(O457&lt;Q457,Q457="-"),OR(Q457&lt;S457,Q457="-"),OR(S457&lt;U457,S457="-"),U457&lt;W457,OR(W457&lt;Y457,Y457="-"),OR(Y457&lt;AA457,Y457="-"),OR(AA457&lt;AC457,AA457="-"),AC457&lt;AE457,OR(AE457&lt;AG457,AG457="-"),OR(AG457&lt;AI457,AG457="-"),OR(AI457&lt;AK457,AI457="-"),AK457&lt;AM457,AM457&lt;AO457,AO457&lt;AQ457,AQ457&lt;AS457,AS457&lt;AU457,OR(AU457&lt;AW457,AW457="-"),OR(AW457&lt;AY457,AW457="-"))</f>
        <v>1</v>
      </c>
      <c r="BC457" s="23">
        <f t="shared" ref="BC457" si="4335">_xlfn.AGGREGATE(9,6,CH457:CS457)-_xlfn.AGGREGATE(9,6,BV457:CG457)+12</f>
        <v>256</v>
      </c>
      <c r="BD457" s="4" t="s">
        <v>23</v>
      </c>
      <c r="BE457" s="3" t="s">
        <v>1287</v>
      </c>
      <c r="BF457" s="118">
        <v>3.5</v>
      </c>
      <c r="BG457" s="49" t="s">
        <v>1418</v>
      </c>
      <c r="BH457" s="49" t="s">
        <v>1418</v>
      </c>
      <c r="BI457" s="1"/>
      <c r="BJ457" s="70" t="s">
        <v>1283</v>
      </c>
      <c r="BK457" s="57" t="s">
        <v>1283</v>
      </c>
      <c r="BL457" s="57" t="s">
        <v>1283</v>
      </c>
      <c r="BM457" s="57" t="s">
        <v>1283</v>
      </c>
      <c r="BN457" s="57" t="s">
        <v>1283</v>
      </c>
      <c r="BO457" s="57" t="s">
        <v>1283</v>
      </c>
      <c r="BP457" s="57" t="s">
        <v>1283</v>
      </c>
      <c r="BQ457" s="57" t="s">
        <v>1283</v>
      </c>
      <c r="BR457" s="57" t="s">
        <v>1283</v>
      </c>
      <c r="BS457" s="57" t="s">
        <v>1283</v>
      </c>
      <c r="BT457" s="57" t="s">
        <v>1283</v>
      </c>
      <c r="BU457" s="57" t="s">
        <v>1283</v>
      </c>
      <c r="BV457" s="70">
        <f t="shared" ref="BV457" si="4336">E457</f>
        <v>178</v>
      </c>
      <c r="BW457" s="71">
        <f t="shared" ref="BW457" si="4337">I457</f>
        <v>213</v>
      </c>
      <c r="BX457" s="72">
        <f t="shared" ref="BX457" si="4338">M457</f>
        <v>217</v>
      </c>
      <c r="BY457" s="71" t="str">
        <f t="shared" ref="BY457" si="4339">Q457</f>
        <v>-</v>
      </c>
      <c r="BZ457" s="72">
        <f t="shared" ref="BZ457" si="4340">U457</f>
        <v>278</v>
      </c>
      <c r="CA457" s="71" t="str">
        <f t="shared" ref="CA457" si="4341">Y457</f>
        <v>-</v>
      </c>
      <c r="CB457" s="72">
        <f t="shared" ref="CB457" si="4342">AC457</f>
        <v>316</v>
      </c>
      <c r="CC457" s="71">
        <f t="shared" ref="CC457" si="4343">AG457</f>
        <v>351</v>
      </c>
      <c r="CD457" s="72">
        <f t="shared" ref="CD457" si="4344">AK457</f>
        <v>357</v>
      </c>
      <c r="CE457" s="71">
        <f t="shared" ref="CE457" si="4345">AO457</f>
        <v>399</v>
      </c>
      <c r="CF457" s="72">
        <f t="shared" ref="CF457" si="4346">AS457</f>
        <v>434</v>
      </c>
      <c r="CG457" s="71">
        <f t="shared" ref="CG457" si="4347">AW457</f>
        <v>463</v>
      </c>
      <c r="CH457" s="70">
        <f t="shared" ref="CH457" si="4348">G457</f>
        <v>212</v>
      </c>
      <c r="CI457" s="71">
        <f t="shared" ref="CI457" si="4349">K457</f>
        <v>216</v>
      </c>
      <c r="CJ457" s="72">
        <f t="shared" ref="CJ457" si="4350">O457</f>
        <v>250</v>
      </c>
      <c r="CK457" s="72" t="str">
        <f t="shared" ref="CK457" si="4351">S457</f>
        <v>-</v>
      </c>
      <c r="CL457" s="72">
        <f t="shared" ref="CL457" si="4352">W457</f>
        <v>312</v>
      </c>
      <c r="CM457" s="72" t="str">
        <f t="shared" ref="CM457" si="4353">AA457</f>
        <v>-</v>
      </c>
      <c r="CN457" s="72">
        <f t="shared" ref="CN457" si="4354">AE457</f>
        <v>347</v>
      </c>
      <c r="CO457" s="72">
        <f t="shared" ref="CO457" si="4355">AI457</f>
        <v>353</v>
      </c>
      <c r="CP457" s="72">
        <f t="shared" ref="CP457" si="4356">AM457</f>
        <v>392</v>
      </c>
      <c r="CQ457" s="72">
        <f t="shared" ref="CQ457" si="4357">AQ457</f>
        <v>424</v>
      </c>
      <c r="CR457" s="72">
        <f t="shared" ref="CR457" si="4358">AU457</f>
        <v>462</v>
      </c>
      <c r="CS457" s="72">
        <f t="shared" ref="CS457" si="4359">AY457</f>
        <v>482</v>
      </c>
      <c r="CT457" s="23">
        <f t="shared" ref="CT457" si="4360">M457-K457</f>
        <v>1</v>
      </c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</row>
    <row r="458" spans="1:1030" x14ac:dyDescent="0.2">
      <c r="A458" s="3" t="str">
        <f t="shared" ref="A458" si="4361">CONCATENATE(B458,"_",C458)</f>
        <v>pth1r_human_6NBI</v>
      </c>
      <c r="B458" s="3" t="s">
        <v>408</v>
      </c>
      <c r="C458" s="3" t="s">
        <v>1571</v>
      </c>
      <c r="D458" s="3" t="str">
        <f>IFERROR(MID(VLOOKUP($B458,Seqs!$A:$B,2,0),E458,1),"")</f>
        <v>F</v>
      </c>
      <c r="E458" s="3">
        <v>173</v>
      </c>
      <c r="F458" s="3" t="str">
        <f>IFERROR(MID(VLOOKUP($B458,Seqs!$A:$B,2,0),G458,1),"")</f>
        <v>F</v>
      </c>
      <c r="G458" s="3">
        <v>212</v>
      </c>
      <c r="H458" s="3" t="str">
        <f>IFERROR(MID(VLOOKUP($B458,Seqs!$A:$B,2,0),I458,1),"")</f>
        <v>R</v>
      </c>
      <c r="I458" s="23">
        <v>213</v>
      </c>
      <c r="J458" s="3" t="str">
        <f>IFERROR(MID(VLOOKUP($B458,Seqs!$A:$B,2,0),K458,1),"")</f>
        <v>H</v>
      </c>
      <c r="K458" s="23">
        <v>216</v>
      </c>
      <c r="L458" s="3" t="str">
        <f>IFERROR(MID(VLOOKUP($B458,Seqs!$A:$B,2,0),M458,1),"")</f>
        <v>C</v>
      </c>
      <c r="M458" s="23">
        <v>217</v>
      </c>
      <c r="N458" s="3" t="str">
        <f>IFERROR(MID(VLOOKUP($B458,Seqs!$A:$B,2,0),O458,1),"")</f>
        <v>L</v>
      </c>
      <c r="O458" s="3">
        <v>250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T</v>
      </c>
      <c r="U458" s="3">
        <v>273</v>
      </c>
      <c r="V458" s="3" t="str">
        <f>IFERROR(MID(VLOOKUP($B458,Seqs!$A:$B,2,0),W458,1),"")</f>
        <v>F</v>
      </c>
      <c r="W458" s="3">
        <v>311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S</v>
      </c>
      <c r="AC458" s="3">
        <v>316</v>
      </c>
      <c r="AD458" s="3" t="str">
        <f>IFERROR(MID(VLOOKUP($B458,Seqs!$A:$B,2,0),AE458,1),"")</f>
        <v>A</v>
      </c>
      <c r="AE458" s="3">
        <v>347</v>
      </c>
      <c r="AF458" s="3" t="str">
        <f>IFERROR(MID(VLOOKUP($B458,Seqs!$A:$B,2,0),AG458,1),"")</f>
        <v>C</v>
      </c>
      <c r="AG458" s="3">
        <v>351</v>
      </c>
      <c r="AH458" s="3" t="str">
        <f>IFERROR(MID(VLOOKUP($B458,Seqs!$A:$B,2,0),AI458,1),"")</f>
        <v>D</v>
      </c>
      <c r="AI458" s="3">
        <v>353</v>
      </c>
      <c r="AJ458" s="3" t="str">
        <f>IFERROR(MID(VLOOKUP($B458,Seqs!$A:$B,2,0),AK458,1),"")</f>
        <v>G</v>
      </c>
      <c r="AK458" s="3">
        <v>357</v>
      </c>
      <c r="AL458" s="3" t="str">
        <f>IFERROR(MID(VLOOKUP($B458,Seqs!$A:$B,2,0),AM458,1),"")</f>
        <v>A</v>
      </c>
      <c r="AM458" s="3">
        <v>394</v>
      </c>
      <c r="AN458" s="3" t="str">
        <f>IFERROR(MID(VLOOKUP($B458,Seqs!$A:$B,2,0),AO458,1),"")</f>
        <v>T</v>
      </c>
      <c r="AO458" s="3">
        <v>399</v>
      </c>
      <c r="AP458" s="3" t="str">
        <f>IFERROR(MID(VLOOKUP($B458,Seqs!$A:$B,2,0),AQ458,1),"")</f>
        <v>F</v>
      </c>
      <c r="AQ458" s="3">
        <v>424</v>
      </c>
      <c r="AR458" s="3" t="str">
        <f>IFERROR(MID(VLOOKUP($B458,Seqs!$A:$B,2,0),AS458,1),"")</f>
        <v>G</v>
      </c>
      <c r="AS458" s="3">
        <v>434</v>
      </c>
      <c r="AT458" s="3" t="str">
        <f>IFERROR(MID(VLOOKUP($B458,Seqs!$A:$B,2,0),AU458,1),"")</f>
        <v>C</v>
      </c>
      <c r="AU458" s="3">
        <v>462</v>
      </c>
      <c r="AV458" s="3" t="str">
        <f>IFERROR(MID(VLOOKUP($B458,Seqs!$A:$B,2,0),AW458,1),"")</f>
        <v>N</v>
      </c>
      <c r="AW458" s="3">
        <v>463</v>
      </c>
      <c r="AX458" s="3" t="str">
        <f>IFERROR(MID(VLOOKUP($B458,Seqs!$A:$B,2,0),AY458,1),"")</f>
        <v>D</v>
      </c>
      <c r="AY458" s="3">
        <v>482</v>
      </c>
      <c r="AZ458" s="77" t="str">
        <f>VLOOKUP(B458,Classification!A:D,2,0)</f>
        <v>B1</v>
      </c>
      <c r="BA458" s="94" t="str">
        <f>VLOOKUP(B458,Classification!A:D,4,0)</f>
        <v>Parathyroidhormone</v>
      </c>
      <c r="BB458" s="27" t="b">
        <f t="shared" ref="BB458" si="4362">AND(E458&lt;G458,OR(G458&lt;I458,I458="-"),OR(I458&lt;K458,I458="-"),OR(K458&lt;M458,K458="-"),M458&lt;O458,OR(O458&lt;Q458,Q458="-"),OR(Q458&lt;S458,Q458="-"),OR(S458&lt;U458,S458="-"),U458&lt;W458,OR(W458&lt;Y458,Y458="-"),OR(Y458&lt;AA458,Y458="-"),OR(AA458&lt;AC458,AA458="-"),AC458&lt;AE458,OR(AE458&lt;AG458,AG458="-"),OR(AG458&lt;AI458,AG458="-"),OR(AI458&lt;AK458,AI458="-"),AK458&lt;AM458,AM458&lt;AO458,AO458&lt;AQ458,AQ458&lt;AS458,AS458&lt;AU458,OR(AU458&lt;AW458,AW458="-"),OR(AW458&lt;AY458,AW458="-"))</f>
        <v>1</v>
      </c>
      <c r="BC458" s="23">
        <f t="shared" ref="BC458" si="4363">_xlfn.AGGREGATE(9,6,CH458:CS458)-_xlfn.AGGREGATE(9,6,BV458:CG458)+12</f>
        <v>267</v>
      </c>
      <c r="BD458" s="4" t="s">
        <v>1371</v>
      </c>
      <c r="BE458" s="3" t="s">
        <v>1287</v>
      </c>
      <c r="BF458" s="118">
        <v>4</v>
      </c>
      <c r="BG458" s="49" t="s">
        <v>1418</v>
      </c>
      <c r="BH458" s="49" t="s">
        <v>1418</v>
      </c>
      <c r="BI458" s="1"/>
      <c r="BJ458" s="70" t="s">
        <v>1283</v>
      </c>
      <c r="BK458" s="57" t="s">
        <v>1283</v>
      </c>
      <c r="BL458" s="57" t="s">
        <v>1283</v>
      </c>
      <c r="BM458" s="57" t="s">
        <v>1283</v>
      </c>
      <c r="BN458" s="57" t="s">
        <v>1283</v>
      </c>
      <c r="BO458" s="57" t="s">
        <v>1283</v>
      </c>
      <c r="BP458" s="57" t="s">
        <v>1283</v>
      </c>
      <c r="BQ458" s="57" t="s">
        <v>1283</v>
      </c>
      <c r="BR458" s="57" t="s">
        <v>1283</v>
      </c>
      <c r="BS458" s="57" t="s">
        <v>1283</v>
      </c>
      <c r="BT458" s="57" t="s">
        <v>1283</v>
      </c>
      <c r="BU458" s="57" t="s">
        <v>1283</v>
      </c>
      <c r="BV458" s="70">
        <f t="shared" ref="BV458" si="4364">E458</f>
        <v>173</v>
      </c>
      <c r="BW458" s="71">
        <f t="shared" ref="BW458" si="4365">I458</f>
        <v>213</v>
      </c>
      <c r="BX458" s="72">
        <f t="shared" ref="BX458" si="4366">M458</f>
        <v>217</v>
      </c>
      <c r="BY458" s="71" t="str">
        <f t="shared" ref="BY458" si="4367">Q458</f>
        <v>-</v>
      </c>
      <c r="BZ458" s="72">
        <f t="shared" ref="BZ458" si="4368">U458</f>
        <v>273</v>
      </c>
      <c r="CA458" s="71" t="str">
        <f t="shared" ref="CA458" si="4369">Y458</f>
        <v>-</v>
      </c>
      <c r="CB458" s="72">
        <f t="shared" ref="CB458" si="4370">AC458</f>
        <v>316</v>
      </c>
      <c r="CC458" s="71">
        <f t="shared" ref="CC458" si="4371">AG458</f>
        <v>351</v>
      </c>
      <c r="CD458" s="72">
        <f t="shared" ref="CD458" si="4372">AK458</f>
        <v>357</v>
      </c>
      <c r="CE458" s="71">
        <f t="shared" ref="CE458" si="4373">AO458</f>
        <v>399</v>
      </c>
      <c r="CF458" s="72">
        <f t="shared" ref="CF458" si="4374">AS458</f>
        <v>434</v>
      </c>
      <c r="CG458" s="71">
        <f t="shared" ref="CG458" si="4375">AW458</f>
        <v>463</v>
      </c>
      <c r="CH458" s="70">
        <f t="shared" ref="CH458" si="4376">G458</f>
        <v>212</v>
      </c>
      <c r="CI458" s="71">
        <f t="shared" ref="CI458" si="4377">K458</f>
        <v>216</v>
      </c>
      <c r="CJ458" s="72">
        <f t="shared" ref="CJ458" si="4378">O458</f>
        <v>250</v>
      </c>
      <c r="CK458" s="72" t="str">
        <f t="shared" ref="CK458" si="4379">S458</f>
        <v>-</v>
      </c>
      <c r="CL458" s="72">
        <f t="shared" ref="CL458" si="4380">W458</f>
        <v>311</v>
      </c>
      <c r="CM458" s="72" t="str">
        <f t="shared" ref="CM458" si="4381">AA458</f>
        <v>-</v>
      </c>
      <c r="CN458" s="72">
        <f t="shared" ref="CN458" si="4382">AE458</f>
        <v>347</v>
      </c>
      <c r="CO458" s="72">
        <f t="shared" ref="CO458" si="4383">AI458</f>
        <v>353</v>
      </c>
      <c r="CP458" s="72">
        <f t="shared" ref="CP458" si="4384">AM458</f>
        <v>394</v>
      </c>
      <c r="CQ458" s="72">
        <f t="shared" ref="CQ458" si="4385">AQ458</f>
        <v>424</v>
      </c>
      <c r="CR458" s="72">
        <f t="shared" ref="CR458" si="4386">AU458</f>
        <v>462</v>
      </c>
      <c r="CS458" s="72">
        <f t="shared" ref="CS458" si="4387">AY458</f>
        <v>482</v>
      </c>
      <c r="CT458" s="23">
        <f t="shared" ref="CT458" si="4388">M458-K458</f>
        <v>1</v>
      </c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</row>
    <row r="459" spans="1:1030" x14ac:dyDescent="0.2">
      <c r="A459" s="3" t="str">
        <f t="shared" si="3995"/>
        <v>grm1_human__wt</v>
      </c>
      <c r="B459" s="3" t="s">
        <v>40</v>
      </c>
      <c r="C459" s="3" t="s">
        <v>100</v>
      </c>
      <c r="D459" s="3" t="str">
        <f>IFERROR(MID(VLOOKUP($B459,Seqs!$A:$B,2,0),E459,1),"")</f>
        <v>I</v>
      </c>
      <c r="E459" s="3">
        <v>591</v>
      </c>
      <c r="F459" s="3" t="str">
        <f>IFERROR(MID(VLOOKUP($B459,Seqs!$A:$B,2,0),G459,1),"")</f>
        <v>Y</v>
      </c>
      <c r="G459" s="3">
        <v>617</v>
      </c>
      <c r="H459" s="3" t="str">
        <f>IFERROR(MID(VLOOKUP($B459,Seqs!$A:$B,2,0),I459,1),"")</f>
        <v>T</v>
      </c>
      <c r="I459" s="23">
        <v>620</v>
      </c>
      <c r="J459" s="3" t="str">
        <f>IFERROR(MID(VLOOKUP($B459,Seqs!$A:$B,2,0),K459,1),"")</f>
        <v>S</v>
      </c>
      <c r="K459" s="23">
        <v>626</v>
      </c>
      <c r="L459" s="3" t="str">
        <f>IFERROR(MID(VLOOKUP($B459,Seqs!$A:$B,2,0),M459,1),"")</f>
        <v>S</v>
      </c>
      <c r="M459" s="3">
        <v>627</v>
      </c>
      <c r="N459" s="3" t="str">
        <f>IFERROR(MID(VLOOKUP($B459,Seqs!$A:$B,2,0),O459,1),"")</f>
        <v>I</v>
      </c>
      <c r="O459" s="3">
        <v>649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T</v>
      </c>
      <c r="U459" s="3">
        <v>654</v>
      </c>
      <c r="V459" s="3" t="str">
        <f>IFERROR(MID(VLOOKUP($B459,Seqs!$A:$B,2,0),W459,1),"")</f>
        <v>L</v>
      </c>
      <c r="W459" s="3">
        <v>686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S</v>
      </c>
      <c r="AC459" s="3">
        <v>702</v>
      </c>
      <c r="AD459" s="3" t="str">
        <f>IFERROR(MID(VLOOKUP($B459,Seqs!$A:$B,2,0),AE459,1),"")</f>
        <v>E</v>
      </c>
      <c r="AE459" s="3">
        <v>728</v>
      </c>
      <c r="AF459" s="3" t="str">
        <f>IFERROR(MID(VLOOKUP($B459,Seqs!$A:$B,2,0),AG459,1),"")</f>
        <v>C</v>
      </c>
      <c r="AG459" s="3">
        <v>746</v>
      </c>
      <c r="AH459" s="3" t="str">
        <f>IFERROR(MID(VLOOKUP($B459,Seqs!$A:$B,2,0),AI459,1),"")</f>
        <v>T</v>
      </c>
      <c r="AI459" s="3">
        <v>748</v>
      </c>
      <c r="AJ459" s="3" t="str">
        <f>IFERROR(MID(VLOOKUP($B459,Seqs!$A:$B,2,0),AK459,1),"")</f>
        <v>S</v>
      </c>
      <c r="AK459" s="3">
        <v>749</v>
      </c>
      <c r="AL459" s="3" t="str">
        <f>IFERROR(MID(VLOOKUP($B459,Seqs!$A:$B,2,0),AM459,1),"")</f>
        <v>T</v>
      </c>
      <c r="AM459" s="3">
        <v>774</v>
      </c>
      <c r="AN459" s="3" t="str">
        <f>IFERROR(MID(VLOOKUP($B459,Seqs!$A:$B,2,0),AO459,1),"")</f>
        <v>E</v>
      </c>
      <c r="AO459" s="3">
        <v>783</v>
      </c>
      <c r="AP459" s="3" t="str">
        <f>IFERROR(MID(VLOOKUP($B459,Seqs!$A:$B,2,0),AQ459,1),"")</f>
        <v>G</v>
      </c>
      <c r="AQ459" s="3">
        <v>807</v>
      </c>
      <c r="AR459" s="3" t="str">
        <f>IFERROR(MID(VLOOKUP($B459,Seqs!$A:$B,2,0),AS459,1),"")</f>
        <v>Y</v>
      </c>
      <c r="AS459" s="3">
        <v>810</v>
      </c>
      <c r="AT459" s="3" t="str">
        <f>IFERROR(MID(VLOOKUP($B459,Seqs!$A:$B,2,0),AU459,1),"")</f>
        <v>K</v>
      </c>
      <c r="AU459" s="3">
        <v>841</v>
      </c>
      <c r="AV459" s="3" t="str">
        <f>IFERROR(MID(VLOOKUP($B459,Seqs!$A:$B,2,0),AW459,1),"")</f>
        <v>P</v>
      </c>
      <c r="AW459" s="3">
        <v>842</v>
      </c>
      <c r="AX459" s="3" t="str">
        <f>IFERROR(MID(VLOOKUP($B459,Seqs!$A:$B,2,0),AY459,1),"")</f>
        <v>S</v>
      </c>
      <c r="AY459" s="3">
        <v>853</v>
      </c>
      <c r="AZ459" s="77" t="str">
        <f>VLOOKUP(B459,Classification!A:D,2,0)</f>
        <v>C</v>
      </c>
      <c r="BA459" s="94" t="str">
        <f>VLOOKUP(B459,Classification!A:D,4,0)</f>
        <v>Metabotropicglutamate</v>
      </c>
      <c r="BB459" s="27" t="b">
        <f t="shared" si="3996"/>
        <v>1</v>
      </c>
      <c r="BC459" s="23">
        <f t="shared" si="3941"/>
        <v>217</v>
      </c>
      <c r="BD459" s="56" t="s">
        <v>23</v>
      </c>
      <c r="BE459" s="3" t="s">
        <v>23</v>
      </c>
      <c r="BF459" s="118" t="s">
        <v>23</v>
      </c>
      <c r="BG459" s="49" t="s">
        <v>1368</v>
      </c>
      <c r="BH459" s="49" t="s">
        <v>1373</v>
      </c>
      <c r="BI459" s="3" t="s">
        <v>1159</v>
      </c>
      <c r="BJ459" s="70" t="s">
        <v>1283</v>
      </c>
      <c r="BK459" s="57" t="s">
        <v>1283</v>
      </c>
      <c r="BL459" s="57" t="s">
        <v>1283</v>
      </c>
      <c r="BM459" s="57" t="s">
        <v>1283</v>
      </c>
      <c r="BN459" s="57" t="s">
        <v>1283</v>
      </c>
      <c r="BO459" s="57" t="s">
        <v>1283</v>
      </c>
      <c r="BP459" s="57" t="s">
        <v>1283</v>
      </c>
      <c r="BQ459" s="57" t="s">
        <v>1283</v>
      </c>
      <c r="BR459" s="57" t="s">
        <v>1283</v>
      </c>
      <c r="BS459" s="57" t="s">
        <v>1283</v>
      </c>
      <c r="BT459" s="57" t="s">
        <v>1283</v>
      </c>
      <c r="BU459" s="57" t="s">
        <v>1283</v>
      </c>
      <c r="BV459" s="70">
        <f t="shared" si="3942"/>
        <v>591</v>
      </c>
      <c r="BW459" s="71">
        <f t="shared" si="3943"/>
        <v>620</v>
      </c>
      <c r="BX459" s="72">
        <f t="shared" si="3944"/>
        <v>627</v>
      </c>
      <c r="BY459" s="71" t="str">
        <f t="shared" si="3945"/>
        <v>-</v>
      </c>
      <c r="BZ459" s="72">
        <f t="shared" si="3946"/>
        <v>654</v>
      </c>
      <c r="CA459" s="71" t="str">
        <f t="shared" si="3947"/>
        <v>-</v>
      </c>
      <c r="CB459" s="72">
        <f t="shared" si="3948"/>
        <v>702</v>
      </c>
      <c r="CC459" s="71">
        <f t="shared" si="3949"/>
        <v>746</v>
      </c>
      <c r="CD459" s="72">
        <f t="shared" si="3950"/>
        <v>749</v>
      </c>
      <c r="CE459" s="71">
        <f t="shared" si="3951"/>
        <v>783</v>
      </c>
      <c r="CF459" s="72">
        <f t="shared" si="3952"/>
        <v>810</v>
      </c>
      <c r="CG459" s="71">
        <f t="shared" si="3953"/>
        <v>842</v>
      </c>
      <c r="CH459" s="70">
        <f t="shared" si="3954"/>
        <v>617</v>
      </c>
      <c r="CI459" s="71">
        <f t="shared" si="3955"/>
        <v>626</v>
      </c>
      <c r="CJ459" s="72">
        <f t="shared" si="3956"/>
        <v>649</v>
      </c>
      <c r="CK459" s="72" t="str">
        <f t="shared" si="3957"/>
        <v>-</v>
      </c>
      <c r="CL459" s="72">
        <f t="shared" si="3958"/>
        <v>686</v>
      </c>
      <c r="CM459" s="72" t="str">
        <f t="shared" si="3959"/>
        <v>-</v>
      </c>
      <c r="CN459" s="72">
        <f t="shared" si="3960"/>
        <v>728</v>
      </c>
      <c r="CO459" s="72">
        <f t="shared" si="3961"/>
        <v>748</v>
      </c>
      <c r="CP459" s="72">
        <f t="shared" si="3962"/>
        <v>774</v>
      </c>
      <c r="CQ459" s="72">
        <f t="shared" si="3963"/>
        <v>807</v>
      </c>
      <c r="CR459" s="72">
        <f t="shared" si="3964"/>
        <v>841</v>
      </c>
      <c r="CS459" s="72">
        <f t="shared" si="3965"/>
        <v>853</v>
      </c>
      <c r="CT459" s="23">
        <f t="shared" si="3966"/>
        <v>1</v>
      </c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</row>
    <row r="460" spans="1:1030" x14ac:dyDescent="0.2">
      <c r="A460" s="3" t="str">
        <f t="shared" si="3995"/>
        <v>grm1_human_4OR2</v>
      </c>
      <c r="B460" s="3" t="s">
        <v>40</v>
      </c>
      <c r="C460" s="3" t="s">
        <v>96</v>
      </c>
      <c r="D460" s="3" t="str">
        <f>IFERROR(MID(VLOOKUP($B460,Seqs!$A:$B,2,0),E460,1),"")</f>
        <v>I</v>
      </c>
      <c r="E460" s="3">
        <v>591</v>
      </c>
      <c r="F460" s="3" t="str">
        <f>IFERROR(MID(VLOOKUP($B460,Seqs!$A:$B,2,0),G460,1),"")</f>
        <v>Y</v>
      </c>
      <c r="G460" s="3">
        <v>617</v>
      </c>
      <c r="H460" s="3" t="str">
        <f>IFERROR(MID(VLOOKUP($B460,Seqs!$A:$B,2,0),I460,1),"")</f>
        <v>T</v>
      </c>
      <c r="I460" s="23">
        <v>620</v>
      </c>
      <c r="J460" s="3" t="str">
        <f>IFERROR(MID(VLOOKUP($B460,Seqs!$A:$B,2,0),K460,1),"")</f>
        <v>S</v>
      </c>
      <c r="K460" s="23">
        <v>626</v>
      </c>
      <c r="L460" s="3" t="str">
        <f>IFERROR(MID(VLOOKUP($B460,Seqs!$A:$B,2,0),M460,1),"")</f>
        <v>S</v>
      </c>
      <c r="M460" s="3">
        <v>627</v>
      </c>
      <c r="N460" s="3" t="str">
        <f>IFERROR(MID(VLOOKUP($B460,Seqs!$A:$B,2,0),O460,1),"")</f>
        <v>I</v>
      </c>
      <c r="O460" s="3">
        <v>649</v>
      </c>
      <c r="P460" s="3" t="str">
        <f>IFERROR(MID(VLOOKUP($B460,Seqs!$A:$B,2,0),Q460,1),"")</f>
        <v/>
      </c>
      <c r="Q460" s="3" t="s">
        <v>23</v>
      </c>
      <c r="R460" s="3" t="str">
        <f>IFERROR(MID(VLOOKUP($B460,Seqs!$A:$B,2,0),S460,1),"")</f>
        <v/>
      </c>
      <c r="S460" s="3" t="s">
        <v>23</v>
      </c>
      <c r="T460" s="3" t="str">
        <f>IFERROR(MID(VLOOKUP($B460,Seqs!$A:$B,2,0),U460,1),"")</f>
        <v>T</v>
      </c>
      <c r="U460" s="3">
        <v>654</v>
      </c>
      <c r="V460" s="3" t="str">
        <f>IFERROR(MID(VLOOKUP($B460,Seqs!$A:$B,2,0),W460,1),"")</f>
        <v>L</v>
      </c>
      <c r="W460" s="3">
        <v>686</v>
      </c>
      <c r="X460" s="3" t="str">
        <f>IFERROR(MID(VLOOKUP($B460,Seqs!$A:$B,2,0),Y460,1),"")</f>
        <v/>
      </c>
      <c r="Y460" s="3" t="s">
        <v>23</v>
      </c>
      <c r="Z460" s="3" t="str">
        <f>IFERROR(MID(VLOOKUP($B460,Seqs!$A:$B,2,0),AA460,1),"")</f>
        <v/>
      </c>
      <c r="AA460" s="3" t="s">
        <v>23</v>
      </c>
      <c r="AB460" s="3" t="str">
        <f>IFERROR(MID(VLOOKUP($B460,Seqs!$A:$B,2,0),AC460,1),"")</f>
        <v>S</v>
      </c>
      <c r="AC460" s="9">
        <v>702</v>
      </c>
      <c r="AD460" s="3" t="str">
        <f>IFERROR(MID(VLOOKUP($B460,Seqs!$A:$B,2,0),AE460,1),"")</f>
        <v>E</v>
      </c>
      <c r="AE460" s="3">
        <v>728</v>
      </c>
      <c r="AF460" s="3" t="str">
        <f>IFERROR(MID(VLOOKUP($B460,Seqs!$A:$B,2,0),AG460,1),"")</f>
        <v>C</v>
      </c>
      <c r="AG460" s="3">
        <v>746</v>
      </c>
      <c r="AH460" s="3" t="str">
        <f>IFERROR(MID(VLOOKUP($B460,Seqs!$A:$B,2,0),AI460,1),"")</f>
        <v>T</v>
      </c>
      <c r="AI460" s="3">
        <v>748</v>
      </c>
      <c r="AJ460" s="3" t="str">
        <f>IFERROR(MID(VLOOKUP($B460,Seqs!$A:$B,2,0),AK460,1),"")</f>
        <v>S</v>
      </c>
      <c r="AK460" s="105">
        <v>749</v>
      </c>
      <c r="AL460" s="3" t="str">
        <f>IFERROR(MID(VLOOKUP($B460,Seqs!$A:$B,2,0),AM460,1),"")</f>
        <v>T</v>
      </c>
      <c r="AM460" s="3">
        <v>774</v>
      </c>
      <c r="AN460" s="3" t="str">
        <f>IFERROR(MID(VLOOKUP($B460,Seqs!$A:$B,2,0),AO460,1),"")</f>
        <v>E</v>
      </c>
      <c r="AO460" s="3">
        <v>783</v>
      </c>
      <c r="AP460" s="3" t="str">
        <f>IFERROR(MID(VLOOKUP($B460,Seqs!$A:$B,2,0),AQ460,1),"")</f>
        <v>G</v>
      </c>
      <c r="AQ460" s="3">
        <v>807</v>
      </c>
      <c r="AR460" s="3" t="str">
        <f>IFERROR(MID(VLOOKUP($B460,Seqs!$A:$B,2,0),AS460,1),"")</f>
        <v>Y</v>
      </c>
      <c r="AS460" s="105">
        <v>810</v>
      </c>
      <c r="AT460" s="3" t="str">
        <f>IFERROR(MID(VLOOKUP($B460,Seqs!$A:$B,2,0),AU460,1),"")</f>
        <v>K</v>
      </c>
      <c r="AU460" s="3">
        <v>841</v>
      </c>
      <c r="AV460" s="3" t="str">
        <f>IFERROR(MID(VLOOKUP($B460,Seqs!$A:$B,2,0),AW460,1),"")</f>
        <v/>
      </c>
      <c r="AW460" s="3" t="s">
        <v>23</v>
      </c>
      <c r="AX460" s="3" t="str">
        <f>IFERROR(MID(VLOOKUP($B460,Seqs!$A:$B,2,0),AY460,1),"")</f>
        <v/>
      </c>
      <c r="AY460" s="3" t="s">
        <v>23</v>
      </c>
      <c r="AZ460" s="77" t="str">
        <f>VLOOKUP(B460,Classification!A:D,2,0)</f>
        <v>C</v>
      </c>
      <c r="BA460" s="94" t="str">
        <f>VLOOKUP(B460,Classification!A:D,4,0)</f>
        <v>Metabotropicglutamate</v>
      </c>
      <c r="BB460" s="27" t="b">
        <f t="shared" si="3996"/>
        <v>1</v>
      </c>
      <c r="BC460" s="23">
        <f t="shared" si="3941"/>
        <v>206</v>
      </c>
      <c r="BD460" s="2" t="s">
        <v>1372</v>
      </c>
      <c r="BE460" s="3" t="s">
        <v>1370</v>
      </c>
      <c r="BF460" s="118">
        <v>2.8</v>
      </c>
      <c r="BG460" s="49" t="s">
        <v>1373</v>
      </c>
      <c r="BH460" s="49" t="s">
        <v>1373</v>
      </c>
      <c r="BJ460" s="70" t="s">
        <v>1283</v>
      </c>
      <c r="BK460" s="57" t="s">
        <v>1283</v>
      </c>
      <c r="BL460" s="57" t="s">
        <v>1283</v>
      </c>
      <c r="BM460" s="57" t="s">
        <v>1283</v>
      </c>
      <c r="BN460" s="57" t="s">
        <v>1283</v>
      </c>
      <c r="BO460" s="57" t="s">
        <v>1283</v>
      </c>
      <c r="BP460" s="57" t="s">
        <v>1283</v>
      </c>
      <c r="BQ460" s="57" t="s">
        <v>1283</v>
      </c>
      <c r="BR460" s="57" t="s">
        <v>1283</v>
      </c>
      <c r="BS460" s="57" t="s">
        <v>1283</v>
      </c>
      <c r="BT460" s="57" t="s">
        <v>1283</v>
      </c>
      <c r="BU460" s="57" t="s">
        <v>1283</v>
      </c>
      <c r="BV460" s="70">
        <f t="shared" si="3942"/>
        <v>591</v>
      </c>
      <c r="BW460" s="71">
        <f t="shared" si="3943"/>
        <v>620</v>
      </c>
      <c r="BX460" s="72">
        <f t="shared" si="3944"/>
        <v>627</v>
      </c>
      <c r="BY460" s="71" t="str">
        <f t="shared" si="3945"/>
        <v>-</v>
      </c>
      <c r="BZ460" s="72">
        <f t="shared" si="3946"/>
        <v>654</v>
      </c>
      <c r="CA460" s="71" t="str">
        <f t="shared" si="3947"/>
        <v>-</v>
      </c>
      <c r="CB460" s="72">
        <f t="shared" si="3948"/>
        <v>702</v>
      </c>
      <c r="CC460" s="71">
        <f t="shared" si="3949"/>
        <v>746</v>
      </c>
      <c r="CD460" s="72">
        <f t="shared" si="3950"/>
        <v>749</v>
      </c>
      <c r="CE460" s="71">
        <f t="shared" si="3951"/>
        <v>783</v>
      </c>
      <c r="CF460" s="72">
        <f t="shared" si="3952"/>
        <v>810</v>
      </c>
      <c r="CG460" s="71" t="str">
        <f t="shared" si="3953"/>
        <v>-</v>
      </c>
      <c r="CH460" s="70">
        <f t="shared" si="3954"/>
        <v>617</v>
      </c>
      <c r="CI460" s="71">
        <f t="shared" si="3955"/>
        <v>626</v>
      </c>
      <c r="CJ460" s="72">
        <f t="shared" si="3956"/>
        <v>649</v>
      </c>
      <c r="CK460" s="72" t="str">
        <f t="shared" si="3957"/>
        <v>-</v>
      </c>
      <c r="CL460" s="72">
        <f t="shared" si="3958"/>
        <v>686</v>
      </c>
      <c r="CM460" s="72" t="str">
        <f t="shared" si="3959"/>
        <v>-</v>
      </c>
      <c r="CN460" s="72">
        <f t="shared" si="3960"/>
        <v>728</v>
      </c>
      <c r="CO460" s="72">
        <f t="shared" si="3961"/>
        <v>748</v>
      </c>
      <c r="CP460" s="72">
        <f t="shared" si="3962"/>
        <v>774</v>
      </c>
      <c r="CQ460" s="72">
        <f t="shared" si="3963"/>
        <v>807</v>
      </c>
      <c r="CR460" s="72">
        <f t="shared" si="3964"/>
        <v>841</v>
      </c>
      <c r="CS460" s="72" t="str">
        <f t="shared" si="3965"/>
        <v>-</v>
      </c>
      <c r="CT460" s="23">
        <f t="shared" si="3966"/>
        <v>1</v>
      </c>
    </row>
    <row r="461" spans="1:1030" x14ac:dyDescent="0.2">
      <c r="A461" s="3" t="str">
        <f t="shared" si="3995"/>
        <v>grm5_human__wt</v>
      </c>
      <c r="B461" s="3" t="s">
        <v>41</v>
      </c>
      <c r="C461" s="3" t="s">
        <v>100</v>
      </c>
      <c r="D461" s="3" t="str">
        <f>IFERROR(MID(VLOOKUP($B461,Seqs!$A:$B,2,0),E461,1),"")</f>
        <v>P</v>
      </c>
      <c r="E461" s="3">
        <v>578</v>
      </c>
      <c r="F461" s="3" t="str">
        <f>IFERROR(MID(VLOOKUP($B461,Seqs!$A:$B,2,0),G461,1),"")</f>
        <v>Y</v>
      </c>
      <c r="G461" s="3">
        <v>604</v>
      </c>
      <c r="H461" s="3" t="str">
        <f>IFERROR(MID(VLOOKUP($B461,Seqs!$A:$B,2,0),I461,1),"")</f>
        <v>T</v>
      </c>
      <c r="I461" s="23">
        <v>607</v>
      </c>
      <c r="J461" s="3" t="str">
        <f>IFERROR(MID(VLOOKUP($B461,Seqs!$A:$B,2,0),K461,1),"")</f>
        <v>S</v>
      </c>
      <c r="K461" s="23">
        <v>613</v>
      </c>
      <c r="L461" s="3" t="str">
        <f>IFERROR(MID(VLOOKUP($B461,Seqs!$A:$B,2,0),M461,1),"")</f>
        <v>S</v>
      </c>
      <c r="M461" s="3">
        <v>614</v>
      </c>
      <c r="N461" s="3" t="str">
        <f>IFERROR(MID(VLOOKUP($B461,Seqs!$A:$B,2,0),O461,1),"")</f>
        <v>I</v>
      </c>
      <c r="O461" s="3">
        <v>636</v>
      </c>
      <c r="P461" s="3" t="str">
        <f>IFERROR(MID(VLOOKUP($B461,Seqs!$A:$B,2,0),Q461,1),"")</f>
        <v/>
      </c>
      <c r="Q461" s="3" t="s">
        <v>23</v>
      </c>
      <c r="R461" s="3" t="str">
        <f>IFERROR(MID(VLOOKUP($B461,Seqs!$A:$B,2,0),S461,1),"")</f>
        <v/>
      </c>
      <c r="S461" s="3" t="s">
        <v>23</v>
      </c>
      <c r="T461" s="3" t="str">
        <f>IFERROR(MID(VLOOKUP($B461,Seqs!$A:$B,2,0),U461,1),"")</f>
        <v>K</v>
      </c>
      <c r="U461" s="105">
        <v>640</v>
      </c>
      <c r="V461" s="3" t="str">
        <f>IFERROR(MID(VLOOKUP($B461,Seqs!$A:$B,2,0),W461,1),"")</f>
        <v>L</v>
      </c>
      <c r="W461" s="3">
        <v>673</v>
      </c>
      <c r="X461" s="3" t="str">
        <f>IFERROR(MID(VLOOKUP($B461,Seqs!$A:$B,2,0),Y461,1),"")</f>
        <v/>
      </c>
      <c r="Y461" s="3" t="s">
        <v>23</v>
      </c>
      <c r="Z461" s="3" t="str">
        <f>IFERROR(MID(VLOOKUP($B461,Seqs!$A:$B,2,0),AA461,1),"")</f>
        <v/>
      </c>
      <c r="AA461" s="3" t="s">
        <v>23</v>
      </c>
      <c r="AB461" s="3" t="str">
        <f>IFERROR(MID(VLOOKUP($B461,Seqs!$A:$B,2,0),AC461,1),"")</f>
        <v>S</v>
      </c>
      <c r="AC461" s="9">
        <v>689</v>
      </c>
      <c r="AD461" s="3" t="str">
        <f>IFERROR(MID(VLOOKUP($B461,Seqs!$A:$B,2,0),AE461,1),"")</f>
        <v>E</v>
      </c>
      <c r="AE461" s="3">
        <v>715</v>
      </c>
      <c r="AF461" s="3" t="str">
        <f>IFERROR(MID(VLOOKUP($B461,Seqs!$A:$B,2,0),AG461,1),"")</f>
        <v>C</v>
      </c>
      <c r="AG461" s="3">
        <v>733</v>
      </c>
      <c r="AH461" s="3" t="str">
        <f>IFERROR(MID(VLOOKUP($B461,Seqs!$A:$B,2,0),AI461,1),"")</f>
        <v>T</v>
      </c>
      <c r="AI461" s="3">
        <v>735</v>
      </c>
      <c r="AJ461" s="3" t="str">
        <f>IFERROR(MID(VLOOKUP($B461,Seqs!$A:$B,2,0),AK461,1),"")</f>
        <v>T</v>
      </c>
      <c r="AK461" s="105">
        <v>736</v>
      </c>
      <c r="AL461" s="3" t="str">
        <f>IFERROR(MID(VLOOKUP($B461,Seqs!$A:$B,2,0),AM461,1),"")</f>
        <v>T</v>
      </c>
      <c r="AM461" s="3">
        <v>761</v>
      </c>
      <c r="AN461" s="3" t="str">
        <f>IFERROR(MID(VLOOKUP($B461,Seqs!$A:$B,2,0),AO461,1),"")</f>
        <v>E</v>
      </c>
      <c r="AO461" s="3">
        <v>770</v>
      </c>
      <c r="AP461" s="3" t="str">
        <f>IFERROR(MID(VLOOKUP($B461,Seqs!$A:$B,2,0),AQ461,1),"")</f>
        <v>G</v>
      </c>
      <c r="AQ461" s="3">
        <v>794</v>
      </c>
      <c r="AR461" s="3" t="str">
        <f>IFERROR(MID(VLOOKUP($B461,Seqs!$A:$B,2,0),AS461,1),"")</f>
        <v>Y</v>
      </c>
      <c r="AS461" s="105">
        <v>797</v>
      </c>
      <c r="AT461" s="3" t="str">
        <f>IFERROR(MID(VLOOKUP($B461,Seqs!$A:$B,2,0),AU461,1),"")</f>
        <v>K</v>
      </c>
      <c r="AU461" s="3">
        <v>828</v>
      </c>
      <c r="AV461" s="3" t="str">
        <f>IFERROR(MID(VLOOKUP($B461,Seqs!$A:$B,2,0),AW461,1),"")</f>
        <v>P</v>
      </c>
      <c r="AW461" s="3">
        <v>829</v>
      </c>
      <c r="AX461" s="3" t="str">
        <f>IFERROR(MID(VLOOKUP($B461,Seqs!$A:$B,2,0),AY461,1),"")</f>
        <v>S</v>
      </c>
      <c r="AY461" s="3">
        <v>840</v>
      </c>
      <c r="AZ461" s="77" t="str">
        <f>VLOOKUP(B461,Classification!A:D,2,0)</f>
        <v>C</v>
      </c>
      <c r="BA461" s="94" t="str">
        <f>VLOOKUP(B461,Classification!A:D,4,0)</f>
        <v>Metabotropicglutamate</v>
      </c>
      <c r="BB461" s="27" t="b">
        <f t="shared" si="3996"/>
        <v>1</v>
      </c>
      <c r="BC461" s="23">
        <f t="shared" si="3941"/>
        <v>218</v>
      </c>
      <c r="BD461" s="56" t="s">
        <v>23</v>
      </c>
      <c r="BE461" s="3" t="s">
        <v>23</v>
      </c>
      <c r="BF461" s="118" t="s">
        <v>23</v>
      </c>
      <c r="BG461" s="49" t="s">
        <v>1368</v>
      </c>
      <c r="BH461" s="49" t="s">
        <v>1373</v>
      </c>
      <c r="BJ461" s="70" t="s">
        <v>1283</v>
      </c>
      <c r="BK461" s="57" t="s">
        <v>1283</v>
      </c>
      <c r="BL461" s="57" t="s">
        <v>1283</v>
      </c>
      <c r="BM461" s="57" t="s">
        <v>1283</v>
      </c>
      <c r="BN461" s="57" t="s">
        <v>1283</v>
      </c>
      <c r="BO461" s="57" t="s">
        <v>1283</v>
      </c>
      <c r="BP461" s="57" t="s">
        <v>1283</v>
      </c>
      <c r="BQ461" s="57" t="s">
        <v>1283</v>
      </c>
      <c r="BR461" s="57" t="s">
        <v>1283</v>
      </c>
      <c r="BS461" s="57" t="s">
        <v>1283</v>
      </c>
      <c r="BT461" s="57" t="s">
        <v>1283</v>
      </c>
      <c r="BU461" s="57" t="s">
        <v>1283</v>
      </c>
      <c r="BV461" s="70">
        <f t="shared" si="3942"/>
        <v>578</v>
      </c>
      <c r="BW461" s="71">
        <f t="shared" si="3943"/>
        <v>607</v>
      </c>
      <c r="BX461" s="72">
        <f t="shared" si="3944"/>
        <v>614</v>
      </c>
      <c r="BY461" s="71" t="str">
        <f t="shared" si="3945"/>
        <v>-</v>
      </c>
      <c r="BZ461" s="72">
        <f t="shared" si="3946"/>
        <v>640</v>
      </c>
      <c r="CA461" s="71" t="str">
        <f t="shared" si="3947"/>
        <v>-</v>
      </c>
      <c r="CB461" s="72">
        <f t="shared" si="3948"/>
        <v>689</v>
      </c>
      <c r="CC461" s="71">
        <f t="shared" si="3949"/>
        <v>733</v>
      </c>
      <c r="CD461" s="72">
        <f t="shared" si="3950"/>
        <v>736</v>
      </c>
      <c r="CE461" s="71">
        <f t="shared" si="3951"/>
        <v>770</v>
      </c>
      <c r="CF461" s="72">
        <f t="shared" si="3952"/>
        <v>797</v>
      </c>
      <c r="CG461" s="71">
        <f t="shared" si="3953"/>
        <v>829</v>
      </c>
      <c r="CH461" s="70">
        <f t="shared" si="3954"/>
        <v>604</v>
      </c>
      <c r="CI461" s="71">
        <f t="shared" si="3955"/>
        <v>613</v>
      </c>
      <c r="CJ461" s="72">
        <f t="shared" si="3956"/>
        <v>636</v>
      </c>
      <c r="CK461" s="72" t="str">
        <f t="shared" si="3957"/>
        <v>-</v>
      </c>
      <c r="CL461" s="72">
        <f t="shared" si="3958"/>
        <v>673</v>
      </c>
      <c r="CM461" s="72" t="str">
        <f t="shared" si="3959"/>
        <v>-</v>
      </c>
      <c r="CN461" s="72">
        <f t="shared" si="3960"/>
        <v>715</v>
      </c>
      <c r="CO461" s="72">
        <f t="shared" si="3961"/>
        <v>735</v>
      </c>
      <c r="CP461" s="72">
        <f t="shared" si="3962"/>
        <v>761</v>
      </c>
      <c r="CQ461" s="72">
        <f t="shared" si="3963"/>
        <v>794</v>
      </c>
      <c r="CR461" s="72">
        <f t="shared" si="3964"/>
        <v>828</v>
      </c>
      <c r="CS461" s="72">
        <f t="shared" si="3965"/>
        <v>840</v>
      </c>
      <c r="CT461" s="23">
        <f t="shared" si="3966"/>
        <v>1</v>
      </c>
    </row>
    <row r="462" spans="1:1030" x14ac:dyDescent="0.2">
      <c r="A462" s="3" t="str">
        <f t="shared" si="3995"/>
        <v>grm5_human_4OO9</v>
      </c>
      <c r="B462" s="3" t="s">
        <v>41</v>
      </c>
      <c r="C462" s="3" t="s">
        <v>57</v>
      </c>
      <c r="D462" s="3" t="str">
        <f>IFERROR(MID(VLOOKUP($B462,Seqs!$A:$B,2,0),E462,1),"")</f>
        <v>P</v>
      </c>
      <c r="E462" s="3">
        <v>578</v>
      </c>
      <c r="F462" s="3" t="str">
        <f>IFERROR(MID(VLOOKUP($B462,Seqs!$A:$B,2,0),G462,1),"")</f>
        <v>Y</v>
      </c>
      <c r="G462" s="3">
        <v>604</v>
      </c>
      <c r="H462" s="3" t="str">
        <f>IFERROR(MID(VLOOKUP($B462,Seqs!$A:$B,2,0),I462,1),"")</f>
        <v>T</v>
      </c>
      <c r="I462" s="23">
        <v>607</v>
      </c>
      <c r="J462" s="3" t="str">
        <f>IFERROR(MID(VLOOKUP($B462,Seqs!$A:$B,2,0),K462,1),"")</f>
        <v>S</v>
      </c>
      <c r="K462" s="23">
        <v>613</v>
      </c>
      <c r="L462" s="3" t="str">
        <f>IFERROR(MID(VLOOKUP($B462,Seqs!$A:$B,2,0),M462,1),"")</f>
        <v>S</v>
      </c>
      <c r="M462" s="3">
        <v>614</v>
      </c>
      <c r="N462" s="3" t="str">
        <f>IFERROR(MID(VLOOKUP($B462,Seqs!$A:$B,2,0),O462,1),"")</f>
        <v>I</v>
      </c>
      <c r="O462" s="3">
        <v>636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Q</v>
      </c>
      <c r="U462" s="3">
        <v>641</v>
      </c>
      <c r="V462" s="3" t="str">
        <f>IFERROR(MID(VLOOKUP($B462,Seqs!$A:$B,2,0),W462,1),"")</f>
        <v>K</v>
      </c>
      <c r="W462" s="3">
        <v>678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S</v>
      </c>
      <c r="AC462" s="9">
        <v>689</v>
      </c>
      <c r="AD462" s="3" t="str">
        <f>IFERROR(MID(VLOOKUP($B462,Seqs!$A:$B,2,0),AE462,1),"")</f>
        <v>E</v>
      </c>
      <c r="AE462" s="3">
        <v>715</v>
      </c>
      <c r="AF462" s="3" t="str">
        <f>IFERROR(MID(VLOOKUP($B462,Seqs!$A:$B,2,0),AG462,1),"")</f>
        <v>C</v>
      </c>
      <c r="AG462" s="3">
        <v>733</v>
      </c>
      <c r="AH462" s="3" t="str">
        <f>IFERROR(MID(VLOOKUP($B462,Seqs!$A:$B,2,0),AI462,1),"")</f>
        <v>T</v>
      </c>
      <c r="AI462" s="3">
        <v>735</v>
      </c>
      <c r="AJ462" s="3" t="str">
        <f>IFERROR(MID(VLOOKUP($B462,Seqs!$A:$B,2,0),AK462,1),"")</f>
        <v>N</v>
      </c>
      <c r="AK462" s="3">
        <v>737</v>
      </c>
      <c r="AL462" s="3" t="str">
        <f>IFERROR(MID(VLOOKUP($B462,Seqs!$A:$B,2,0),AM462,1),"")</f>
        <v>T</v>
      </c>
      <c r="AM462" s="3">
        <v>761</v>
      </c>
      <c r="AN462" s="3" t="str">
        <f>IFERROR(MID(VLOOKUP($B462,Seqs!$A:$B,2,0),AO462,1),"")</f>
        <v>E</v>
      </c>
      <c r="AO462" s="3">
        <v>770</v>
      </c>
      <c r="AP462" s="3" t="str">
        <f>IFERROR(MID(VLOOKUP($B462,Seqs!$A:$B,2,0),AQ462,1),"")</f>
        <v>G</v>
      </c>
      <c r="AQ462" s="3">
        <v>794</v>
      </c>
      <c r="AR462" s="3" t="str">
        <f>IFERROR(MID(VLOOKUP($B462,Seqs!$A:$B,2,0),AS462,1),"")</f>
        <v>Y</v>
      </c>
      <c r="AS462" s="105">
        <v>797</v>
      </c>
      <c r="AT462" s="3" t="str">
        <f>IFERROR(MID(VLOOKUP($B462,Seqs!$A:$B,2,0),AU462,1),"")</f>
        <v>K</v>
      </c>
      <c r="AU462" s="3">
        <v>828</v>
      </c>
      <c r="AV462" s="3" t="str">
        <f>IFERROR(MID(VLOOKUP($B462,Seqs!$A:$B,2,0),AW462,1),"")</f>
        <v>P</v>
      </c>
      <c r="AW462" s="3">
        <v>829</v>
      </c>
      <c r="AX462" s="3" t="str">
        <f>IFERROR(MID(VLOOKUP($B462,Seqs!$A:$B,2,0),AY462,1),"")</f>
        <v>N</v>
      </c>
      <c r="AY462" s="3">
        <v>832</v>
      </c>
      <c r="AZ462" s="77" t="str">
        <f>VLOOKUP(B462,Classification!A:D,2,0)</f>
        <v>C</v>
      </c>
      <c r="BA462" s="94" t="str">
        <f>VLOOKUP(B462,Classification!A:D,4,0)</f>
        <v>Metabotropicglutamate</v>
      </c>
      <c r="BB462" s="27" t="b">
        <f t="shared" si="3996"/>
        <v>1</v>
      </c>
      <c r="BC462" s="23">
        <f t="shared" si="3941"/>
        <v>213</v>
      </c>
      <c r="BD462" s="106" t="s">
        <v>1372</v>
      </c>
      <c r="BE462" s="3" t="s">
        <v>1370</v>
      </c>
      <c r="BF462" s="118">
        <v>2.6</v>
      </c>
      <c r="BG462" s="49" t="s">
        <v>1373</v>
      </c>
      <c r="BH462" s="49" t="s">
        <v>1373</v>
      </c>
      <c r="BJ462" s="70" t="s">
        <v>1283</v>
      </c>
      <c r="BK462" s="57" t="s">
        <v>1283</v>
      </c>
      <c r="BL462" s="57" t="s">
        <v>1283</v>
      </c>
      <c r="BM462" s="57" t="s">
        <v>1283</v>
      </c>
      <c r="BN462" s="57" t="s">
        <v>1283</v>
      </c>
      <c r="BO462" s="57" t="s">
        <v>1283</v>
      </c>
      <c r="BP462" s="57" t="s">
        <v>1283</v>
      </c>
      <c r="BQ462" s="57" t="s">
        <v>1283</v>
      </c>
      <c r="BR462" s="57" t="s">
        <v>1283</v>
      </c>
      <c r="BS462" s="57" t="s">
        <v>1283</v>
      </c>
      <c r="BT462" s="57" t="s">
        <v>1283</v>
      </c>
      <c r="BU462" s="57" t="s">
        <v>1283</v>
      </c>
      <c r="BV462" s="70">
        <f t="shared" si="3942"/>
        <v>578</v>
      </c>
      <c r="BW462" s="71">
        <f t="shared" si="3943"/>
        <v>607</v>
      </c>
      <c r="BX462" s="72">
        <f t="shared" si="3944"/>
        <v>614</v>
      </c>
      <c r="BY462" s="71" t="str">
        <f t="shared" si="3945"/>
        <v>-</v>
      </c>
      <c r="BZ462" s="72">
        <f t="shared" si="3946"/>
        <v>641</v>
      </c>
      <c r="CA462" s="71" t="str">
        <f t="shared" si="3947"/>
        <v>-</v>
      </c>
      <c r="CB462" s="72">
        <f t="shared" si="3948"/>
        <v>689</v>
      </c>
      <c r="CC462" s="71">
        <f t="shared" si="3949"/>
        <v>733</v>
      </c>
      <c r="CD462" s="72">
        <f t="shared" si="3950"/>
        <v>737</v>
      </c>
      <c r="CE462" s="71">
        <f t="shared" si="3951"/>
        <v>770</v>
      </c>
      <c r="CF462" s="72">
        <f t="shared" si="3952"/>
        <v>797</v>
      </c>
      <c r="CG462" s="71">
        <f t="shared" si="3953"/>
        <v>829</v>
      </c>
      <c r="CH462" s="70">
        <f t="shared" si="3954"/>
        <v>604</v>
      </c>
      <c r="CI462" s="71">
        <f t="shared" si="3955"/>
        <v>613</v>
      </c>
      <c r="CJ462" s="72">
        <f t="shared" si="3956"/>
        <v>636</v>
      </c>
      <c r="CK462" s="72" t="str">
        <f t="shared" si="3957"/>
        <v>-</v>
      </c>
      <c r="CL462" s="72">
        <f t="shared" si="3958"/>
        <v>678</v>
      </c>
      <c r="CM462" s="72" t="str">
        <f t="shared" si="3959"/>
        <v>-</v>
      </c>
      <c r="CN462" s="72">
        <f t="shared" si="3960"/>
        <v>715</v>
      </c>
      <c r="CO462" s="72">
        <f t="shared" si="3961"/>
        <v>735</v>
      </c>
      <c r="CP462" s="72">
        <f t="shared" si="3962"/>
        <v>761</v>
      </c>
      <c r="CQ462" s="72">
        <f t="shared" si="3963"/>
        <v>794</v>
      </c>
      <c r="CR462" s="72">
        <f t="shared" si="3964"/>
        <v>828</v>
      </c>
      <c r="CS462" s="72">
        <f t="shared" si="3965"/>
        <v>832</v>
      </c>
      <c r="CT462" s="23">
        <f t="shared" si="3966"/>
        <v>1</v>
      </c>
    </row>
    <row r="463" spans="1:1030" x14ac:dyDescent="0.2">
      <c r="A463" s="3" t="str">
        <f t="shared" si="3995"/>
        <v>grm5_human_5CGC</v>
      </c>
      <c r="B463" s="3" t="s">
        <v>41</v>
      </c>
      <c r="C463" s="3" t="s">
        <v>58</v>
      </c>
      <c r="D463" s="3" t="str">
        <f>IFERROR(MID(VLOOKUP($B463,Seqs!$A:$B,2,0),E463,1),"")</f>
        <v>P</v>
      </c>
      <c r="E463" s="3">
        <v>578</v>
      </c>
      <c r="F463" s="3" t="str">
        <f>IFERROR(MID(VLOOKUP($B463,Seqs!$A:$B,2,0),G463,1),"")</f>
        <v>Y</v>
      </c>
      <c r="G463" s="3">
        <v>604</v>
      </c>
      <c r="H463" s="3" t="str">
        <f>IFERROR(MID(VLOOKUP($B463,Seqs!$A:$B,2,0),I463,1),"")</f>
        <v>T</v>
      </c>
      <c r="I463" s="23">
        <v>607</v>
      </c>
      <c r="J463" s="3" t="str">
        <f>IFERROR(MID(VLOOKUP($B463,Seqs!$A:$B,2,0),K463,1),"")</f>
        <v>S</v>
      </c>
      <c r="K463" s="23">
        <v>613</v>
      </c>
      <c r="L463" s="3" t="str">
        <f>IFERROR(MID(VLOOKUP($B463,Seqs!$A:$B,2,0),M463,1),"")</f>
        <v>S</v>
      </c>
      <c r="M463" s="3">
        <v>614</v>
      </c>
      <c r="N463" s="3" t="str">
        <f>IFERROR(MID(VLOOKUP($B463,Seqs!$A:$B,2,0),O463,1),"")</f>
        <v>I</v>
      </c>
      <c r="O463" s="3">
        <v>636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K</v>
      </c>
      <c r="U463" s="105">
        <v>640</v>
      </c>
      <c r="V463" s="3" t="str">
        <f>IFERROR(MID(VLOOKUP($B463,Seqs!$A:$B,2,0),W463,1),"")</f>
        <v>K</v>
      </c>
      <c r="W463" s="3">
        <v>678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S</v>
      </c>
      <c r="AC463" s="9">
        <v>689</v>
      </c>
      <c r="AD463" s="3" t="str">
        <f>IFERROR(MID(VLOOKUP($B463,Seqs!$A:$B,2,0),AE463,1),"")</f>
        <v>E</v>
      </c>
      <c r="AE463" s="3">
        <v>715</v>
      </c>
      <c r="AF463" s="3" t="str">
        <f>IFERROR(MID(VLOOKUP($B463,Seqs!$A:$B,2,0),AG463,1),"")</f>
        <v>C</v>
      </c>
      <c r="AG463" s="3">
        <v>733</v>
      </c>
      <c r="AH463" s="3" t="str">
        <f>IFERROR(MID(VLOOKUP($B463,Seqs!$A:$B,2,0),AI463,1),"")</f>
        <v>T</v>
      </c>
      <c r="AI463" s="3">
        <v>735</v>
      </c>
      <c r="AJ463" s="3" t="str">
        <f>IFERROR(MID(VLOOKUP($B463,Seqs!$A:$B,2,0),AK463,1),"")</f>
        <v>N</v>
      </c>
      <c r="AK463" s="3">
        <v>737</v>
      </c>
      <c r="AL463" s="3" t="str">
        <f>IFERROR(MID(VLOOKUP($B463,Seqs!$A:$B,2,0),AM463,1),"")</f>
        <v>T</v>
      </c>
      <c r="AM463" s="3">
        <v>761</v>
      </c>
      <c r="AN463" s="3" t="str">
        <f>IFERROR(MID(VLOOKUP($B463,Seqs!$A:$B,2,0),AO463,1),"")</f>
        <v>E</v>
      </c>
      <c r="AO463" s="3">
        <v>770</v>
      </c>
      <c r="AP463" s="3" t="str">
        <f>IFERROR(MID(VLOOKUP($B463,Seqs!$A:$B,2,0),AQ463,1),"")</f>
        <v>G</v>
      </c>
      <c r="AQ463" s="3">
        <v>794</v>
      </c>
      <c r="AR463" s="3" t="str">
        <f>IFERROR(MID(VLOOKUP($B463,Seqs!$A:$B,2,0),AS463,1),"")</f>
        <v>Y</v>
      </c>
      <c r="AS463" s="105">
        <v>797</v>
      </c>
      <c r="AT463" s="3" t="str">
        <f>IFERROR(MID(VLOOKUP($B463,Seqs!$A:$B,2,0),AU463,1),"")</f>
        <v>K</v>
      </c>
      <c r="AU463" s="3">
        <v>828</v>
      </c>
      <c r="AV463" s="3" t="str">
        <f>IFERROR(MID(VLOOKUP($B463,Seqs!$A:$B,2,0),AW463,1),"")</f>
        <v>P</v>
      </c>
      <c r="AW463" s="3">
        <v>829</v>
      </c>
      <c r="AX463" s="3" t="str">
        <f>IFERROR(MID(VLOOKUP($B463,Seqs!$A:$B,2,0),AY463,1),"")</f>
        <v>N</v>
      </c>
      <c r="AY463" s="3">
        <v>832</v>
      </c>
      <c r="AZ463" s="77" t="str">
        <f>VLOOKUP(B463,Classification!A:D,2,0)</f>
        <v>C</v>
      </c>
      <c r="BA463" s="94" t="str">
        <f>VLOOKUP(B463,Classification!A:D,4,0)</f>
        <v>Metabotropicglutamate</v>
      </c>
      <c r="BB463" s="27" t="b">
        <f t="shared" si="3996"/>
        <v>1</v>
      </c>
      <c r="BC463" s="23">
        <f t="shared" si="3941"/>
        <v>214</v>
      </c>
      <c r="BD463" s="4" t="s">
        <v>23</v>
      </c>
      <c r="BE463" s="3" t="s">
        <v>1370</v>
      </c>
      <c r="BF463" s="118">
        <v>3.1</v>
      </c>
      <c r="BG463" s="49" t="s">
        <v>1373</v>
      </c>
      <c r="BH463" s="49" t="s">
        <v>1373</v>
      </c>
      <c r="BJ463" s="70" t="s">
        <v>1283</v>
      </c>
      <c r="BK463" s="57" t="s">
        <v>1283</v>
      </c>
      <c r="BL463" s="57" t="s">
        <v>1283</v>
      </c>
      <c r="BM463" s="57" t="s">
        <v>1283</v>
      </c>
      <c r="BN463" s="57" t="s">
        <v>1283</v>
      </c>
      <c r="BO463" s="57" t="s">
        <v>1283</v>
      </c>
      <c r="BP463" s="57" t="s">
        <v>1283</v>
      </c>
      <c r="BQ463" s="57" t="s">
        <v>1283</v>
      </c>
      <c r="BR463" s="57" t="s">
        <v>1283</v>
      </c>
      <c r="BS463" s="57" t="s">
        <v>1283</v>
      </c>
      <c r="BT463" s="57" t="s">
        <v>1283</v>
      </c>
      <c r="BU463" s="57" t="s">
        <v>1283</v>
      </c>
      <c r="BV463" s="70">
        <f t="shared" si="3942"/>
        <v>578</v>
      </c>
      <c r="BW463" s="71">
        <f t="shared" si="3943"/>
        <v>607</v>
      </c>
      <c r="BX463" s="72">
        <f t="shared" si="3944"/>
        <v>614</v>
      </c>
      <c r="BY463" s="71" t="str">
        <f t="shared" si="3945"/>
        <v>-</v>
      </c>
      <c r="BZ463" s="72">
        <f t="shared" si="3946"/>
        <v>640</v>
      </c>
      <c r="CA463" s="71" t="str">
        <f t="shared" si="3947"/>
        <v>-</v>
      </c>
      <c r="CB463" s="72">
        <f t="shared" si="3948"/>
        <v>689</v>
      </c>
      <c r="CC463" s="71">
        <f t="shared" si="3949"/>
        <v>733</v>
      </c>
      <c r="CD463" s="72">
        <f t="shared" si="3950"/>
        <v>737</v>
      </c>
      <c r="CE463" s="71">
        <f t="shared" si="3951"/>
        <v>770</v>
      </c>
      <c r="CF463" s="72">
        <f t="shared" si="3952"/>
        <v>797</v>
      </c>
      <c r="CG463" s="71">
        <f t="shared" si="3953"/>
        <v>829</v>
      </c>
      <c r="CH463" s="70">
        <f t="shared" si="3954"/>
        <v>604</v>
      </c>
      <c r="CI463" s="71">
        <f t="shared" si="3955"/>
        <v>613</v>
      </c>
      <c r="CJ463" s="72">
        <f t="shared" si="3956"/>
        <v>636</v>
      </c>
      <c r="CK463" s="72" t="str">
        <f t="shared" si="3957"/>
        <v>-</v>
      </c>
      <c r="CL463" s="72">
        <f t="shared" si="3958"/>
        <v>678</v>
      </c>
      <c r="CM463" s="72" t="str">
        <f t="shared" si="3959"/>
        <v>-</v>
      </c>
      <c r="CN463" s="72">
        <f t="shared" si="3960"/>
        <v>715</v>
      </c>
      <c r="CO463" s="72">
        <f t="shared" si="3961"/>
        <v>735</v>
      </c>
      <c r="CP463" s="72">
        <f t="shared" si="3962"/>
        <v>761</v>
      </c>
      <c r="CQ463" s="72">
        <f t="shared" si="3963"/>
        <v>794</v>
      </c>
      <c r="CR463" s="72">
        <f t="shared" si="3964"/>
        <v>828</v>
      </c>
      <c r="CS463" s="72">
        <f t="shared" si="3965"/>
        <v>832</v>
      </c>
      <c r="CT463" s="23">
        <f t="shared" si="3966"/>
        <v>1</v>
      </c>
    </row>
    <row r="464" spans="1:1030" x14ac:dyDescent="0.2">
      <c r="A464" s="3" t="str">
        <f t="shared" si="3995"/>
        <v>grm5_human_5CGD</v>
      </c>
      <c r="B464" s="3" t="s">
        <v>41</v>
      </c>
      <c r="C464" s="3" t="s">
        <v>59</v>
      </c>
      <c r="D464" s="3" t="str">
        <f>IFERROR(MID(VLOOKUP($B464,Seqs!$A:$B,2,0),E464,1),"")</f>
        <v>P</v>
      </c>
      <c r="E464" s="3">
        <v>578</v>
      </c>
      <c r="F464" s="3" t="str">
        <f>IFERROR(MID(VLOOKUP($B464,Seqs!$A:$B,2,0),G464,1),"")</f>
        <v>Y</v>
      </c>
      <c r="G464" s="3">
        <v>604</v>
      </c>
      <c r="H464" s="3" t="str">
        <f>IFERROR(MID(VLOOKUP($B464,Seqs!$A:$B,2,0),I464,1),"")</f>
        <v>T</v>
      </c>
      <c r="I464" s="23">
        <v>607</v>
      </c>
      <c r="J464" s="3" t="str">
        <f>IFERROR(MID(VLOOKUP($B464,Seqs!$A:$B,2,0),K464,1),"")</f>
        <v>S</v>
      </c>
      <c r="K464" s="23">
        <v>613</v>
      </c>
      <c r="L464" s="3" t="str">
        <f>IFERROR(MID(VLOOKUP($B464,Seqs!$A:$B,2,0),M464,1),"")</f>
        <v>S</v>
      </c>
      <c r="M464" s="3">
        <v>614</v>
      </c>
      <c r="N464" s="3" t="str">
        <f>IFERROR(MID(VLOOKUP($B464,Seqs!$A:$B,2,0),O464,1),"")</f>
        <v>I</v>
      </c>
      <c r="O464" s="3">
        <v>636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Q</v>
      </c>
      <c r="U464" s="3">
        <v>641</v>
      </c>
      <c r="V464" s="3" t="str">
        <f>IFERROR(MID(VLOOKUP($B464,Seqs!$A:$B,2,0),W464,1),"")</f>
        <v>K</v>
      </c>
      <c r="W464" s="3">
        <v>678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S</v>
      </c>
      <c r="AC464" s="9">
        <v>689</v>
      </c>
      <c r="AD464" s="3" t="str">
        <f>IFERROR(MID(VLOOKUP($B464,Seqs!$A:$B,2,0),AE464,1),"")</f>
        <v>E</v>
      </c>
      <c r="AE464" s="3">
        <v>715</v>
      </c>
      <c r="AF464" s="3" t="str">
        <f>IFERROR(MID(VLOOKUP($B464,Seqs!$A:$B,2,0),AG464,1),"")</f>
        <v>C</v>
      </c>
      <c r="AG464" s="3">
        <v>733</v>
      </c>
      <c r="AH464" s="3" t="str">
        <f>IFERROR(MID(VLOOKUP($B464,Seqs!$A:$B,2,0),AI464,1),"")</f>
        <v>T</v>
      </c>
      <c r="AI464" s="3">
        <v>735</v>
      </c>
      <c r="AJ464" s="3" t="str">
        <f>IFERROR(MID(VLOOKUP($B464,Seqs!$A:$B,2,0),AK464,1),"")</f>
        <v>N</v>
      </c>
      <c r="AK464" s="3">
        <v>737</v>
      </c>
      <c r="AL464" s="3" t="str">
        <f>IFERROR(MID(VLOOKUP($B464,Seqs!$A:$B,2,0),AM464,1),"")</f>
        <v>T</v>
      </c>
      <c r="AM464" s="3">
        <v>761</v>
      </c>
      <c r="AN464" s="3" t="str">
        <f>IFERROR(MID(VLOOKUP($B464,Seqs!$A:$B,2,0),AO464,1),"")</f>
        <v>E</v>
      </c>
      <c r="AO464" s="3">
        <v>770</v>
      </c>
      <c r="AP464" s="3" t="str">
        <f>IFERROR(MID(VLOOKUP($B464,Seqs!$A:$B,2,0),AQ464,1),"")</f>
        <v>G</v>
      </c>
      <c r="AQ464" s="3">
        <v>794</v>
      </c>
      <c r="AR464" s="3" t="str">
        <f>IFERROR(MID(VLOOKUP($B464,Seqs!$A:$B,2,0),AS464,1),"")</f>
        <v>Y</v>
      </c>
      <c r="AS464" s="105">
        <v>797</v>
      </c>
      <c r="AT464" s="3" t="str">
        <f>IFERROR(MID(VLOOKUP($B464,Seqs!$A:$B,2,0),AU464,1),"")</f>
        <v>K</v>
      </c>
      <c r="AU464" s="3">
        <v>828</v>
      </c>
      <c r="AV464" s="3" t="str">
        <f>IFERROR(MID(VLOOKUP($B464,Seqs!$A:$B,2,0),AW464,1),"")</f>
        <v>P</v>
      </c>
      <c r="AW464" s="3">
        <v>829</v>
      </c>
      <c r="AX464" s="3" t="str">
        <f>IFERROR(MID(VLOOKUP($B464,Seqs!$A:$B,2,0),AY464,1),"")</f>
        <v>R</v>
      </c>
      <c r="AY464" s="3">
        <v>831</v>
      </c>
      <c r="AZ464" s="77" t="str">
        <f>VLOOKUP(B464,Classification!A:D,2,0)</f>
        <v>C</v>
      </c>
      <c r="BA464" s="94" t="str">
        <f>VLOOKUP(B464,Classification!A:D,4,0)</f>
        <v>Metabotropicglutamate</v>
      </c>
      <c r="BB464" s="27" t="b">
        <f t="shared" si="3996"/>
        <v>1</v>
      </c>
      <c r="BC464" s="23">
        <f t="shared" si="3941"/>
        <v>212</v>
      </c>
      <c r="BD464" s="4" t="s">
        <v>23</v>
      </c>
      <c r="BE464" s="3" t="s">
        <v>1370</v>
      </c>
      <c r="BF464" s="118">
        <v>2.6</v>
      </c>
      <c r="BG464" s="49" t="s">
        <v>1373</v>
      </c>
      <c r="BH464" s="49" t="s">
        <v>1373</v>
      </c>
      <c r="BJ464" s="70" t="s">
        <v>1283</v>
      </c>
      <c r="BK464" s="57" t="s">
        <v>1283</v>
      </c>
      <c r="BL464" s="57" t="s">
        <v>1283</v>
      </c>
      <c r="BM464" s="57" t="s">
        <v>1283</v>
      </c>
      <c r="BN464" s="57" t="s">
        <v>1283</v>
      </c>
      <c r="BO464" s="57" t="s">
        <v>1283</v>
      </c>
      <c r="BP464" s="57" t="s">
        <v>1283</v>
      </c>
      <c r="BQ464" s="57" t="s">
        <v>1283</v>
      </c>
      <c r="BR464" s="57" t="s">
        <v>1283</v>
      </c>
      <c r="BS464" s="57" t="s">
        <v>1283</v>
      </c>
      <c r="BT464" s="57" t="s">
        <v>1283</v>
      </c>
      <c r="BU464" s="57" t="s">
        <v>1283</v>
      </c>
      <c r="BV464" s="70">
        <f t="shared" si="3942"/>
        <v>578</v>
      </c>
      <c r="BW464" s="71">
        <f t="shared" si="3943"/>
        <v>607</v>
      </c>
      <c r="BX464" s="72">
        <f t="shared" si="3944"/>
        <v>614</v>
      </c>
      <c r="BY464" s="71" t="str">
        <f t="shared" si="3945"/>
        <v>-</v>
      </c>
      <c r="BZ464" s="72">
        <f t="shared" si="3946"/>
        <v>641</v>
      </c>
      <c r="CA464" s="71" t="str">
        <f t="shared" si="3947"/>
        <v>-</v>
      </c>
      <c r="CB464" s="72">
        <f t="shared" si="3948"/>
        <v>689</v>
      </c>
      <c r="CC464" s="71">
        <f t="shared" si="3949"/>
        <v>733</v>
      </c>
      <c r="CD464" s="72">
        <f t="shared" si="3950"/>
        <v>737</v>
      </c>
      <c r="CE464" s="71">
        <f t="shared" si="3951"/>
        <v>770</v>
      </c>
      <c r="CF464" s="72">
        <f t="shared" si="3952"/>
        <v>797</v>
      </c>
      <c r="CG464" s="71">
        <f t="shared" si="3953"/>
        <v>829</v>
      </c>
      <c r="CH464" s="70">
        <f t="shared" si="3954"/>
        <v>604</v>
      </c>
      <c r="CI464" s="71">
        <f t="shared" si="3955"/>
        <v>613</v>
      </c>
      <c r="CJ464" s="72">
        <f t="shared" si="3956"/>
        <v>636</v>
      </c>
      <c r="CK464" s="72" t="str">
        <f t="shared" si="3957"/>
        <v>-</v>
      </c>
      <c r="CL464" s="72">
        <f t="shared" si="3958"/>
        <v>678</v>
      </c>
      <c r="CM464" s="72" t="str">
        <f t="shared" si="3959"/>
        <v>-</v>
      </c>
      <c r="CN464" s="72">
        <f t="shared" si="3960"/>
        <v>715</v>
      </c>
      <c r="CO464" s="72">
        <f t="shared" si="3961"/>
        <v>735</v>
      </c>
      <c r="CP464" s="72">
        <f t="shared" si="3962"/>
        <v>761</v>
      </c>
      <c r="CQ464" s="72">
        <f t="shared" si="3963"/>
        <v>794</v>
      </c>
      <c r="CR464" s="72">
        <f t="shared" si="3964"/>
        <v>828</v>
      </c>
      <c r="CS464" s="72">
        <f t="shared" si="3965"/>
        <v>831</v>
      </c>
      <c r="CT464" s="23">
        <f t="shared" si="3966"/>
        <v>1</v>
      </c>
      <c r="AMP464" s="3"/>
    </row>
    <row r="465" spans="1:1030" x14ac:dyDescent="0.2">
      <c r="A465" s="3" t="str">
        <f>CONCATENATE(B465,"_",C465)</f>
        <v>grm5_human_6FFH</v>
      </c>
      <c r="B465" s="3" t="s">
        <v>41</v>
      </c>
      <c r="C465" s="3" t="s">
        <v>1470</v>
      </c>
      <c r="D465" s="3" t="str">
        <f>IFERROR(MID(VLOOKUP($B465,Seqs!$A:$B,2,0),E465,1),"")</f>
        <v>P</v>
      </c>
      <c r="E465" s="3">
        <v>578</v>
      </c>
      <c r="F465" s="3" t="str">
        <f>IFERROR(MID(VLOOKUP($B465,Seqs!$A:$B,2,0),G465,1),"")</f>
        <v>Y</v>
      </c>
      <c r="G465" s="3">
        <v>604</v>
      </c>
      <c r="H465" s="3" t="str">
        <f>IFERROR(MID(VLOOKUP($B465,Seqs!$A:$B,2,0),I465,1),"")</f>
        <v>T</v>
      </c>
      <c r="I465" s="23">
        <v>607</v>
      </c>
      <c r="J465" s="3" t="str">
        <f>IFERROR(MID(VLOOKUP($B465,Seqs!$A:$B,2,0),K465,1),"")</f>
        <v>S</v>
      </c>
      <c r="K465" s="23">
        <v>613</v>
      </c>
      <c r="L465" s="3" t="str">
        <f>IFERROR(MID(VLOOKUP($B465,Seqs!$A:$B,2,0),M465,1),"")</f>
        <v>S</v>
      </c>
      <c r="M465" s="3">
        <v>614</v>
      </c>
      <c r="N465" s="3" t="str">
        <f>IFERROR(MID(VLOOKUP($B465,Seqs!$A:$B,2,0),O465,1),"")</f>
        <v>I</v>
      </c>
      <c r="O465" s="3">
        <v>636</v>
      </c>
      <c r="P465" s="3" t="str">
        <f>IFERROR(MID(VLOOKUP($B465,Seqs!$A:$B,2,0),Q465,1),"")</f>
        <v/>
      </c>
      <c r="Q465" s="3" t="s">
        <v>23</v>
      </c>
      <c r="R465" s="3" t="str">
        <f>IFERROR(MID(VLOOKUP($B465,Seqs!$A:$B,2,0),S465,1),"")</f>
        <v/>
      </c>
      <c r="S465" s="3" t="s">
        <v>23</v>
      </c>
      <c r="T465" s="3" t="str">
        <f>IFERROR(MID(VLOOKUP($B465,Seqs!$A:$B,2,0),U465,1),"")</f>
        <v>K</v>
      </c>
      <c r="U465" s="3">
        <v>640</v>
      </c>
      <c r="V465" s="3" t="str">
        <f>IFERROR(MID(VLOOKUP($B465,Seqs!$A:$B,2,0),W465,1),"")</f>
        <v>K</v>
      </c>
      <c r="W465" s="3">
        <v>678</v>
      </c>
      <c r="X465" s="3" t="str">
        <f>IFERROR(MID(VLOOKUP($B465,Seqs!$A:$B,2,0),Y465,1),"")</f>
        <v/>
      </c>
      <c r="Y465" s="3" t="s">
        <v>23</v>
      </c>
      <c r="Z465" s="3" t="str">
        <f>IFERROR(MID(VLOOKUP($B465,Seqs!$A:$B,2,0),AA465,1),"")</f>
        <v/>
      </c>
      <c r="AA465" s="3" t="s">
        <v>23</v>
      </c>
      <c r="AB465" s="3" t="str">
        <f>IFERROR(MID(VLOOKUP($B465,Seqs!$A:$B,2,0),AC465,1),"")</f>
        <v/>
      </c>
      <c r="AC465" s="3">
        <v>1689</v>
      </c>
      <c r="AD465" s="3" t="str">
        <f>IFERROR(MID(VLOOKUP($B465,Seqs!$A:$B,2,0),AE465,1),"")</f>
        <v/>
      </c>
      <c r="AE465" s="3">
        <v>1715</v>
      </c>
      <c r="AF465" s="3" t="str">
        <f>IFERROR(MID(VLOOKUP($B465,Seqs!$A:$B,2,0),AG465,1),"")</f>
        <v/>
      </c>
      <c r="AG465" s="3">
        <v>1733</v>
      </c>
      <c r="AH465" s="3" t="str">
        <f>IFERROR(MID(VLOOKUP($B465,Seqs!$A:$B,2,0),AI465,1),"")</f>
        <v/>
      </c>
      <c r="AI465" s="3">
        <v>1735</v>
      </c>
      <c r="AJ465" s="3" t="str">
        <f>IFERROR(MID(VLOOKUP($B465,Seqs!$A:$B,2,0),AK465,1),"")</f>
        <v/>
      </c>
      <c r="AK465" s="3">
        <v>1736</v>
      </c>
      <c r="AL465" s="3" t="str">
        <f>IFERROR(MID(VLOOKUP($B465,Seqs!$A:$B,2,0),AM465,1),"")</f>
        <v/>
      </c>
      <c r="AM465" s="3">
        <v>1761</v>
      </c>
      <c r="AN465" s="3" t="str">
        <f>IFERROR(MID(VLOOKUP($B465,Seqs!$A:$B,2,0),AO465,1),"")</f>
        <v/>
      </c>
      <c r="AO465" s="3">
        <v>1770</v>
      </c>
      <c r="AP465" s="3" t="str">
        <f>IFERROR(MID(VLOOKUP($B465,Seqs!$A:$B,2,0),AQ465,1),"")</f>
        <v/>
      </c>
      <c r="AQ465" s="3">
        <v>1794</v>
      </c>
      <c r="AR465" s="3" t="str">
        <f>IFERROR(MID(VLOOKUP($B465,Seqs!$A:$B,2,0),AS465,1),"")</f>
        <v/>
      </c>
      <c r="AS465" s="3">
        <v>1797</v>
      </c>
      <c r="AT465" s="3" t="str">
        <f>IFERROR(MID(VLOOKUP($B465,Seqs!$A:$B,2,0),AU465,1),"")</f>
        <v/>
      </c>
      <c r="AU465" s="3">
        <v>1828</v>
      </c>
      <c r="AV465" s="3" t="str">
        <f>IFERROR(MID(VLOOKUP($B465,Seqs!$A:$B,2,0),AW465,1),"")</f>
        <v/>
      </c>
      <c r="AW465" s="3">
        <v>1829</v>
      </c>
      <c r="AX465" s="3" t="str">
        <f>IFERROR(MID(VLOOKUP($B465,Seqs!$A:$B,2,0),AY465,1),"")</f>
        <v/>
      </c>
      <c r="AY465" s="3">
        <v>1832</v>
      </c>
      <c r="AZ465" s="77" t="str">
        <f>VLOOKUP(B465,Classification!A:D,2,0)</f>
        <v>C</v>
      </c>
      <c r="BA465" s="94" t="str">
        <f>VLOOKUP(B465,Classification!A:D,4,0)</f>
        <v>Metabotropicglutamate</v>
      </c>
      <c r="BB465" s="27" t="b">
        <f>AND(E465&lt;G465,OR(G465&lt;I465,I465="-"),OR(I465&lt;K465,I465="-"),OR(K465&lt;M465,K465="-"),M465&lt;O465,OR(O465&lt;Q465,Q465="-"),OR(Q465&lt;S465,Q465="-"),OR(S465&lt;U465,S465="-"),U465&lt;W465,OR(W465&lt;Y465,Y465="-"),OR(Y465&lt;AA465,Y465="-"),OR(AA465&lt;AC465,AA465="-"),AC465&lt;AE465,OR(AE465&lt;AG465,AG465="-"),OR(AG465&lt;AI465,AG465="-"),OR(AI465&lt;AK465,AI465="-"),AK465&lt;AM465,AM465&lt;AO465,AO465&lt;AQ465,AQ465&lt;AS465,AS465&lt;AU465,OR(AU465&lt;AW465,AW465="-"),OR(AW465&lt;AY465,AW465="-"))</f>
        <v>1</v>
      </c>
      <c r="BC465" s="23">
        <f>_xlfn.AGGREGATE(9,6,CH465:CS465)-_xlfn.AGGREGATE(9,6,BV465:CG465)+12</f>
        <v>215</v>
      </c>
      <c r="BD465" s="4" t="s">
        <v>23</v>
      </c>
      <c r="BE465" s="3" t="s">
        <v>1370</v>
      </c>
      <c r="BF465" s="118">
        <v>2.65</v>
      </c>
      <c r="BG465" s="49" t="s">
        <v>1</v>
      </c>
      <c r="BH465" s="49" t="s">
        <v>1</v>
      </c>
      <c r="BJ465" s="70" t="s">
        <v>1283</v>
      </c>
      <c r="BK465" s="57" t="s">
        <v>1283</v>
      </c>
      <c r="BL465" s="57" t="s">
        <v>1283</v>
      </c>
      <c r="BM465" s="57" t="s">
        <v>1283</v>
      </c>
      <c r="BN465" s="57" t="s">
        <v>1283</v>
      </c>
      <c r="BO465" s="57" t="s">
        <v>1283</v>
      </c>
      <c r="BP465" s="57" t="s">
        <v>1283</v>
      </c>
      <c r="BQ465" s="57" t="s">
        <v>1283</v>
      </c>
      <c r="BR465" s="57" t="s">
        <v>1283</v>
      </c>
      <c r="BS465" s="57" t="s">
        <v>1283</v>
      </c>
      <c r="BT465" s="57" t="s">
        <v>1283</v>
      </c>
      <c r="BU465" s="57" t="s">
        <v>1283</v>
      </c>
      <c r="BV465" s="70">
        <f>E465</f>
        <v>578</v>
      </c>
      <c r="BW465" s="71">
        <f>I465</f>
        <v>607</v>
      </c>
      <c r="BX465" s="72">
        <f>M465</f>
        <v>614</v>
      </c>
      <c r="BY465" s="71" t="str">
        <f>Q465</f>
        <v>-</v>
      </c>
      <c r="BZ465" s="72">
        <f>U465</f>
        <v>640</v>
      </c>
      <c r="CA465" s="71" t="str">
        <f>Y465</f>
        <v>-</v>
      </c>
      <c r="CB465" s="72">
        <f>AC465</f>
        <v>1689</v>
      </c>
      <c r="CC465" s="71">
        <f>AG465</f>
        <v>1733</v>
      </c>
      <c r="CD465" s="72">
        <f>AK465</f>
        <v>1736</v>
      </c>
      <c r="CE465" s="71">
        <f>AO465</f>
        <v>1770</v>
      </c>
      <c r="CF465" s="72">
        <f>AS465</f>
        <v>1797</v>
      </c>
      <c r="CG465" s="71">
        <f>AW465</f>
        <v>1829</v>
      </c>
      <c r="CH465" s="70">
        <f>G465</f>
        <v>604</v>
      </c>
      <c r="CI465" s="71">
        <f>K465</f>
        <v>613</v>
      </c>
      <c r="CJ465" s="72">
        <f>O465</f>
        <v>636</v>
      </c>
      <c r="CK465" s="72" t="str">
        <f>S465</f>
        <v>-</v>
      </c>
      <c r="CL465" s="72">
        <f>W465</f>
        <v>678</v>
      </c>
      <c r="CM465" s="72" t="str">
        <f>AA465</f>
        <v>-</v>
      </c>
      <c r="CN465" s="72">
        <f>AE465</f>
        <v>1715</v>
      </c>
      <c r="CO465" s="72">
        <f>AI465</f>
        <v>1735</v>
      </c>
      <c r="CP465" s="72">
        <f>AM465</f>
        <v>1761</v>
      </c>
      <c r="CQ465" s="72">
        <f>AQ465</f>
        <v>1794</v>
      </c>
      <c r="CR465" s="72">
        <f>AU465</f>
        <v>1828</v>
      </c>
      <c r="CS465" s="72">
        <f>AY465</f>
        <v>1832</v>
      </c>
      <c r="CT465" s="23">
        <f>M465-K465</f>
        <v>1</v>
      </c>
      <c r="AMP465" s="3"/>
    </row>
    <row r="466" spans="1:1030" x14ac:dyDescent="0.2">
      <c r="A466" s="3" t="str">
        <f>CONCATENATE(B466,"_",C466)</f>
        <v>grm5_human_6FFI</v>
      </c>
      <c r="B466" s="3" t="s">
        <v>41</v>
      </c>
      <c r="C466" s="3" t="s">
        <v>1471</v>
      </c>
      <c r="D466" s="3" t="str">
        <f>IFERROR(MID(VLOOKUP($B466,Seqs!$A:$B,2,0),E466,1),"")</f>
        <v>P</v>
      </c>
      <c r="E466" s="3">
        <v>578</v>
      </c>
      <c r="F466" s="3" t="str">
        <f>IFERROR(MID(VLOOKUP($B466,Seqs!$A:$B,2,0),G466,1),"")</f>
        <v>Y</v>
      </c>
      <c r="G466" s="3">
        <v>604</v>
      </c>
      <c r="H466" s="3" t="str">
        <f>IFERROR(MID(VLOOKUP($B466,Seqs!$A:$B,2,0),I466,1),"")</f>
        <v>T</v>
      </c>
      <c r="I466" s="23">
        <v>607</v>
      </c>
      <c r="J466" s="3" t="str">
        <f>IFERROR(MID(VLOOKUP($B466,Seqs!$A:$B,2,0),K466,1),"")</f>
        <v>S</v>
      </c>
      <c r="K466" s="23">
        <v>613</v>
      </c>
      <c r="L466" s="3" t="str">
        <f>IFERROR(MID(VLOOKUP($B466,Seqs!$A:$B,2,0),M466,1),"")</f>
        <v>S</v>
      </c>
      <c r="M466" s="3">
        <v>614</v>
      </c>
      <c r="N466" s="3" t="str">
        <f>IFERROR(MID(VLOOKUP($B466,Seqs!$A:$B,2,0),O466,1),"")</f>
        <v>I</v>
      </c>
      <c r="O466" s="3">
        <v>636</v>
      </c>
      <c r="P466" s="3" t="str">
        <f>IFERROR(MID(VLOOKUP($B466,Seqs!$A:$B,2,0),Q466,1),"")</f>
        <v/>
      </c>
      <c r="Q466" s="3" t="s">
        <v>23</v>
      </c>
      <c r="R466" s="3" t="str">
        <f>IFERROR(MID(VLOOKUP($B466,Seqs!$A:$B,2,0),S466,1),"")</f>
        <v/>
      </c>
      <c r="S466" s="3" t="s">
        <v>23</v>
      </c>
      <c r="T466" s="3" t="str">
        <f>IFERROR(MID(VLOOKUP($B466,Seqs!$A:$B,2,0),U466,1),"")</f>
        <v>K</v>
      </c>
      <c r="U466" s="3">
        <v>640</v>
      </c>
      <c r="V466" s="3" t="str">
        <f>IFERROR(MID(VLOOKUP($B466,Seqs!$A:$B,2,0),W466,1),"")</f>
        <v>K</v>
      </c>
      <c r="W466" s="3">
        <v>678</v>
      </c>
      <c r="X466" s="3" t="str">
        <f>IFERROR(MID(VLOOKUP($B466,Seqs!$A:$B,2,0),Y466,1),"")</f>
        <v/>
      </c>
      <c r="Y466" s="3" t="s">
        <v>23</v>
      </c>
      <c r="Z466" s="3" t="str">
        <f>IFERROR(MID(VLOOKUP($B466,Seqs!$A:$B,2,0),AA466,1),"")</f>
        <v/>
      </c>
      <c r="AA466" s="3" t="s">
        <v>23</v>
      </c>
      <c r="AB466" s="3" t="str">
        <f>IFERROR(MID(VLOOKUP($B466,Seqs!$A:$B,2,0),AC466,1),"")</f>
        <v>D</v>
      </c>
      <c r="AC466" s="3">
        <v>849</v>
      </c>
      <c r="AD466" s="3" t="str">
        <f>IFERROR(MID(VLOOKUP($B466,Seqs!$A:$B,2,0),AE466,1),"")</f>
        <v>T</v>
      </c>
      <c r="AE466" s="3">
        <v>875</v>
      </c>
      <c r="AF466" s="3" t="str">
        <f>IFERROR(MID(VLOOKUP($B466,Seqs!$A:$B,2,0),AG466,1),"")</f>
        <v>F</v>
      </c>
      <c r="AG466" s="3">
        <v>893</v>
      </c>
      <c r="AH466" s="3" t="str">
        <f>IFERROR(MID(VLOOKUP($B466,Seqs!$A:$B,2,0),AI466,1),"")</f>
        <v>P</v>
      </c>
      <c r="AI466" s="3">
        <v>895</v>
      </c>
      <c r="AJ466" s="3" t="str">
        <f>IFERROR(MID(VLOOKUP($B466,Seqs!$A:$B,2,0),AK466,1),"")</f>
        <v>K</v>
      </c>
      <c r="AK466" s="3">
        <v>896</v>
      </c>
      <c r="AL466" s="3" t="str">
        <f>IFERROR(MID(VLOOKUP($B466,Seqs!$A:$B,2,0),AM466,1),"")</f>
        <v>E</v>
      </c>
      <c r="AM466" s="3">
        <v>921</v>
      </c>
      <c r="AN466" s="3" t="str">
        <f>IFERROR(MID(VLOOKUP($B466,Seqs!$A:$B,2,0),AO466,1),"")</f>
        <v>L</v>
      </c>
      <c r="AO466" s="3">
        <v>929</v>
      </c>
      <c r="AP466" s="3" t="str">
        <f>IFERROR(MID(VLOOKUP($B466,Seqs!$A:$B,2,0),AQ466,1),"")</f>
        <v>S</v>
      </c>
      <c r="AQ466" s="3">
        <v>955</v>
      </c>
      <c r="AR466" s="3" t="str">
        <f>IFERROR(MID(VLOOKUP($B466,Seqs!$A:$B,2,0),AS466,1),"")</f>
        <v>E</v>
      </c>
      <c r="AS466" s="3">
        <v>957</v>
      </c>
      <c r="AT466" s="3" t="str">
        <f>IFERROR(MID(VLOOKUP($B466,Seqs!$A:$B,2,0),AU466,1),"")</f>
        <v>G</v>
      </c>
      <c r="AU466" s="3">
        <v>988</v>
      </c>
      <c r="AV466" s="3" t="str">
        <f>IFERROR(MID(VLOOKUP($B466,Seqs!$A:$B,2,0),AW466,1),"")</f>
        <v>G</v>
      </c>
      <c r="AW466" s="3">
        <v>989</v>
      </c>
      <c r="AX466" s="3" t="str">
        <f>IFERROR(MID(VLOOKUP($B466,Seqs!$A:$B,2,0),AY466,1),"")</f>
        <v>S</v>
      </c>
      <c r="AY466" s="3">
        <v>992</v>
      </c>
      <c r="AZ466" s="77" t="str">
        <f>VLOOKUP(B466,Classification!A:D,2,0)</f>
        <v>C</v>
      </c>
      <c r="BA466" s="94" t="str">
        <f>VLOOKUP(B466,Classification!A:D,4,0)</f>
        <v>Metabotropicglutamate</v>
      </c>
      <c r="BB466" s="27" t="b">
        <f>AND(E466&lt;G466,OR(G466&lt;I466,I466="-"),OR(I466&lt;K466,I466="-"),OR(K466&lt;M466,K466="-"),M466&lt;O466,OR(O466&lt;Q466,Q466="-"),OR(Q466&lt;S466,Q466="-"),OR(S466&lt;U466,S466="-"),U466&lt;W466,OR(W466&lt;Y466,Y466="-"),OR(Y466&lt;AA466,Y466="-"),OR(AA466&lt;AC466,AA466="-"),AC466&lt;AE466,OR(AE466&lt;AG466,AG466="-"),OR(AG466&lt;AI466,AG466="-"),OR(AI466&lt;AK466,AI466="-"),AK466&lt;AM466,AM466&lt;AO466,AO466&lt;AQ466,AQ466&lt;AS466,AS466&lt;AU466,OR(AU466&lt;AW466,AW466="-"),OR(AW466&lt;AY466,AW466="-"))</f>
        <v>1</v>
      </c>
      <c r="BC466" s="23">
        <f>_xlfn.AGGREGATE(9,6,CH466:CS466)-_xlfn.AGGREGATE(9,6,BV466:CG466)+12</f>
        <v>217</v>
      </c>
      <c r="BD466" s="4" t="s">
        <v>23</v>
      </c>
      <c r="BE466" s="3" t="s">
        <v>1370</v>
      </c>
      <c r="BF466" s="118">
        <v>2.2000000000000002</v>
      </c>
      <c r="BG466" s="49" t="s">
        <v>1</v>
      </c>
      <c r="BH466" s="49" t="s">
        <v>1</v>
      </c>
      <c r="BJ466" s="70" t="s">
        <v>1283</v>
      </c>
      <c r="BK466" s="57" t="s">
        <v>1283</v>
      </c>
      <c r="BL466" s="57" t="s">
        <v>1283</v>
      </c>
      <c r="BM466" s="57" t="s">
        <v>1283</v>
      </c>
      <c r="BN466" s="57" t="s">
        <v>1283</v>
      </c>
      <c r="BO466" s="57" t="s">
        <v>1283</v>
      </c>
      <c r="BP466" s="57" t="s">
        <v>1283</v>
      </c>
      <c r="BQ466" s="57" t="s">
        <v>1283</v>
      </c>
      <c r="BR466" s="57" t="s">
        <v>1283</v>
      </c>
      <c r="BS466" s="57" t="s">
        <v>1283</v>
      </c>
      <c r="BT466" s="57" t="s">
        <v>1283</v>
      </c>
      <c r="BU466" s="57" t="s">
        <v>1283</v>
      </c>
      <c r="BV466" s="70">
        <f>E466</f>
        <v>578</v>
      </c>
      <c r="BW466" s="71">
        <f>I466</f>
        <v>607</v>
      </c>
      <c r="BX466" s="72">
        <f>M466</f>
        <v>614</v>
      </c>
      <c r="BY466" s="71" t="str">
        <f>Q466</f>
        <v>-</v>
      </c>
      <c r="BZ466" s="72">
        <f>U466</f>
        <v>640</v>
      </c>
      <c r="CA466" s="71" t="str">
        <f>Y466</f>
        <v>-</v>
      </c>
      <c r="CB466" s="72">
        <f>AC466</f>
        <v>849</v>
      </c>
      <c r="CC466" s="71">
        <f>AG466</f>
        <v>893</v>
      </c>
      <c r="CD466" s="72">
        <f>AK466</f>
        <v>896</v>
      </c>
      <c r="CE466" s="71">
        <f>AO466</f>
        <v>929</v>
      </c>
      <c r="CF466" s="72">
        <f>AS466</f>
        <v>957</v>
      </c>
      <c r="CG466" s="71">
        <f>AW466</f>
        <v>989</v>
      </c>
      <c r="CH466" s="70">
        <f>G466</f>
        <v>604</v>
      </c>
      <c r="CI466" s="71">
        <f>K466</f>
        <v>613</v>
      </c>
      <c r="CJ466" s="72">
        <f>O466</f>
        <v>636</v>
      </c>
      <c r="CK466" s="72" t="str">
        <f>S466</f>
        <v>-</v>
      </c>
      <c r="CL466" s="72">
        <f>W466</f>
        <v>678</v>
      </c>
      <c r="CM466" s="72" t="str">
        <f>AA466</f>
        <v>-</v>
      </c>
      <c r="CN466" s="72">
        <f>AE466</f>
        <v>875</v>
      </c>
      <c r="CO466" s="72">
        <f>AI466</f>
        <v>895</v>
      </c>
      <c r="CP466" s="72">
        <f>AM466</f>
        <v>921</v>
      </c>
      <c r="CQ466" s="72">
        <f>AQ466</f>
        <v>955</v>
      </c>
      <c r="CR466" s="72">
        <f>AU466</f>
        <v>988</v>
      </c>
      <c r="CS466" s="72">
        <f>AY466</f>
        <v>992</v>
      </c>
      <c r="CT466" s="23">
        <f>M466-K466</f>
        <v>1</v>
      </c>
      <c r="AMP466" s="3"/>
    </row>
    <row r="467" spans="1:1030" x14ac:dyDescent="0.2">
      <c r="A467" s="3" t="str">
        <f>CONCATENATE(B467,"_",C467)</f>
        <v>grm5_human_6N51</v>
      </c>
      <c r="B467" s="3" t="s">
        <v>41</v>
      </c>
      <c r="C467" s="3" t="s">
        <v>1548</v>
      </c>
      <c r="D467" s="3" t="str">
        <f>IFERROR(MID(VLOOKUP($B467,Seqs!$A:$B,2,0),E467,1),"")</f>
        <v>D</v>
      </c>
      <c r="E467" s="3">
        <v>577</v>
      </c>
      <c r="F467" s="3" t="str">
        <f>IFERROR(MID(VLOOKUP($B467,Seqs!$A:$B,2,0),G467,1),"")</f>
        <v>I</v>
      </c>
      <c r="G467" s="3">
        <v>602</v>
      </c>
      <c r="H467" s="3" t="str">
        <f>IFERROR(MID(VLOOKUP($B467,Seqs!$A:$B,2,0),I467,1),"")</f>
        <v>T</v>
      </c>
      <c r="I467" s="23">
        <v>607</v>
      </c>
      <c r="J467" s="3" t="str">
        <f>IFERROR(MID(VLOOKUP($B467,Seqs!$A:$B,2,0),K467,1),"")</f>
        <v>S</v>
      </c>
      <c r="K467" s="23">
        <v>613</v>
      </c>
      <c r="L467" s="3" t="str">
        <f>IFERROR(MID(VLOOKUP($B467,Seqs!$A:$B,2,0),M467,1),"")</f>
        <v>S</v>
      </c>
      <c r="M467" s="3">
        <v>614</v>
      </c>
      <c r="N467" s="3" t="str">
        <f>IFERROR(MID(VLOOKUP($B467,Seqs!$A:$B,2,0),O467,1),"")</f>
        <v>C</v>
      </c>
      <c r="O467" s="3">
        <v>634</v>
      </c>
      <c r="P467" s="3" t="str">
        <f>IFERROR(MID(VLOOKUP($B467,Seqs!$A:$B,2,0),Q467,1),"")</f>
        <v/>
      </c>
      <c r="Q467" s="3" t="s">
        <v>23</v>
      </c>
      <c r="R467" s="3" t="str">
        <f>IFERROR(MID(VLOOKUP($B467,Seqs!$A:$B,2,0),S467,1),"")</f>
        <v/>
      </c>
      <c r="S467" s="3" t="s">
        <v>23</v>
      </c>
      <c r="T467" s="3" t="str">
        <f>IFERROR(MID(VLOOKUP($B467,Seqs!$A:$B,2,0),U467,1),"")</f>
        <v>K</v>
      </c>
      <c r="U467" s="3">
        <v>640</v>
      </c>
      <c r="V467" s="3" t="str">
        <f>IFERROR(MID(VLOOKUP($B467,Seqs!$A:$B,2,0),W467,1),"")</f>
        <v>A</v>
      </c>
      <c r="W467" s="3">
        <v>674</v>
      </c>
      <c r="X467" s="3" t="str">
        <f>IFERROR(MID(VLOOKUP($B467,Seqs!$A:$B,2,0),Y467,1),"")</f>
        <v/>
      </c>
      <c r="Y467" s="3" t="s">
        <v>23</v>
      </c>
      <c r="Z467" s="3" t="str">
        <f>IFERROR(MID(VLOOKUP($B467,Seqs!$A:$B,2,0),AA467,1),"")</f>
        <v/>
      </c>
      <c r="AA467" s="3" t="s">
        <v>23</v>
      </c>
      <c r="AB467" s="3" t="str">
        <f>IFERROR(MID(VLOOKUP($B467,Seqs!$A:$B,2,0),AC467,1),"")</f>
        <v>S</v>
      </c>
      <c r="AC467" s="3">
        <v>689</v>
      </c>
      <c r="AD467" s="3" t="str">
        <f>IFERROR(MID(VLOOKUP($B467,Seqs!$A:$B,2,0),AE467,1),"")</f>
        <v>E</v>
      </c>
      <c r="AE467" s="3">
        <v>715</v>
      </c>
      <c r="AF467" s="3" t="str">
        <f>IFERROR(MID(VLOOKUP($B467,Seqs!$A:$B,2,0),AG467,1),"")</f>
        <v>C</v>
      </c>
      <c r="AG467" s="3">
        <v>733</v>
      </c>
      <c r="AH467" s="3" t="str">
        <f>IFERROR(MID(VLOOKUP($B467,Seqs!$A:$B,2,0),AI467,1),"")</f>
        <v>T</v>
      </c>
      <c r="AI467" s="3">
        <v>735</v>
      </c>
      <c r="AJ467" s="3" t="str">
        <f>IFERROR(MID(VLOOKUP($B467,Seqs!$A:$B,2,0),AK467,1),"")</f>
        <v>N</v>
      </c>
      <c r="AK467" s="3">
        <v>737</v>
      </c>
      <c r="AL467" s="3" t="str">
        <f>IFERROR(MID(VLOOKUP($B467,Seqs!$A:$B,2,0),AM467,1),"")</f>
        <v>A</v>
      </c>
      <c r="AM467" s="3">
        <v>758</v>
      </c>
      <c r="AN467" s="3" t="str">
        <f>IFERROR(MID(VLOOKUP($B467,Seqs!$A:$B,2,0),AO467,1),"")</f>
        <v>N</v>
      </c>
      <c r="AO467" s="3">
        <v>769</v>
      </c>
      <c r="AP467" s="3" t="str">
        <f>IFERROR(MID(VLOOKUP($B467,Seqs!$A:$B,2,0),AQ467,1),"")</f>
        <v>G</v>
      </c>
      <c r="AQ467" s="3">
        <v>794</v>
      </c>
      <c r="AR467" s="3" t="str">
        <f>IFERROR(MID(VLOOKUP($B467,Seqs!$A:$B,2,0),AS467,1),"")</f>
        <v>I</v>
      </c>
      <c r="AS467" s="3">
        <v>799</v>
      </c>
      <c r="AT467" s="3" t="str">
        <f>IFERROR(MID(VLOOKUP($B467,Seqs!$A:$B,2,0),AU467,1),"")</f>
        <v>L</v>
      </c>
      <c r="AU467" s="3">
        <v>826</v>
      </c>
      <c r="AV467" s="3" t="str">
        <f>IFERROR(MID(VLOOKUP($B467,Seqs!$A:$B,2,0),AW467,1),"")</f>
        <v/>
      </c>
      <c r="AW467" s="3" t="s">
        <v>23</v>
      </c>
      <c r="AX467" s="3" t="str">
        <f>IFERROR(MID(VLOOKUP($B467,Seqs!$A:$B,2,0),AY467,1),"")</f>
        <v/>
      </c>
      <c r="AY467" s="3" t="s">
        <v>23</v>
      </c>
      <c r="AZ467" s="77" t="str">
        <f>VLOOKUP(B467,Classification!A:D,2,0)</f>
        <v>C</v>
      </c>
      <c r="BA467" s="94" t="str">
        <f>VLOOKUP(B467,Classification!A:D,4,0)</f>
        <v>Metabotropicglutamate</v>
      </c>
      <c r="BB467" s="27" t="b">
        <f>AND(E467&lt;G467,OR(G467&lt;I467,I467="-"),OR(I467&lt;K467,I467="-"),OR(K467&lt;M467,K467="-"),M467&lt;O467,OR(O467&lt;Q467,Q467="-"),OR(Q467&lt;S467,Q467="-"),OR(S467&lt;U467,S467="-"),U467&lt;W467,OR(W467&lt;Y467,Y467="-"),OR(Y467&lt;AA467,Y467="-"),OR(AA467&lt;AC467,AA467="-"),AC467&lt;AE467,OR(AE467&lt;AG467,AG467="-"),OR(AG467&lt;AI467,AG467="-"),OR(AI467&lt;AK467,AI467="-"),AK467&lt;AM467,AM467&lt;AO467,AO467&lt;AQ467,AQ467&lt;AS467,AS467&lt;AU467,OR(AU467&lt;AW467,AW467="-"),OR(AW467&lt;AY467,AW467="-"))</f>
        <v>1</v>
      </c>
      <c r="BC467" s="23">
        <f>_xlfn.AGGREGATE(9,6,CH467:CS467)-_xlfn.AGGREGATE(9,6,BV467:CG467)+12</f>
        <v>198</v>
      </c>
      <c r="BD467" s="4" t="s">
        <v>23</v>
      </c>
      <c r="BE467" s="3" t="s">
        <v>1370</v>
      </c>
      <c r="BF467" s="118">
        <v>4</v>
      </c>
      <c r="BG467" s="49" t="s">
        <v>1277</v>
      </c>
      <c r="BH467" s="49" t="s">
        <v>1277</v>
      </c>
      <c r="BJ467" s="70" t="s">
        <v>1283</v>
      </c>
      <c r="BK467" s="57" t="s">
        <v>1283</v>
      </c>
      <c r="BL467" s="57" t="s">
        <v>1283</v>
      </c>
      <c r="BM467" s="57" t="s">
        <v>1283</v>
      </c>
      <c r="BN467" s="57" t="s">
        <v>1283</v>
      </c>
      <c r="BO467" s="57" t="s">
        <v>1283</v>
      </c>
      <c r="BP467" s="57" t="s">
        <v>1283</v>
      </c>
      <c r="BQ467" s="57" t="s">
        <v>1283</v>
      </c>
      <c r="BR467" s="57" t="s">
        <v>1283</v>
      </c>
      <c r="BS467" s="57" t="s">
        <v>1283</v>
      </c>
      <c r="BT467" s="57" t="s">
        <v>1283</v>
      </c>
      <c r="BU467" s="57" t="s">
        <v>1283</v>
      </c>
      <c r="BV467" s="70">
        <f>E467</f>
        <v>577</v>
      </c>
      <c r="BW467" s="71">
        <f>I467</f>
        <v>607</v>
      </c>
      <c r="BX467" s="72">
        <f>M467</f>
        <v>614</v>
      </c>
      <c r="BY467" s="71" t="str">
        <f>Q467</f>
        <v>-</v>
      </c>
      <c r="BZ467" s="72">
        <f>U467</f>
        <v>640</v>
      </c>
      <c r="CA467" s="71" t="str">
        <f>Y467</f>
        <v>-</v>
      </c>
      <c r="CB467" s="72">
        <f>AC467</f>
        <v>689</v>
      </c>
      <c r="CC467" s="71">
        <f>AG467</f>
        <v>733</v>
      </c>
      <c r="CD467" s="72">
        <f>AK467</f>
        <v>737</v>
      </c>
      <c r="CE467" s="71">
        <f>AO467</f>
        <v>769</v>
      </c>
      <c r="CF467" s="72">
        <f>AS467</f>
        <v>799</v>
      </c>
      <c r="CG467" s="71" t="str">
        <f>AW467</f>
        <v>-</v>
      </c>
      <c r="CH467" s="70">
        <f>G467</f>
        <v>602</v>
      </c>
      <c r="CI467" s="71">
        <f>K467</f>
        <v>613</v>
      </c>
      <c r="CJ467" s="72">
        <f>O467</f>
        <v>634</v>
      </c>
      <c r="CK467" s="72" t="str">
        <f>S467</f>
        <v>-</v>
      </c>
      <c r="CL467" s="72">
        <f>W467</f>
        <v>674</v>
      </c>
      <c r="CM467" s="72" t="str">
        <f>AA467</f>
        <v>-</v>
      </c>
      <c r="CN467" s="72">
        <f>AE467</f>
        <v>715</v>
      </c>
      <c r="CO467" s="72">
        <f>AI467</f>
        <v>735</v>
      </c>
      <c r="CP467" s="72">
        <f>AM467</f>
        <v>758</v>
      </c>
      <c r="CQ467" s="72">
        <f>AQ467</f>
        <v>794</v>
      </c>
      <c r="CR467" s="72">
        <f>AU467</f>
        <v>826</v>
      </c>
      <c r="CS467" s="72" t="str">
        <f>AY467</f>
        <v>-</v>
      </c>
      <c r="CT467" s="23">
        <f>M467-K467</f>
        <v>1</v>
      </c>
      <c r="AMP467" s="3"/>
    </row>
    <row r="468" spans="1:1030" x14ac:dyDescent="0.2">
      <c r="A468" s="3" t="str">
        <f>CONCATENATE(B468,"_",C468)</f>
        <v>grm5_human_6N52</v>
      </c>
      <c r="B468" s="3" t="s">
        <v>41</v>
      </c>
      <c r="C468" s="3" t="s">
        <v>1549</v>
      </c>
      <c r="D468" s="3" t="str">
        <f>IFERROR(MID(VLOOKUP($B468,Seqs!$A:$B,2,0),E468,1),"")</f>
        <v>P</v>
      </c>
      <c r="E468" s="3">
        <v>580</v>
      </c>
      <c r="F468" s="3" t="str">
        <f>IFERROR(MID(VLOOKUP($B468,Seqs!$A:$B,2,0),G468,1),"")</f>
        <v>T</v>
      </c>
      <c r="G468" s="3">
        <v>598</v>
      </c>
      <c r="H468" s="3" t="str">
        <f>IFERROR(MID(VLOOKUP($B468,Seqs!$A:$B,2,0),I468,1),"")</f>
        <v>T</v>
      </c>
      <c r="I468" s="23">
        <v>607</v>
      </c>
      <c r="J468" s="3" t="str">
        <f>IFERROR(MID(VLOOKUP($B468,Seqs!$A:$B,2,0),K468,1),"")</f>
        <v>S</v>
      </c>
      <c r="K468" s="23">
        <v>613</v>
      </c>
      <c r="L468" s="3" t="str">
        <f>IFERROR(MID(VLOOKUP($B468,Seqs!$A:$B,2,0),M468,1),"")</f>
        <v>S</v>
      </c>
      <c r="M468" s="3">
        <v>614</v>
      </c>
      <c r="N468" s="3" t="str">
        <f>IFERROR(MID(VLOOKUP($B468,Seqs!$A:$B,2,0),O468,1),"")</f>
        <v>I</v>
      </c>
      <c r="O468" s="3">
        <v>636</v>
      </c>
      <c r="P468" s="3" t="str">
        <f>IFERROR(MID(VLOOKUP($B468,Seqs!$A:$B,2,0),Q468,1),"")</f>
        <v/>
      </c>
      <c r="Q468" s="3" t="s">
        <v>23</v>
      </c>
      <c r="R468" s="3" t="str">
        <f>IFERROR(MID(VLOOKUP($B468,Seqs!$A:$B,2,0),S468,1),"")</f>
        <v/>
      </c>
      <c r="S468" s="3" t="s">
        <v>23</v>
      </c>
      <c r="T468" s="3" t="str">
        <f>IFERROR(MID(VLOOKUP($B468,Seqs!$A:$B,2,0),U468,1),"")</f>
        <v>K</v>
      </c>
      <c r="U468" s="3">
        <v>640</v>
      </c>
      <c r="V468" s="3" t="str">
        <f>IFERROR(MID(VLOOKUP($B468,Seqs!$A:$B,2,0),W468,1),"")</f>
        <v>I</v>
      </c>
      <c r="W468" s="3">
        <v>669</v>
      </c>
      <c r="X468" s="3" t="str">
        <f>IFERROR(MID(VLOOKUP($B468,Seqs!$A:$B,2,0),Y468,1),"")</f>
        <v/>
      </c>
      <c r="Y468" s="3" t="s">
        <v>23</v>
      </c>
      <c r="Z468" s="3" t="str">
        <f>IFERROR(MID(VLOOKUP($B468,Seqs!$A:$B,2,0),AA468,1),"")</f>
        <v/>
      </c>
      <c r="AA468" s="3" t="s">
        <v>23</v>
      </c>
      <c r="AB468" s="3" t="str">
        <f>IFERROR(MID(VLOOKUP($B468,Seqs!$A:$B,2,0),AC468,1),"")</f>
        <v>A</v>
      </c>
      <c r="AC468" s="3">
        <v>692</v>
      </c>
      <c r="AD468" s="3" t="str">
        <f>IFERROR(MID(VLOOKUP($B468,Seqs!$A:$B,2,0),AE468,1),"")</f>
        <v>E</v>
      </c>
      <c r="AE468" s="3">
        <v>715</v>
      </c>
      <c r="AF468" s="3" t="str">
        <f>IFERROR(MID(VLOOKUP($B468,Seqs!$A:$B,2,0),AG468,1),"")</f>
        <v>C</v>
      </c>
      <c r="AG468" s="3">
        <v>733</v>
      </c>
      <c r="AH468" s="3" t="str">
        <f>IFERROR(MID(VLOOKUP($B468,Seqs!$A:$B,2,0),AI468,1),"")</f>
        <v>T</v>
      </c>
      <c r="AI468" s="3">
        <v>735</v>
      </c>
      <c r="AJ468" s="3" t="str">
        <f>IFERROR(MID(VLOOKUP($B468,Seqs!$A:$B,2,0),AK468,1),"")</f>
        <v>T</v>
      </c>
      <c r="AK468" s="3">
        <v>736</v>
      </c>
      <c r="AL468" s="3" t="str">
        <f>IFERROR(MID(VLOOKUP($B468,Seqs!$A:$B,2,0),AM468,1),"")</f>
        <v>T</v>
      </c>
      <c r="AM468" s="3">
        <v>761</v>
      </c>
      <c r="AN468" s="3" t="str">
        <f>IFERROR(MID(VLOOKUP($B468,Seqs!$A:$B,2,0),AO468,1),"")</f>
        <v>E</v>
      </c>
      <c r="AO468" s="3">
        <v>770</v>
      </c>
      <c r="AP468" s="3" t="str">
        <f>IFERROR(MID(VLOOKUP($B468,Seqs!$A:$B,2,0),AQ468,1),"")</f>
        <v>F</v>
      </c>
      <c r="AQ468" s="3">
        <v>793</v>
      </c>
      <c r="AR468" s="3" t="str">
        <f>IFERROR(MID(VLOOKUP($B468,Seqs!$A:$B,2,0),AS468,1),"")</f>
        <v>I</v>
      </c>
      <c r="AS468" s="3">
        <v>799</v>
      </c>
      <c r="AT468" s="3" t="str">
        <f>IFERROR(MID(VLOOKUP($B468,Seqs!$A:$B,2,0),AU468,1),"")</f>
        <v>K</v>
      </c>
      <c r="AU468" s="3">
        <v>828</v>
      </c>
      <c r="AV468" s="3" t="str">
        <f>IFERROR(MID(VLOOKUP($B468,Seqs!$A:$B,2,0),AW468,1),"")</f>
        <v>P</v>
      </c>
      <c r="AW468" s="3">
        <v>829</v>
      </c>
      <c r="AX468" s="3" t="str">
        <f>IFERROR(MID(VLOOKUP($B468,Seqs!$A:$B,2,0),AY468,1),"")</f>
        <v>N</v>
      </c>
      <c r="AY468" s="3">
        <v>832</v>
      </c>
      <c r="AZ468" s="77" t="str">
        <f>VLOOKUP(B468,Classification!A:D,2,0)</f>
        <v>C</v>
      </c>
      <c r="BA468" s="94" t="str">
        <f>VLOOKUP(B468,Classification!A:D,4,0)</f>
        <v>Metabotropicglutamate</v>
      </c>
      <c r="BB468" s="27" t="b">
        <f>AND(E468&lt;G468,OR(G468&lt;I468,I468="-"),OR(I468&lt;K468,I468="-"),OR(K468&lt;M468,K468="-"),M468&lt;O468,OR(O468&lt;Q468,Q468="-"),OR(Q468&lt;S468,Q468="-"),OR(S468&lt;U468,S468="-"),U468&lt;W468,OR(W468&lt;Y468,Y468="-"),OR(Y468&lt;AA468,Y468="-"),OR(AA468&lt;AC468,AA468="-"),AC468&lt;AE468,OR(AE468&lt;AG468,AG468="-"),OR(AG468&lt;AI468,AG468="-"),OR(AI468&lt;AK468,AI468="-"),AK468&lt;AM468,AM468&lt;AO468,AO468&lt;AQ468,AQ468&lt;AS468,AS468&lt;AU468,OR(AU468&lt;AW468,AW468="-"),OR(AW468&lt;AY468,AW468="-"))</f>
        <v>1</v>
      </c>
      <c r="BC468" s="23">
        <f>_xlfn.AGGREGATE(9,6,CH468:CS468)-_xlfn.AGGREGATE(9,6,BV468:CG468)+12</f>
        <v>192</v>
      </c>
      <c r="BD468" s="4" t="s">
        <v>23</v>
      </c>
      <c r="BE468" s="3" t="s">
        <v>1370</v>
      </c>
      <c r="BF468" s="118">
        <v>4</v>
      </c>
      <c r="BG468" s="49" t="s">
        <v>1</v>
      </c>
      <c r="BH468" s="49" t="s">
        <v>1</v>
      </c>
      <c r="BJ468" s="70" t="s">
        <v>1283</v>
      </c>
      <c r="BK468" s="57" t="s">
        <v>1283</v>
      </c>
      <c r="BL468" s="57" t="s">
        <v>1283</v>
      </c>
      <c r="BM468" s="57" t="s">
        <v>1283</v>
      </c>
      <c r="BN468" s="57" t="s">
        <v>1283</v>
      </c>
      <c r="BO468" s="57" t="s">
        <v>1283</v>
      </c>
      <c r="BP468" s="57" t="s">
        <v>1283</v>
      </c>
      <c r="BQ468" s="57" t="s">
        <v>1283</v>
      </c>
      <c r="BR468" s="57" t="s">
        <v>1283</v>
      </c>
      <c r="BS468" s="57" t="s">
        <v>1283</v>
      </c>
      <c r="BT468" s="57" t="s">
        <v>1283</v>
      </c>
      <c r="BU468" s="57" t="s">
        <v>1283</v>
      </c>
      <c r="BV468" s="70">
        <f>E468</f>
        <v>580</v>
      </c>
      <c r="BW468" s="71">
        <f>I468</f>
        <v>607</v>
      </c>
      <c r="BX468" s="72">
        <f>M468</f>
        <v>614</v>
      </c>
      <c r="BY468" s="71" t="str">
        <f>Q468</f>
        <v>-</v>
      </c>
      <c r="BZ468" s="72">
        <f>U468</f>
        <v>640</v>
      </c>
      <c r="CA468" s="71" t="str">
        <f>Y468</f>
        <v>-</v>
      </c>
      <c r="CB468" s="72">
        <f>AC468</f>
        <v>692</v>
      </c>
      <c r="CC468" s="71">
        <f>AG468</f>
        <v>733</v>
      </c>
      <c r="CD468" s="72">
        <f>AK468</f>
        <v>736</v>
      </c>
      <c r="CE468" s="71">
        <f>AO468</f>
        <v>770</v>
      </c>
      <c r="CF468" s="72">
        <f>AS468</f>
        <v>799</v>
      </c>
      <c r="CG468" s="71">
        <f>AW468</f>
        <v>829</v>
      </c>
      <c r="CH468" s="70">
        <f>G468</f>
        <v>598</v>
      </c>
      <c r="CI468" s="71">
        <f>K468</f>
        <v>613</v>
      </c>
      <c r="CJ468" s="72">
        <f>O468</f>
        <v>636</v>
      </c>
      <c r="CK468" s="72" t="str">
        <f>S468</f>
        <v>-</v>
      </c>
      <c r="CL468" s="72">
        <f>W468</f>
        <v>669</v>
      </c>
      <c r="CM468" s="72" t="str">
        <f>AA468</f>
        <v>-</v>
      </c>
      <c r="CN468" s="72">
        <f>AE468</f>
        <v>715</v>
      </c>
      <c r="CO468" s="72">
        <f>AI468</f>
        <v>735</v>
      </c>
      <c r="CP468" s="72">
        <f>AM468</f>
        <v>761</v>
      </c>
      <c r="CQ468" s="72">
        <f>AQ468</f>
        <v>793</v>
      </c>
      <c r="CR468" s="72">
        <f>AU468</f>
        <v>828</v>
      </c>
      <c r="CS468" s="72">
        <f>AY468</f>
        <v>832</v>
      </c>
      <c r="CT468" s="23">
        <f>M468-K468</f>
        <v>1</v>
      </c>
      <c r="AMP468" s="3"/>
    </row>
    <row r="469" spans="1:1030" x14ac:dyDescent="0.2">
      <c r="A469" s="3" t="str">
        <f>CONCATENATE(B469,"_",C469)</f>
        <v>fzd4_human__wt</v>
      </c>
      <c r="B469" s="3" t="s">
        <v>446</v>
      </c>
      <c r="C469" s="3" t="s">
        <v>100</v>
      </c>
      <c r="D469" s="3" t="str">
        <f>IFERROR(MID(VLOOKUP($B469,Seqs!$A:$B,2,0),E469,1),"")</f>
        <v>S</v>
      </c>
      <c r="E469" s="3">
        <v>212</v>
      </c>
      <c r="F469" s="3" t="str">
        <f>IFERROR(MID(VLOOKUP($B469,Seqs!$A:$B,2,0),G469,1),"")</f>
        <v>D</v>
      </c>
      <c r="G469" s="3">
        <v>244</v>
      </c>
      <c r="H469" s="3" t="str">
        <f>IFERROR(MID(VLOOKUP($B469,Seqs!$A:$B,2,0),I469,1),"")</f>
        <v>S</v>
      </c>
      <c r="I469" s="23">
        <v>245</v>
      </c>
      <c r="J469" s="3" t="str">
        <f>IFERROR(MID(VLOOKUP($B469,Seqs!$A:$B,2,0),K469,1),"")</f>
        <v>S</v>
      </c>
      <c r="K469" s="23">
        <v>249</v>
      </c>
      <c r="L469" s="3" t="str">
        <f>IFERROR(MID(VLOOKUP($B469,Seqs!$A:$B,2,0),M469,1),"")</f>
        <v>Y</v>
      </c>
      <c r="M469" s="3">
        <v>250</v>
      </c>
      <c r="N469" s="3" t="str">
        <f>IFERROR(MID(VLOOKUP($B469,Seqs!$A:$B,2,0),O469,1),"")</f>
        <v>G</v>
      </c>
      <c r="O469" s="3">
        <v>276</v>
      </c>
      <c r="P469" s="3" t="str">
        <f>IFERROR(MID(VLOOKUP($B469,Seqs!$A:$B,2,0),Q469,1),"")</f>
        <v/>
      </c>
      <c r="Q469" s="3" t="s">
        <v>23</v>
      </c>
      <c r="R469" s="3" t="str">
        <f>IFERROR(MID(VLOOKUP($B469,Seqs!$A:$B,2,0),S469,1),"")</f>
        <v/>
      </c>
      <c r="S469" s="3" t="s">
        <v>23</v>
      </c>
      <c r="T469" s="3" t="str">
        <f>IFERROR(MID(VLOOKUP($B469,Seqs!$A:$B,2,0),U469,1),"")</f>
        <v>N</v>
      </c>
      <c r="U469" s="3">
        <v>299</v>
      </c>
      <c r="V469" s="3" t="str">
        <f>IFERROR(MID(VLOOKUP($B469,Seqs!$A:$B,2,0),W469,1),"")</f>
        <v>G</v>
      </c>
      <c r="W469" s="3">
        <v>332</v>
      </c>
      <c r="X469" s="3" t="str">
        <f>IFERROR(MID(VLOOKUP($B469,Seqs!$A:$B,2,0),Y469,1),"")</f>
        <v/>
      </c>
      <c r="Y469" s="3" t="s">
        <v>23</v>
      </c>
      <c r="Z469" s="3" t="str">
        <f>IFERROR(MID(VLOOKUP($B469,Seqs!$A:$B,2,0),AA469,1),"")</f>
        <v/>
      </c>
      <c r="AA469" s="3" t="s">
        <v>23</v>
      </c>
      <c r="AB469" s="3" t="str">
        <f>IFERROR(MID(VLOOKUP($B469,Seqs!$A:$B,2,0),AC469,1),"")</f>
        <v>H</v>
      </c>
      <c r="AC469" s="3">
        <v>343</v>
      </c>
      <c r="AD469" s="3" t="str">
        <f>IFERROR(MID(VLOOKUP($B469,Seqs!$A:$B,2,0),AE469,1),"")</f>
        <v>R</v>
      </c>
      <c r="AE469" s="3">
        <v>366</v>
      </c>
      <c r="AF469" s="3" t="str">
        <f>IFERROR(MID(VLOOKUP($B469,Seqs!$A:$B,2,0),AG469,1),"")</f>
        <v>C</v>
      </c>
      <c r="AG469" s="3">
        <v>377</v>
      </c>
      <c r="AH469" s="3" t="str">
        <f>IFERROR(MID(VLOOKUP($B469,Seqs!$A:$B,2,0),AI469,1),"")</f>
        <v>V</v>
      </c>
      <c r="AI469" s="3">
        <v>379</v>
      </c>
      <c r="AJ469" s="3" t="str">
        <f>IFERROR(MID(VLOOKUP($B469,Seqs!$A:$B,2,0),AK469,1),"")</f>
        <v>N</v>
      </c>
      <c r="AK469" s="3">
        <v>383</v>
      </c>
      <c r="AL469" s="3" t="str">
        <f>IFERROR(MID(VLOOKUP($B469,Seqs!$A:$B,2,0),AM469,1),"")</f>
        <v>L</v>
      </c>
      <c r="AM469" s="3">
        <v>420</v>
      </c>
      <c r="AN469" s="3" t="str">
        <f>IFERROR(MID(VLOOKUP($B469,Seqs!$A:$B,2,0),AO469,1),"")</f>
        <v>E</v>
      </c>
      <c r="AO469" s="3">
        <v>431</v>
      </c>
      <c r="AP469" s="3" t="str">
        <f>IFERROR(MID(VLOOKUP($B469,Seqs!$A:$B,2,0),AQ469,1),"")</f>
        <v>N</v>
      </c>
      <c r="AQ469" s="3">
        <v>461</v>
      </c>
      <c r="AR469" s="3" t="str">
        <f>IFERROR(MID(VLOOKUP($B469,Seqs!$A:$B,2,0),AS469,1),"")</f>
        <v>N</v>
      </c>
      <c r="AS469" s="3">
        <v>473</v>
      </c>
      <c r="AT469" s="3" t="str">
        <f>IFERROR(MID(VLOOKUP($B469,Seqs!$A:$B,2,0),AU469,1),"")</f>
        <v>W</v>
      </c>
      <c r="AU469" s="3">
        <v>496</v>
      </c>
      <c r="AV469" s="3" t="str">
        <f>IFERROR(MID(VLOOKUP($B469,Seqs!$A:$B,2,0),AW469,1),"")</f>
        <v>S</v>
      </c>
      <c r="AW469" s="3">
        <v>497</v>
      </c>
      <c r="AX469" s="3" t="str">
        <f>IFERROR(MID(VLOOKUP($B469,Seqs!$A:$B,2,0),AY469,1),"")</f>
        <v>V</v>
      </c>
      <c r="AY469" s="3">
        <v>512</v>
      </c>
      <c r="AZ469" s="77" t="str">
        <f>VLOOKUP(B469,Classification!A:D,2,0)</f>
        <v>F</v>
      </c>
      <c r="BA469" s="94" t="str">
        <f>VLOOKUP(B469,Classification!A:D,4,0)</f>
        <v>Frizzled</v>
      </c>
      <c r="BB469" s="27" t="b">
        <f t="shared" ref="BB469:BB470" si="4389">AND(E469&lt;G469,OR(G469&lt;I469,I469="-"),OR(I469&lt;K469,I469="-"),OR(K469&lt;M469,K469="-"),M469&lt;O469,OR(O469&lt;Q469,Q469="-"),OR(Q469&lt;S469,Q469="-"),OR(S469&lt;U469,S469="-"),U469&lt;W469,OR(W469&lt;Y469,Y469="-"),OR(Y469&lt;AA469,Y469="-"),OR(AA469&lt;AC469,AA469="-"),AC469&lt;AE469,OR(AE469&lt;AG469,AG469="-"),OR(AG469&lt;AI469,AG469="-"),OR(AI469&lt;AK469,AI469="-"),AK469&lt;AM469,AM469&lt;AO469,AO469&lt;AQ469,AQ469&lt;AS469,AS469&lt;AU469,OR(AU469&lt;AW469,AW469="-"),OR(AW469&lt;AY469,AW469="-"))</f>
        <v>1</v>
      </c>
      <c r="BC469" s="23">
        <f t="shared" ref="BC469:BC470" si="4390">_xlfn.AGGREGATE(9,6,CH469:CS469)-_xlfn.AGGREGATE(9,6,BV469:CG469)+12</f>
        <v>237</v>
      </c>
      <c r="BD469" s="4" t="s">
        <v>23</v>
      </c>
      <c r="BE469" s="3" t="s">
        <v>23</v>
      </c>
      <c r="BF469" s="118" t="s">
        <v>23</v>
      </c>
      <c r="BG469" s="49" t="s">
        <v>23</v>
      </c>
      <c r="BH469" s="49" t="s">
        <v>23</v>
      </c>
      <c r="BJ469" s="70" t="s">
        <v>1283</v>
      </c>
      <c r="BK469" s="57" t="s">
        <v>1283</v>
      </c>
      <c r="BL469" s="57" t="s">
        <v>1283</v>
      </c>
      <c r="BM469" s="57" t="s">
        <v>1283</v>
      </c>
      <c r="BN469" s="57" t="s">
        <v>1283</v>
      </c>
      <c r="BO469" s="57" t="s">
        <v>1283</v>
      </c>
      <c r="BP469" s="57" t="s">
        <v>1283</v>
      </c>
      <c r="BQ469" s="57" t="s">
        <v>1283</v>
      </c>
      <c r="BR469" s="57" t="s">
        <v>1283</v>
      </c>
      <c r="BS469" s="57" t="s">
        <v>1283</v>
      </c>
      <c r="BT469" s="57" t="s">
        <v>1283</v>
      </c>
      <c r="BU469" s="57" t="s">
        <v>1283</v>
      </c>
      <c r="BV469" s="70">
        <f t="shared" ref="BV469:BV470" si="4391">E469</f>
        <v>212</v>
      </c>
      <c r="BW469" s="71">
        <f t="shared" ref="BW469:BW470" si="4392">I469</f>
        <v>245</v>
      </c>
      <c r="BX469" s="72">
        <f t="shared" ref="BX469:BX470" si="4393">M469</f>
        <v>250</v>
      </c>
      <c r="BY469" s="71" t="str">
        <f t="shared" ref="BY469:BY470" si="4394">Q469</f>
        <v>-</v>
      </c>
      <c r="BZ469" s="72">
        <f t="shared" ref="BZ469:BZ470" si="4395">U469</f>
        <v>299</v>
      </c>
      <c r="CA469" s="71" t="str">
        <f t="shared" ref="CA469:CA470" si="4396">Y469</f>
        <v>-</v>
      </c>
      <c r="CB469" s="72">
        <f t="shared" ref="CB469:CB470" si="4397">AC469</f>
        <v>343</v>
      </c>
      <c r="CC469" s="71">
        <f t="shared" ref="CC469:CC470" si="4398">AG469</f>
        <v>377</v>
      </c>
      <c r="CD469" s="72">
        <f t="shared" ref="CD469:CD470" si="4399">AK469</f>
        <v>383</v>
      </c>
      <c r="CE469" s="71">
        <f t="shared" ref="CE469:CE470" si="4400">AO469</f>
        <v>431</v>
      </c>
      <c r="CF469" s="72">
        <f t="shared" ref="CF469:CF470" si="4401">AS469</f>
        <v>473</v>
      </c>
      <c r="CG469" s="71">
        <f t="shared" ref="CG469:CG470" si="4402">AW469</f>
        <v>497</v>
      </c>
      <c r="CH469" s="70">
        <f t="shared" ref="CH469:CH470" si="4403">G469</f>
        <v>244</v>
      </c>
      <c r="CI469" s="71">
        <f t="shared" ref="CI469:CI470" si="4404">K469</f>
        <v>249</v>
      </c>
      <c r="CJ469" s="72">
        <f t="shared" ref="CJ469:CJ470" si="4405">O469</f>
        <v>276</v>
      </c>
      <c r="CK469" s="72" t="str">
        <f t="shared" ref="CK469:CK470" si="4406">S469</f>
        <v>-</v>
      </c>
      <c r="CL469" s="72">
        <f t="shared" ref="CL469:CL470" si="4407">W469</f>
        <v>332</v>
      </c>
      <c r="CM469" s="72" t="str">
        <f t="shared" ref="CM469:CM470" si="4408">AA469</f>
        <v>-</v>
      </c>
      <c r="CN469" s="72">
        <f t="shared" ref="CN469:CN470" si="4409">AE469</f>
        <v>366</v>
      </c>
      <c r="CO469" s="72">
        <f t="shared" ref="CO469:CO470" si="4410">AI469</f>
        <v>379</v>
      </c>
      <c r="CP469" s="72">
        <f t="shared" ref="CP469:CP470" si="4411">AM469</f>
        <v>420</v>
      </c>
      <c r="CQ469" s="72">
        <f t="shared" ref="CQ469:CQ470" si="4412">AQ469</f>
        <v>461</v>
      </c>
      <c r="CR469" s="72">
        <f t="shared" ref="CR469:CR470" si="4413">AU469</f>
        <v>496</v>
      </c>
      <c r="CS469" s="72">
        <f t="shared" ref="CS469:CS470" si="4414">AY469</f>
        <v>512</v>
      </c>
      <c r="CT469" s="23">
        <f t="shared" ref="CT469:CT470" si="4415">M469-K469</f>
        <v>1</v>
      </c>
      <c r="AMP469" s="3"/>
    </row>
    <row r="470" spans="1:1030" x14ac:dyDescent="0.2">
      <c r="A470" s="3" t="str">
        <f t="shared" ref="A470" si="4416">CONCATENATE(B470,"_",C470)</f>
        <v>fzd4_human_6BD4</v>
      </c>
      <c r="B470" s="3" t="s">
        <v>446</v>
      </c>
      <c r="C470" s="3" t="s">
        <v>1550</v>
      </c>
      <c r="D470" s="3" t="str">
        <f>IFERROR(MID(VLOOKUP($B470,Seqs!$A:$B,2,0),E470,1),"")</f>
        <v>S</v>
      </c>
      <c r="E470" s="3">
        <v>212</v>
      </c>
      <c r="F470" s="3" t="str">
        <f>IFERROR(MID(VLOOKUP($B470,Seqs!$A:$B,2,0),G470,1),"")</f>
        <v>D</v>
      </c>
      <c r="G470" s="3">
        <v>244</v>
      </c>
      <c r="H470" s="3" t="str">
        <f>IFERROR(MID(VLOOKUP($B470,Seqs!$A:$B,2,0),I470,1),"")</f>
        <v>S</v>
      </c>
      <c r="I470" s="23">
        <v>245</v>
      </c>
      <c r="J470" s="3" t="str">
        <f>IFERROR(MID(VLOOKUP($B470,Seqs!$A:$B,2,0),K470,1),"")</f>
        <v>S</v>
      </c>
      <c r="K470" s="23">
        <v>249</v>
      </c>
      <c r="L470" s="3" t="str">
        <f>IFERROR(MID(VLOOKUP($B470,Seqs!$A:$B,2,0),M470,1),"")</f>
        <v>Y</v>
      </c>
      <c r="M470" s="3">
        <v>250</v>
      </c>
      <c r="N470" s="3" t="str">
        <f>IFERROR(MID(VLOOKUP($B470,Seqs!$A:$B,2,0),O470,1),"")</f>
        <v>G</v>
      </c>
      <c r="O470" s="3">
        <v>276</v>
      </c>
      <c r="P470" s="3" t="str">
        <f>IFERROR(MID(VLOOKUP($B470,Seqs!$A:$B,2,0),Q470,1),"")</f>
        <v/>
      </c>
      <c r="Q470" s="3" t="s">
        <v>23</v>
      </c>
      <c r="R470" s="3" t="str">
        <f>IFERROR(MID(VLOOKUP($B470,Seqs!$A:$B,2,0),S470,1),"")</f>
        <v/>
      </c>
      <c r="S470" s="3" t="s">
        <v>23</v>
      </c>
      <c r="T470" s="3" t="str">
        <f>IFERROR(MID(VLOOKUP($B470,Seqs!$A:$B,2,0),U470,1),"")</f>
        <v>N</v>
      </c>
      <c r="U470" s="3">
        <v>299</v>
      </c>
      <c r="V470" s="3" t="str">
        <f>IFERROR(MID(VLOOKUP($B470,Seqs!$A:$B,2,0),W470,1),"")</f>
        <v>G</v>
      </c>
      <c r="W470" s="3">
        <v>332</v>
      </c>
      <c r="X470" s="3" t="str">
        <f>IFERROR(MID(VLOOKUP($B470,Seqs!$A:$B,2,0),Y470,1),"")</f>
        <v/>
      </c>
      <c r="Y470" s="3" t="s">
        <v>23</v>
      </c>
      <c r="Z470" s="3" t="str">
        <f>IFERROR(MID(VLOOKUP($B470,Seqs!$A:$B,2,0),AA470,1),"")</f>
        <v/>
      </c>
      <c r="AA470" s="3" t="s">
        <v>23</v>
      </c>
      <c r="AB470" s="3" t="str">
        <f>IFERROR(MID(VLOOKUP($B470,Seqs!$A:$B,2,0),AC470,1),"")</f>
        <v>H</v>
      </c>
      <c r="AC470" s="3">
        <v>343</v>
      </c>
      <c r="AD470" s="3" t="str">
        <f>IFERROR(MID(VLOOKUP($B470,Seqs!$A:$B,2,0),AE470,1),"")</f>
        <v>R</v>
      </c>
      <c r="AE470" s="3">
        <v>366</v>
      </c>
      <c r="AF470" s="3" t="str">
        <f>IFERROR(MID(VLOOKUP($B470,Seqs!$A:$B,2,0),AG470,1),"")</f>
        <v>C</v>
      </c>
      <c r="AG470" s="3">
        <v>377</v>
      </c>
      <c r="AH470" s="3" t="str">
        <f>IFERROR(MID(VLOOKUP($B470,Seqs!$A:$B,2,0),AI470,1),"")</f>
        <v>V</v>
      </c>
      <c r="AI470" s="3">
        <v>379</v>
      </c>
      <c r="AJ470" s="3" t="str">
        <f>IFERROR(MID(VLOOKUP($B470,Seqs!$A:$B,2,0),AK470,1),"")</f>
        <v>N</v>
      </c>
      <c r="AK470" s="3">
        <v>383</v>
      </c>
      <c r="AL470" s="3" t="str">
        <f>IFERROR(MID(VLOOKUP($B470,Seqs!$A:$B,2,0),AM470,1),"")</f>
        <v>S</v>
      </c>
      <c r="AM470" s="3">
        <v>418</v>
      </c>
      <c r="AN470" s="3" t="str">
        <f>IFERROR(MID(VLOOKUP($B470,Seqs!$A:$B,2,0),AO470,1),"")</f>
        <v>E</v>
      </c>
      <c r="AO470" s="3">
        <v>431</v>
      </c>
      <c r="AP470" s="3" t="str">
        <f>IFERROR(MID(VLOOKUP($B470,Seqs!$A:$B,2,0),AQ470,1),"")</f>
        <v>N</v>
      </c>
      <c r="AQ470" s="3">
        <v>461</v>
      </c>
      <c r="AR470" s="3" t="str">
        <f>IFERROR(MID(VLOOKUP($B470,Seqs!$A:$B,2,0),AS470,1),"")</f>
        <v>N</v>
      </c>
      <c r="AS470" s="3">
        <v>473</v>
      </c>
      <c r="AT470" s="3" t="str">
        <f>IFERROR(MID(VLOOKUP($B470,Seqs!$A:$B,2,0),AU470,1),"")</f>
        <v>W</v>
      </c>
      <c r="AU470" s="3">
        <v>496</v>
      </c>
      <c r="AV470" s="3" t="str">
        <f>IFERROR(MID(VLOOKUP($B470,Seqs!$A:$B,2,0),AW470,1),"")</f>
        <v>S</v>
      </c>
      <c r="AW470" s="3">
        <v>497</v>
      </c>
      <c r="AX470" s="3" t="str">
        <f>IFERROR(MID(VLOOKUP($B470,Seqs!$A:$B,2,0),AY470,1),"")</f>
        <v>V</v>
      </c>
      <c r="AY470" s="3">
        <v>512</v>
      </c>
      <c r="AZ470" s="77" t="str">
        <f>VLOOKUP(B470,Classification!A:D,2,0)</f>
        <v>F</v>
      </c>
      <c r="BA470" s="94" t="str">
        <f>VLOOKUP(B470,Classification!A:D,4,0)</f>
        <v>Frizzled</v>
      </c>
      <c r="BB470" s="27" t="b">
        <f t="shared" si="4389"/>
        <v>1</v>
      </c>
      <c r="BC470" s="23">
        <f t="shared" si="4390"/>
        <v>235</v>
      </c>
      <c r="BD470" s="4" t="s">
        <v>1372</v>
      </c>
      <c r="BE470" s="3" t="s">
        <v>1370</v>
      </c>
      <c r="BF470" s="118">
        <v>2.4</v>
      </c>
      <c r="BG470" s="49" t="s">
        <v>1</v>
      </c>
      <c r="BH470" s="49" t="s">
        <v>1</v>
      </c>
      <c r="BJ470" s="70" t="s">
        <v>1283</v>
      </c>
      <c r="BK470" s="57" t="s">
        <v>1283</v>
      </c>
      <c r="BL470" s="57" t="s">
        <v>1283</v>
      </c>
      <c r="BM470" s="57" t="s">
        <v>1283</v>
      </c>
      <c r="BN470" s="57" t="s">
        <v>1283</v>
      </c>
      <c r="BO470" s="57" t="s">
        <v>1283</v>
      </c>
      <c r="BP470" s="57" t="s">
        <v>1283</v>
      </c>
      <c r="BQ470" s="57" t="s">
        <v>1283</v>
      </c>
      <c r="BR470" s="57" t="s">
        <v>1283</v>
      </c>
      <c r="BS470" s="57" t="s">
        <v>1283</v>
      </c>
      <c r="BT470" s="57" t="s">
        <v>1283</v>
      </c>
      <c r="BU470" s="57" t="s">
        <v>1283</v>
      </c>
      <c r="BV470" s="70">
        <f t="shared" si="4391"/>
        <v>212</v>
      </c>
      <c r="BW470" s="71">
        <f t="shared" si="4392"/>
        <v>245</v>
      </c>
      <c r="BX470" s="72">
        <f t="shared" si="4393"/>
        <v>250</v>
      </c>
      <c r="BY470" s="71" t="str">
        <f t="shared" si="4394"/>
        <v>-</v>
      </c>
      <c r="BZ470" s="72">
        <f t="shared" si="4395"/>
        <v>299</v>
      </c>
      <c r="CA470" s="71" t="str">
        <f t="shared" si="4396"/>
        <v>-</v>
      </c>
      <c r="CB470" s="72">
        <f t="shared" si="4397"/>
        <v>343</v>
      </c>
      <c r="CC470" s="71">
        <f t="shared" si="4398"/>
        <v>377</v>
      </c>
      <c r="CD470" s="72">
        <f t="shared" si="4399"/>
        <v>383</v>
      </c>
      <c r="CE470" s="71">
        <f t="shared" si="4400"/>
        <v>431</v>
      </c>
      <c r="CF470" s="72">
        <f t="shared" si="4401"/>
        <v>473</v>
      </c>
      <c r="CG470" s="71">
        <f t="shared" si="4402"/>
        <v>497</v>
      </c>
      <c r="CH470" s="70">
        <f t="shared" si="4403"/>
        <v>244</v>
      </c>
      <c r="CI470" s="71">
        <f t="shared" si="4404"/>
        <v>249</v>
      </c>
      <c r="CJ470" s="72">
        <f t="shared" si="4405"/>
        <v>276</v>
      </c>
      <c r="CK470" s="72" t="str">
        <f t="shared" si="4406"/>
        <v>-</v>
      </c>
      <c r="CL470" s="72">
        <f t="shared" si="4407"/>
        <v>332</v>
      </c>
      <c r="CM470" s="72" t="str">
        <f t="shared" si="4408"/>
        <v>-</v>
      </c>
      <c r="CN470" s="72">
        <f t="shared" si="4409"/>
        <v>366</v>
      </c>
      <c r="CO470" s="72">
        <f t="shared" si="4410"/>
        <v>379</v>
      </c>
      <c r="CP470" s="72">
        <f t="shared" si="4411"/>
        <v>418</v>
      </c>
      <c r="CQ470" s="72">
        <f t="shared" si="4412"/>
        <v>461</v>
      </c>
      <c r="CR470" s="72">
        <f t="shared" si="4413"/>
        <v>496</v>
      </c>
      <c r="CS470" s="72">
        <f t="shared" si="4414"/>
        <v>512</v>
      </c>
      <c r="CT470" s="23">
        <f t="shared" si="4415"/>
        <v>1</v>
      </c>
      <c r="AMP470" s="3"/>
    </row>
    <row r="471" spans="1:1030" x14ac:dyDescent="0.2">
      <c r="A471" s="3" t="str">
        <f t="shared" si="3995"/>
        <v>smo_human__wt</v>
      </c>
      <c r="B471" s="3" t="s">
        <v>33</v>
      </c>
      <c r="C471" s="3" t="s">
        <v>100</v>
      </c>
      <c r="D471" s="3" t="str">
        <f>IFERROR(MID(VLOOKUP($B471,Seqs!$A:$B,2,0),E471,1),"")</f>
        <v>T</v>
      </c>
      <c r="E471" s="105">
        <v>223</v>
      </c>
      <c r="F471" s="3" t="str">
        <f>IFERROR(MID(VLOOKUP($B471,Seqs!$A:$B,2,0),G471,1),"")</f>
        <v>D</v>
      </c>
      <c r="G471" s="3">
        <v>255</v>
      </c>
      <c r="H471" s="3" t="str">
        <f>IFERROR(MID(VLOOKUP($B471,Seqs!$A:$B,2,0),I471,1),"")</f>
        <v>W</v>
      </c>
      <c r="I471" s="23">
        <v>256</v>
      </c>
      <c r="J471" s="3" t="str">
        <f>IFERROR(MID(VLOOKUP($B471,Seqs!$A:$B,2,0),K471,1),"")</f>
        <v>N</v>
      </c>
      <c r="K471" s="23">
        <v>260</v>
      </c>
      <c r="L471" s="3" t="str">
        <f>IFERROR(MID(VLOOKUP($B471,Seqs!$A:$B,2,0),M471,1),"")</f>
        <v>R</v>
      </c>
      <c r="M471" s="3">
        <v>261</v>
      </c>
      <c r="N471" s="3" t="str">
        <f>IFERROR(MID(VLOOKUP($B471,Seqs!$A:$B,2,0),O471,1),"")</f>
        <v>F</v>
      </c>
      <c r="O471" s="3">
        <v>285</v>
      </c>
      <c r="P471" s="3" t="str">
        <f>IFERROR(MID(VLOOKUP($B471,Seqs!$A:$B,2,0),Q471,1),"")</f>
        <v/>
      </c>
      <c r="Q471" s="3" t="s">
        <v>23</v>
      </c>
      <c r="R471" s="3" t="str">
        <f>IFERROR(MID(VLOOKUP($B471,Seqs!$A:$B,2,0),S471,1),"")</f>
        <v/>
      </c>
      <c r="S471" s="3" t="s">
        <v>23</v>
      </c>
      <c r="T471" s="3" t="str">
        <f>IFERROR(MID(VLOOKUP($B471,Seqs!$A:$B,2,0),U471,1),"")</f>
        <v>L</v>
      </c>
      <c r="U471" s="3">
        <v>312</v>
      </c>
      <c r="V471" s="3" t="str">
        <f>IFERROR(MID(VLOOKUP($B471,Seqs!$A:$B,2,0),W471,1),"")</f>
        <v>A</v>
      </c>
      <c r="W471" s="105">
        <v>345</v>
      </c>
      <c r="X471" s="3" t="str">
        <f>IFERROR(MID(VLOOKUP($B471,Seqs!$A:$B,2,0),Y471,1),"")</f>
        <v/>
      </c>
      <c r="Y471" s="3" t="s">
        <v>23</v>
      </c>
      <c r="Z471" s="3" t="str">
        <f>IFERROR(MID(VLOOKUP($B471,Seqs!$A:$B,2,0),AA471,1),"")</f>
        <v/>
      </c>
      <c r="AA471" s="3" t="s">
        <v>23</v>
      </c>
      <c r="AB471" s="3" t="str">
        <f>IFERROR(MID(VLOOKUP($B471,Seqs!$A:$B,2,0),AC471,1),"")</f>
        <v>K</v>
      </c>
      <c r="AC471" s="9">
        <v>356</v>
      </c>
      <c r="AD471" s="3" t="str">
        <f>IFERROR(MID(VLOOKUP($B471,Seqs!$A:$B,2,0),AE471,1),"")</f>
        <v>A</v>
      </c>
      <c r="AE471" s="105">
        <v>379</v>
      </c>
      <c r="AF471" s="3" t="str">
        <f>IFERROR(MID(VLOOKUP($B471,Seqs!$A:$B,2,0),AG471,1),"")</f>
        <v>C</v>
      </c>
      <c r="AG471" s="3">
        <v>390</v>
      </c>
      <c r="AH471" s="3" t="str">
        <f>IFERROR(MID(VLOOKUP($B471,Seqs!$A:$B,2,0),AI471,1),"")</f>
        <v>V</v>
      </c>
      <c r="AI471" s="3">
        <v>392</v>
      </c>
      <c r="AJ471" s="3" t="str">
        <f>IFERROR(MID(VLOOKUP($B471,Seqs!$A:$B,2,0),AK471,1),"")</f>
        <v>N</v>
      </c>
      <c r="AK471" s="105">
        <v>396</v>
      </c>
      <c r="AL471" s="3" t="str">
        <f>IFERROR(MID(VLOOKUP($B471,Seqs!$A:$B,2,0),AM471,1),"")</f>
        <v>H</v>
      </c>
      <c r="AM471" s="3">
        <v>433</v>
      </c>
      <c r="AN471" s="3" t="str">
        <f>IFERROR(MID(VLOOKUP($B471,Seqs!$A:$B,2,0),AO471,1),"")</f>
        <v>S</v>
      </c>
      <c r="AO471" s="105">
        <v>438</v>
      </c>
      <c r="AP471" s="3" t="str">
        <f>IFERROR(MID(VLOOKUP($B471,Seqs!$A:$B,2,0),AQ471,1),"")</f>
        <v>I</v>
      </c>
      <c r="AQ471" s="3">
        <v>496</v>
      </c>
      <c r="AR471" s="3" t="str">
        <f>IFERROR(MID(VLOOKUP($B471,Seqs!$A:$B,2,0),AS471,1),"")</f>
        <v>S</v>
      </c>
      <c r="AS471" s="105">
        <v>514</v>
      </c>
      <c r="AT471" s="3" t="str">
        <f>IFERROR(MID(VLOOKUP($B471,Seqs!$A:$B,2,0),AU471,1),"")</f>
        <v>W</v>
      </c>
      <c r="AU471" s="3">
        <v>537</v>
      </c>
      <c r="AV471" s="3" t="str">
        <f>IFERROR(MID(VLOOKUP($B471,Seqs!$A:$B,2,0),AW471,1),"")</f>
        <v>T</v>
      </c>
      <c r="AW471" s="3">
        <v>538</v>
      </c>
      <c r="AX471" s="3" t="str">
        <f>IFERROR(MID(VLOOKUP($B471,Seqs!$A:$B,2,0),AY471,1),"")</f>
        <v>T</v>
      </c>
      <c r="AY471" s="3">
        <v>553</v>
      </c>
      <c r="AZ471" s="77" t="str">
        <f>VLOOKUP(B471,Classification!A:D,2,0)</f>
        <v>F</v>
      </c>
      <c r="BA471" s="94" t="str">
        <f>VLOOKUP(B471,Classification!A:D,4,0)</f>
        <v>Frizzled</v>
      </c>
      <c r="BB471" s="27" t="b">
        <f t="shared" si="3996"/>
        <v>1</v>
      </c>
      <c r="BC471" s="23">
        <f t="shared" si="3941"/>
        <v>263</v>
      </c>
      <c r="BD471" s="56" t="s">
        <v>23</v>
      </c>
      <c r="BE471" s="3" t="s">
        <v>23</v>
      </c>
      <c r="BF471" s="118" t="s">
        <v>23</v>
      </c>
      <c r="BG471" s="49" t="s">
        <v>1368</v>
      </c>
      <c r="BH471" s="49" t="s">
        <v>1373</v>
      </c>
      <c r="BJ471" s="70" t="s">
        <v>1283</v>
      </c>
      <c r="BK471" s="57" t="s">
        <v>1283</v>
      </c>
      <c r="BL471" s="57" t="s">
        <v>1283</v>
      </c>
      <c r="BM471" s="57" t="s">
        <v>1283</v>
      </c>
      <c r="BN471" s="57" t="s">
        <v>1283</v>
      </c>
      <c r="BO471" s="57" t="s">
        <v>1283</v>
      </c>
      <c r="BP471" s="57" t="s">
        <v>1283</v>
      </c>
      <c r="BQ471" s="57" t="s">
        <v>1283</v>
      </c>
      <c r="BR471" s="57" t="s">
        <v>1283</v>
      </c>
      <c r="BS471" s="57" t="s">
        <v>1283</v>
      </c>
      <c r="BT471" s="57" t="s">
        <v>1283</v>
      </c>
      <c r="BU471" s="57" t="s">
        <v>1283</v>
      </c>
      <c r="BV471" s="70">
        <f t="shared" si="3942"/>
        <v>223</v>
      </c>
      <c r="BW471" s="71">
        <f t="shared" si="3943"/>
        <v>256</v>
      </c>
      <c r="BX471" s="72">
        <f t="shared" si="3944"/>
        <v>261</v>
      </c>
      <c r="BY471" s="71" t="str">
        <f t="shared" si="3945"/>
        <v>-</v>
      </c>
      <c r="BZ471" s="72">
        <f t="shared" si="3946"/>
        <v>312</v>
      </c>
      <c r="CA471" s="71" t="str">
        <f t="shared" si="3947"/>
        <v>-</v>
      </c>
      <c r="CB471" s="72">
        <f t="shared" si="3948"/>
        <v>356</v>
      </c>
      <c r="CC471" s="71">
        <f t="shared" si="3949"/>
        <v>390</v>
      </c>
      <c r="CD471" s="72">
        <f t="shared" si="3950"/>
        <v>396</v>
      </c>
      <c r="CE471" s="71">
        <f t="shared" si="3951"/>
        <v>438</v>
      </c>
      <c r="CF471" s="72">
        <f t="shared" si="3952"/>
        <v>514</v>
      </c>
      <c r="CG471" s="71">
        <f t="shared" si="3953"/>
        <v>538</v>
      </c>
      <c r="CH471" s="70">
        <f t="shared" si="3954"/>
        <v>255</v>
      </c>
      <c r="CI471" s="71">
        <f t="shared" si="3955"/>
        <v>260</v>
      </c>
      <c r="CJ471" s="72">
        <f t="shared" si="3956"/>
        <v>285</v>
      </c>
      <c r="CK471" s="72" t="str">
        <f t="shared" si="3957"/>
        <v>-</v>
      </c>
      <c r="CL471" s="72">
        <f t="shared" si="3958"/>
        <v>345</v>
      </c>
      <c r="CM471" s="72" t="str">
        <f t="shared" si="3959"/>
        <v>-</v>
      </c>
      <c r="CN471" s="72">
        <f t="shared" si="3960"/>
        <v>379</v>
      </c>
      <c r="CO471" s="72">
        <f t="shared" si="3961"/>
        <v>392</v>
      </c>
      <c r="CP471" s="72">
        <f t="shared" si="3962"/>
        <v>433</v>
      </c>
      <c r="CQ471" s="72">
        <f t="shared" si="3963"/>
        <v>496</v>
      </c>
      <c r="CR471" s="72">
        <f t="shared" si="3964"/>
        <v>537</v>
      </c>
      <c r="CS471" s="72">
        <f t="shared" si="3965"/>
        <v>553</v>
      </c>
      <c r="CT471" s="23">
        <f t="shared" si="3966"/>
        <v>1</v>
      </c>
    </row>
    <row r="472" spans="1:1030" x14ac:dyDescent="0.2">
      <c r="A472" s="3" t="str">
        <f t="shared" si="3995"/>
        <v>smo_human_4JKV</v>
      </c>
      <c r="B472" s="3" t="s">
        <v>33</v>
      </c>
      <c r="C472" s="3" t="s">
        <v>86</v>
      </c>
      <c r="D472" s="3" t="str">
        <f>IFERROR(MID(VLOOKUP($B472,Seqs!$A:$B,2,0),E472,1),"")</f>
        <v>T</v>
      </c>
      <c r="E472" s="105">
        <v>223</v>
      </c>
      <c r="F472" s="3" t="str">
        <f>IFERROR(MID(VLOOKUP($B472,Seqs!$A:$B,2,0),G472,1),"")</f>
        <v>D</v>
      </c>
      <c r="G472" s="3">
        <v>255</v>
      </c>
      <c r="H472" s="3" t="str">
        <f>IFERROR(MID(VLOOKUP($B472,Seqs!$A:$B,2,0),I472,1),"")</f>
        <v>W</v>
      </c>
      <c r="I472" s="23">
        <v>256</v>
      </c>
      <c r="J472" s="3" t="str">
        <f>IFERROR(MID(VLOOKUP($B472,Seqs!$A:$B,2,0),K472,1),"")</f>
        <v>N</v>
      </c>
      <c r="K472" s="23">
        <v>260</v>
      </c>
      <c r="L472" s="3" t="str">
        <f>IFERROR(MID(VLOOKUP($B472,Seqs!$A:$B,2,0),M472,1),"")</f>
        <v>R</v>
      </c>
      <c r="M472" s="3">
        <v>261</v>
      </c>
      <c r="N472" s="3" t="str">
        <f>IFERROR(MID(VLOOKUP($B472,Seqs!$A:$B,2,0),O472,1),"")</f>
        <v>F</v>
      </c>
      <c r="O472" s="3">
        <v>285</v>
      </c>
      <c r="P472" s="3" t="str">
        <f>IFERROR(MID(VLOOKUP($B472,Seqs!$A:$B,2,0),Q472,1),"")</f>
        <v/>
      </c>
      <c r="Q472" s="3" t="s">
        <v>23</v>
      </c>
      <c r="R472" s="3" t="str">
        <f>IFERROR(MID(VLOOKUP($B472,Seqs!$A:$B,2,0),S472,1),"")</f>
        <v/>
      </c>
      <c r="S472" s="3" t="s">
        <v>23</v>
      </c>
      <c r="T472" s="3" t="str">
        <f>IFERROR(MID(VLOOKUP($B472,Seqs!$A:$B,2,0),U472,1),"")</f>
        <v>L</v>
      </c>
      <c r="U472" s="3">
        <v>312</v>
      </c>
      <c r="V472" s="3" t="str">
        <f>IFERROR(MID(VLOOKUP($B472,Seqs!$A:$B,2,0),W472,1),"")</f>
        <v>T</v>
      </c>
      <c r="W472" s="3">
        <v>348</v>
      </c>
      <c r="X472" s="3" t="str">
        <f>IFERROR(MID(VLOOKUP($B472,Seqs!$A:$B,2,0),Y472,1),"")</f>
        <v/>
      </c>
      <c r="Y472" s="3" t="s">
        <v>23</v>
      </c>
      <c r="Z472" s="3" t="str">
        <f>IFERROR(MID(VLOOKUP($B472,Seqs!$A:$B,2,0),AA472,1),"")</f>
        <v/>
      </c>
      <c r="AA472" s="3" t="s">
        <v>23</v>
      </c>
      <c r="AB472" s="3" t="str">
        <f>IFERROR(MID(VLOOKUP($B472,Seqs!$A:$B,2,0),AC472,1),"")</f>
        <v>F</v>
      </c>
      <c r="AC472" s="9">
        <v>360</v>
      </c>
      <c r="AD472" s="3" t="str">
        <f>IFERROR(MID(VLOOKUP($B472,Seqs!$A:$B,2,0),AE472,1),"")</f>
        <v>A</v>
      </c>
      <c r="AE472" s="3">
        <v>379</v>
      </c>
      <c r="AF472" s="3" t="str">
        <f>IFERROR(MID(VLOOKUP($B472,Seqs!$A:$B,2,0),AG472,1),"")</f>
        <v>C</v>
      </c>
      <c r="AG472" s="3">
        <v>390</v>
      </c>
      <c r="AH472" s="3" t="str">
        <f>IFERROR(MID(VLOOKUP($B472,Seqs!$A:$B,2,0),AI472,1),"")</f>
        <v>V</v>
      </c>
      <c r="AI472" s="3">
        <v>392</v>
      </c>
      <c r="AJ472" s="3" t="str">
        <f>IFERROR(MID(VLOOKUP($B472,Seqs!$A:$B,2,0),AK472,1),"")</f>
        <v>N</v>
      </c>
      <c r="AK472" s="105">
        <v>396</v>
      </c>
      <c r="AL472" s="3" t="str">
        <f>IFERROR(MID(VLOOKUP($B472,Seqs!$A:$B,2,0),AM472,1),"")</f>
        <v>H</v>
      </c>
      <c r="AM472" s="3">
        <v>433</v>
      </c>
      <c r="AN472" s="3" t="str">
        <f>IFERROR(MID(VLOOKUP($B472,Seqs!$A:$B,2,0),AO472,1),"")</f>
        <v>A</v>
      </c>
      <c r="AO472" s="3">
        <v>442</v>
      </c>
      <c r="AP472" s="3" t="str">
        <f>IFERROR(MID(VLOOKUP($B472,Seqs!$A:$B,2,0),AQ472,1),"")</f>
        <v>N</v>
      </c>
      <c r="AQ472" s="3">
        <v>493</v>
      </c>
      <c r="AR472" s="3" t="str">
        <f>IFERROR(MID(VLOOKUP($B472,Seqs!$A:$B,2,0),AS472,1),"")</f>
        <v>S</v>
      </c>
      <c r="AS472" s="105">
        <v>514</v>
      </c>
      <c r="AT472" s="3" t="str">
        <f>IFERROR(MID(VLOOKUP($B472,Seqs!$A:$B,2,0),AU472,1),"")</f>
        <v>W</v>
      </c>
      <c r="AU472" s="3">
        <v>537</v>
      </c>
      <c r="AV472" s="3" t="str">
        <f>IFERROR(MID(VLOOKUP($B472,Seqs!$A:$B,2,0),AW472,1),"")</f>
        <v>T</v>
      </c>
      <c r="AW472" s="3">
        <v>538</v>
      </c>
      <c r="AX472" s="3" t="str">
        <f>IFERROR(MID(VLOOKUP($B472,Seqs!$A:$B,2,0),AY472,1),"")</f>
        <v>C</v>
      </c>
      <c r="AY472" s="3">
        <v>550</v>
      </c>
      <c r="AZ472" s="77" t="str">
        <f>VLOOKUP(B472,Classification!A:D,2,0)</f>
        <v>F</v>
      </c>
      <c r="BA472" s="94" t="str">
        <f>VLOOKUP(B472,Classification!A:D,4,0)</f>
        <v>Frizzled</v>
      </c>
      <c r="BB472" s="27" t="b">
        <f t="shared" si="3996"/>
        <v>1</v>
      </c>
      <c r="BC472" s="23">
        <f t="shared" si="3941"/>
        <v>252</v>
      </c>
      <c r="BD472" s="4" t="s">
        <v>23</v>
      </c>
      <c r="BE472" s="3" t="s">
        <v>1370</v>
      </c>
      <c r="BF472" s="118">
        <v>2.4500000000000002</v>
      </c>
      <c r="BG472" s="49" t="s">
        <v>1373</v>
      </c>
      <c r="BH472" s="49" t="s">
        <v>1373</v>
      </c>
      <c r="BJ472" s="70" t="s">
        <v>1283</v>
      </c>
      <c r="BK472" s="57" t="s">
        <v>1283</v>
      </c>
      <c r="BL472" s="57" t="s">
        <v>1283</v>
      </c>
      <c r="BM472" s="57" t="s">
        <v>1283</v>
      </c>
      <c r="BN472" s="57" t="s">
        <v>1283</v>
      </c>
      <c r="BO472" s="57" t="s">
        <v>1283</v>
      </c>
      <c r="BP472" s="57" t="s">
        <v>1283</v>
      </c>
      <c r="BQ472" s="57" t="s">
        <v>1283</v>
      </c>
      <c r="BR472" s="57" t="s">
        <v>1283</v>
      </c>
      <c r="BS472" s="57" t="s">
        <v>1283</v>
      </c>
      <c r="BT472" s="57" t="s">
        <v>1283</v>
      </c>
      <c r="BU472" s="57" t="s">
        <v>1283</v>
      </c>
      <c r="BV472" s="70">
        <f t="shared" si="3942"/>
        <v>223</v>
      </c>
      <c r="BW472" s="71">
        <f t="shared" si="3943"/>
        <v>256</v>
      </c>
      <c r="BX472" s="72">
        <f t="shared" si="3944"/>
        <v>261</v>
      </c>
      <c r="BY472" s="71" t="str">
        <f t="shared" si="3945"/>
        <v>-</v>
      </c>
      <c r="BZ472" s="72">
        <f t="shared" si="3946"/>
        <v>312</v>
      </c>
      <c r="CA472" s="71" t="str">
        <f t="shared" si="3947"/>
        <v>-</v>
      </c>
      <c r="CB472" s="72">
        <f t="shared" si="3948"/>
        <v>360</v>
      </c>
      <c r="CC472" s="71">
        <f t="shared" si="3949"/>
        <v>390</v>
      </c>
      <c r="CD472" s="72">
        <f t="shared" si="3950"/>
        <v>396</v>
      </c>
      <c r="CE472" s="71">
        <f t="shared" si="3951"/>
        <v>442</v>
      </c>
      <c r="CF472" s="72">
        <f t="shared" si="3952"/>
        <v>514</v>
      </c>
      <c r="CG472" s="71">
        <f t="shared" si="3953"/>
        <v>538</v>
      </c>
      <c r="CH472" s="70">
        <f t="shared" si="3954"/>
        <v>255</v>
      </c>
      <c r="CI472" s="71">
        <f t="shared" si="3955"/>
        <v>260</v>
      </c>
      <c r="CJ472" s="72">
        <f t="shared" si="3956"/>
        <v>285</v>
      </c>
      <c r="CK472" s="72" t="str">
        <f t="shared" si="3957"/>
        <v>-</v>
      </c>
      <c r="CL472" s="72">
        <f t="shared" si="3958"/>
        <v>348</v>
      </c>
      <c r="CM472" s="72" t="str">
        <f t="shared" si="3959"/>
        <v>-</v>
      </c>
      <c r="CN472" s="72">
        <f t="shared" si="3960"/>
        <v>379</v>
      </c>
      <c r="CO472" s="72">
        <f t="shared" si="3961"/>
        <v>392</v>
      </c>
      <c r="CP472" s="72">
        <f t="shared" si="3962"/>
        <v>433</v>
      </c>
      <c r="CQ472" s="72">
        <f t="shared" si="3963"/>
        <v>493</v>
      </c>
      <c r="CR472" s="72">
        <f t="shared" si="3964"/>
        <v>537</v>
      </c>
      <c r="CS472" s="72">
        <f t="shared" si="3965"/>
        <v>550</v>
      </c>
      <c r="CT472" s="23">
        <f t="shared" si="3966"/>
        <v>1</v>
      </c>
    </row>
    <row r="473" spans="1:1030" x14ac:dyDescent="0.2">
      <c r="A473" s="3" t="str">
        <f t="shared" si="3995"/>
        <v>smo_human_4N4W</v>
      </c>
      <c r="B473" s="3" t="s">
        <v>33</v>
      </c>
      <c r="C473" s="3" t="s">
        <v>1043</v>
      </c>
      <c r="D473" s="3" t="str">
        <f>IFERROR(MID(VLOOKUP($B473,Seqs!$A:$B,2,0),E473,1),"")</f>
        <v>T</v>
      </c>
      <c r="E473" s="105">
        <v>223</v>
      </c>
      <c r="F473" s="3" t="str">
        <f>IFERROR(MID(VLOOKUP($B473,Seqs!$A:$B,2,0),G473,1),"")</f>
        <v>D</v>
      </c>
      <c r="G473" s="3">
        <v>255</v>
      </c>
      <c r="H473" s="3" t="str">
        <f>IFERROR(MID(VLOOKUP($B473,Seqs!$A:$B,2,0),I473,1),"")</f>
        <v>W</v>
      </c>
      <c r="I473" s="23">
        <v>256</v>
      </c>
      <c r="J473" s="3" t="str">
        <f>IFERROR(MID(VLOOKUP($B473,Seqs!$A:$B,2,0),K473,1),"")</f>
        <v>N</v>
      </c>
      <c r="K473" s="23">
        <v>260</v>
      </c>
      <c r="L473" s="3" t="str">
        <f>IFERROR(MID(VLOOKUP($B473,Seqs!$A:$B,2,0),M473,1),"")</f>
        <v>R</v>
      </c>
      <c r="M473" s="3">
        <v>261</v>
      </c>
      <c r="N473" s="3" t="str">
        <f>IFERROR(MID(VLOOKUP($B473,Seqs!$A:$B,2,0),O473,1),"")</f>
        <v>F</v>
      </c>
      <c r="O473" s="3">
        <v>285</v>
      </c>
      <c r="P473" s="3" t="str">
        <f>IFERROR(MID(VLOOKUP($B473,Seqs!$A:$B,2,0),Q473,1),"")</f>
        <v/>
      </c>
      <c r="Q473" s="3" t="s">
        <v>23</v>
      </c>
      <c r="R473" s="3" t="str">
        <f>IFERROR(MID(VLOOKUP($B473,Seqs!$A:$B,2,0),S473,1),"")</f>
        <v/>
      </c>
      <c r="S473" s="3" t="s">
        <v>23</v>
      </c>
      <c r="T473" s="3" t="str">
        <f>IFERROR(MID(VLOOKUP($B473,Seqs!$A:$B,2,0),U473,1),"")</f>
        <v>L</v>
      </c>
      <c r="U473" s="3">
        <v>312</v>
      </c>
      <c r="V473" s="3" t="str">
        <f>IFERROR(MID(VLOOKUP($B473,Seqs!$A:$B,2,0),W473,1),"")</f>
        <v>A</v>
      </c>
      <c r="W473" s="3">
        <v>345</v>
      </c>
      <c r="X473" s="3" t="str">
        <f>IFERROR(MID(VLOOKUP($B473,Seqs!$A:$B,2,0),Y473,1),"")</f>
        <v/>
      </c>
      <c r="Y473" s="3" t="s">
        <v>23</v>
      </c>
      <c r="Z473" s="3" t="str">
        <f>IFERROR(MID(VLOOKUP($B473,Seqs!$A:$B,2,0),AA473,1),"")</f>
        <v/>
      </c>
      <c r="AA473" s="3" t="s">
        <v>23</v>
      </c>
      <c r="AB473" s="3" t="str">
        <f>IFERROR(MID(VLOOKUP($B473,Seqs!$A:$B,2,0),AC473,1),"")</f>
        <v>K</v>
      </c>
      <c r="AC473" s="9">
        <v>356</v>
      </c>
      <c r="AD473" s="3" t="str">
        <f>IFERROR(MID(VLOOKUP($B473,Seqs!$A:$B,2,0),AE473,1),"")</f>
        <v>V</v>
      </c>
      <c r="AE473" s="3">
        <v>378</v>
      </c>
      <c r="AF473" s="3" t="str">
        <f>IFERROR(MID(VLOOKUP($B473,Seqs!$A:$B,2,0),AG473,1),"")</f>
        <v>C</v>
      </c>
      <c r="AG473" s="3">
        <v>390</v>
      </c>
      <c r="AH473" s="3" t="str">
        <f>IFERROR(MID(VLOOKUP($B473,Seqs!$A:$B,2,0),AI473,1),"")</f>
        <v>V</v>
      </c>
      <c r="AI473" s="3">
        <v>392</v>
      </c>
      <c r="AJ473" s="3" t="str">
        <f>IFERROR(MID(VLOOKUP($B473,Seqs!$A:$B,2,0),AK473,1),"")</f>
        <v>N</v>
      </c>
      <c r="AK473" s="105">
        <v>396</v>
      </c>
      <c r="AL473" s="3" t="str">
        <f>IFERROR(MID(VLOOKUP($B473,Seqs!$A:$B,2,0),AM473,1),"")</f>
        <v>H</v>
      </c>
      <c r="AM473" s="3">
        <v>433</v>
      </c>
      <c r="AN473" s="3" t="str">
        <f>IFERROR(MID(VLOOKUP($B473,Seqs!$A:$B,2,0),AO473,1),"")</f>
        <v>S</v>
      </c>
      <c r="AO473" s="3">
        <v>443</v>
      </c>
      <c r="AP473" s="3" t="str">
        <f>IFERROR(MID(VLOOKUP($B473,Seqs!$A:$B,2,0),AQ473,1),"")</f>
        <v>Q</v>
      </c>
      <c r="AQ473" s="3">
        <v>491</v>
      </c>
      <c r="AR473" s="3" t="str">
        <f>IFERROR(MID(VLOOKUP($B473,Seqs!$A:$B,2,0),AS473,1),"")</f>
        <v>S</v>
      </c>
      <c r="AS473" s="105">
        <v>514</v>
      </c>
      <c r="AT473" s="3" t="str">
        <f>IFERROR(MID(VLOOKUP($B473,Seqs!$A:$B,2,0),AU473,1),"")</f>
        <v>W</v>
      </c>
      <c r="AU473" s="3">
        <v>537</v>
      </c>
      <c r="AV473" s="3" t="str">
        <f>IFERROR(MID(VLOOKUP($B473,Seqs!$A:$B,2,0),AW473,1),"")</f>
        <v>T</v>
      </c>
      <c r="AW473" s="3">
        <v>538</v>
      </c>
      <c r="AX473" s="3" t="str">
        <f>IFERROR(MID(VLOOKUP($B473,Seqs!$A:$B,2,0),AY473,1),"")</f>
        <v>L</v>
      </c>
      <c r="AY473" s="3">
        <v>552</v>
      </c>
      <c r="AZ473" s="77" t="str">
        <f>VLOOKUP(B473,Classification!A:D,2,0)</f>
        <v>F</v>
      </c>
      <c r="BA473" s="94" t="str">
        <f>VLOOKUP(B473,Classification!A:D,4,0)</f>
        <v>Frizzled</v>
      </c>
      <c r="BB473" s="27" t="b">
        <f t="shared" si="3996"/>
        <v>1</v>
      </c>
      <c r="BC473" s="23">
        <f t="shared" si="3941"/>
        <v>251</v>
      </c>
      <c r="BD473" s="2" t="s">
        <v>23</v>
      </c>
      <c r="BE473" s="3" t="s">
        <v>1370</v>
      </c>
      <c r="BF473" s="118">
        <v>2.8</v>
      </c>
      <c r="BG473" s="49" t="s">
        <v>1373</v>
      </c>
      <c r="BH473" s="49" t="s">
        <v>1373</v>
      </c>
      <c r="BJ473" s="70" t="s">
        <v>1283</v>
      </c>
      <c r="BK473" s="57" t="s">
        <v>1283</v>
      </c>
      <c r="BL473" s="57" t="s">
        <v>1283</v>
      </c>
      <c r="BM473" s="57" t="s">
        <v>1283</v>
      </c>
      <c r="BN473" s="57" t="s">
        <v>1283</v>
      </c>
      <c r="BO473" s="57" t="s">
        <v>1283</v>
      </c>
      <c r="BP473" s="57" t="s">
        <v>1283</v>
      </c>
      <c r="BQ473" s="57" t="s">
        <v>1283</v>
      </c>
      <c r="BR473" s="57" t="s">
        <v>1283</v>
      </c>
      <c r="BS473" s="57" t="s">
        <v>1283</v>
      </c>
      <c r="BT473" s="57" t="s">
        <v>1283</v>
      </c>
      <c r="BU473" s="57" t="s">
        <v>1283</v>
      </c>
      <c r="BV473" s="70">
        <f t="shared" si="3942"/>
        <v>223</v>
      </c>
      <c r="BW473" s="71">
        <f t="shared" si="3943"/>
        <v>256</v>
      </c>
      <c r="BX473" s="72">
        <f t="shared" si="3944"/>
        <v>261</v>
      </c>
      <c r="BY473" s="71" t="str">
        <f t="shared" si="3945"/>
        <v>-</v>
      </c>
      <c r="BZ473" s="72">
        <f t="shared" si="3946"/>
        <v>312</v>
      </c>
      <c r="CA473" s="71" t="str">
        <f t="shared" si="3947"/>
        <v>-</v>
      </c>
      <c r="CB473" s="72">
        <f t="shared" si="3948"/>
        <v>356</v>
      </c>
      <c r="CC473" s="71">
        <f t="shared" si="3949"/>
        <v>390</v>
      </c>
      <c r="CD473" s="72">
        <f t="shared" si="3950"/>
        <v>396</v>
      </c>
      <c r="CE473" s="71">
        <f t="shared" si="3951"/>
        <v>443</v>
      </c>
      <c r="CF473" s="72">
        <f t="shared" si="3952"/>
        <v>514</v>
      </c>
      <c r="CG473" s="71">
        <f t="shared" si="3953"/>
        <v>538</v>
      </c>
      <c r="CH473" s="70">
        <f t="shared" si="3954"/>
        <v>255</v>
      </c>
      <c r="CI473" s="71">
        <f t="shared" si="3955"/>
        <v>260</v>
      </c>
      <c r="CJ473" s="72">
        <f t="shared" si="3956"/>
        <v>285</v>
      </c>
      <c r="CK473" s="72" t="str">
        <f t="shared" si="3957"/>
        <v>-</v>
      </c>
      <c r="CL473" s="72">
        <f t="shared" si="3958"/>
        <v>345</v>
      </c>
      <c r="CM473" s="72" t="str">
        <f t="shared" si="3959"/>
        <v>-</v>
      </c>
      <c r="CN473" s="72">
        <f t="shared" si="3960"/>
        <v>378</v>
      </c>
      <c r="CO473" s="72">
        <f t="shared" si="3961"/>
        <v>392</v>
      </c>
      <c r="CP473" s="72">
        <f t="shared" si="3962"/>
        <v>433</v>
      </c>
      <c r="CQ473" s="72">
        <f t="shared" si="3963"/>
        <v>491</v>
      </c>
      <c r="CR473" s="72">
        <f t="shared" si="3964"/>
        <v>537</v>
      </c>
      <c r="CS473" s="72">
        <f t="shared" si="3965"/>
        <v>552</v>
      </c>
      <c r="CT473" s="23">
        <f t="shared" si="3966"/>
        <v>1</v>
      </c>
    </row>
    <row r="474" spans="1:1030" x14ac:dyDescent="0.2">
      <c r="A474" s="3" t="str">
        <f t="shared" si="3995"/>
        <v>smo_human_4O9R</v>
      </c>
      <c r="B474" s="3" t="s">
        <v>33</v>
      </c>
      <c r="C474" s="3" t="s">
        <v>1045</v>
      </c>
      <c r="D474" s="3" t="str">
        <f>IFERROR(MID(VLOOKUP($B474,Seqs!$A:$B,2,0),E474,1),"")</f>
        <v>T</v>
      </c>
      <c r="E474" s="105">
        <v>223</v>
      </c>
      <c r="F474" s="3" t="str">
        <f>IFERROR(MID(VLOOKUP($B474,Seqs!$A:$B,2,0),G474,1),"")</f>
        <v>D</v>
      </c>
      <c r="G474" s="3">
        <v>255</v>
      </c>
      <c r="H474" s="3" t="str">
        <f>IFERROR(MID(VLOOKUP($B474,Seqs!$A:$B,2,0),I474,1),"")</f>
        <v>W</v>
      </c>
      <c r="I474" s="23">
        <v>256</v>
      </c>
      <c r="J474" s="3" t="str">
        <f>IFERROR(MID(VLOOKUP($B474,Seqs!$A:$B,2,0),K474,1),"")</f>
        <v>N</v>
      </c>
      <c r="K474" s="23">
        <v>260</v>
      </c>
      <c r="L474" s="3" t="str">
        <f>IFERROR(MID(VLOOKUP($B474,Seqs!$A:$B,2,0),M474,1),"")</f>
        <v>R</v>
      </c>
      <c r="M474" s="3">
        <v>261</v>
      </c>
      <c r="N474" s="3" t="str">
        <f>IFERROR(MID(VLOOKUP($B474,Seqs!$A:$B,2,0),O474,1),"")</f>
        <v>F</v>
      </c>
      <c r="O474" s="3">
        <v>285</v>
      </c>
      <c r="P474" s="3" t="str">
        <f>IFERROR(MID(VLOOKUP($B474,Seqs!$A:$B,2,0),Q474,1),"")</f>
        <v/>
      </c>
      <c r="Q474" s="3" t="s">
        <v>23</v>
      </c>
      <c r="R474" s="3" t="str">
        <f>IFERROR(MID(VLOOKUP($B474,Seqs!$A:$B,2,0),S474,1),"")</f>
        <v/>
      </c>
      <c r="S474" s="3" t="s">
        <v>23</v>
      </c>
      <c r="T474" s="3" t="str">
        <f>IFERROR(MID(VLOOKUP($B474,Seqs!$A:$B,2,0),U474,1),"")</f>
        <v>L</v>
      </c>
      <c r="U474" s="3">
        <v>312</v>
      </c>
      <c r="V474" s="3" t="str">
        <f>IFERROR(MID(VLOOKUP($B474,Seqs!$A:$B,2,0),W474,1),"")</f>
        <v>F</v>
      </c>
      <c r="W474" s="3">
        <v>343</v>
      </c>
      <c r="X474" s="3" t="str">
        <f>IFERROR(MID(VLOOKUP($B474,Seqs!$A:$B,2,0),Y474,1),"")</f>
        <v/>
      </c>
      <c r="Y474" s="3" t="s">
        <v>23</v>
      </c>
      <c r="Z474" s="3" t="str">
        <f>IFERROR(MID(VLOOKUP($B474,Seqs!$A:$B,2,0),AA474,1),"")</f>
        <v/>
      </c>
      <c r="AA474" s="3" t="s">
        <v>23</v>
      </c>
      <c r="AB474" s="3" t="str">
        <f>IFERROR(MID(VLOOKUP($B474,Seqs!$A:$B,2,0),AC474,1),"")</f>
        <v>F</v>
      </c>
      <c r="AC474" s="9">
        <v>360</v>
      </c>
      <c r="AD474" s="3" t="str">
        <f>IFERROR(MID(VLOOKUP($B474,Seqs!$A:$B,2,0),AE474,1),"")</f>
        <v>V</v>
      </c>
      <c r="AE474" s="3">
        <v>378</v>
      </c>
      <c r="AF474" s="3" t="str">
        <f>IFERROR(MID(VLOOKUP($B474,Seqs!$A:$B,2,0),AG474,1),"")</f>
        <v>C</v>
      </c>
      <c r="AG474" s="3">
        <v>390</v>
      </c>
      <c r="AH474" s="3" t="str">
        <f>IFERROR(MID(VLOOKUP($B474,Seqs!$A:$B,2,0),AI474,1),"")</f>
        <v>V</v>
      </c>
      <c r="AI474" s="3">
        <v>392</v>
      </c>
      <c r="AJ474" s="3" t="str">
        <f>IFERROR(MID(VLOOKUP($B474,Seqs!$A:$B,2,0),AK474,1),"")</f>
        <v>N</v>
      </c>
      <c r="AK474" s="105">
        <v>396</v>
      </c>
      <c r="AL474" s="3" t="str">
        <f>IFERROR(MID(VLOOKUP($B474,Seqs!$A:$B,2,0),AM474,1),"")</f>
        <v>H</v>
      </c>
      <c r="AM474" s="3">
        <v>433</v>
      </c>
      <c r="AN474" s="3" t="str">
        <f>IFERROR(MID(VLOOKUP($B474,Seqs!$A:$B,2,0),AO474,1),"")</f>
        <v>E</v>
      </c>
      <c r="AO474" s="3">
        <v>447</v>
      </c>
      <c r="AP474" s="3" t="str">
        <f>IFERROR(MID(VLOOKUP($B474,Seqs!$A:$B,2,0),AQ474,1),"")</f>
        <v>N</v>
      </c>
      <c r="AQ474" s="3">
        <v>493</v>
      </c>
      <c r="AR474" s="3" t="str">
        <f>IFERROR(MID(VLOOKUP($B474,Seqs!$A:$B,2,0),AS474,1),"")</f>
        <v>S</v>
      </c>
      <c r="AS474" s="105">
        <v>514</v>
      </c>
      <c r="AT474" s="3" t="str">
        <f>IFERROR(MID(VLOOKUP($B474,Seqs!$A:$B,2,0),AU474,1),"")</f>
        <v>W</v>
      </c>
      <c r="AU474" s="3">
        <v>537</v>
      </c>
      <c r="AV474" s="3" t="str">
        <f>IFERROR(MID(VLOOKUP($B474,Seqs!$A:$B,2,0),AW474,1),"")</f>
        <v>T</v>
      </c>
      <c r="AW474" s="3">
        <v>538</v>
      </c>
      <c r="AX474" s="3" t="str">
        <f>IFERROR(MID(VLOOKUP($B474,Seqs!$A:$B,2,0),AY474,1),"")</f>
        <v>W</v>
      </c>
      <c r="AY474" s="3">
        <v>549</v>
      </c>
      <c r="AZ474" s="78" t="str">
        <f>VLOOKUP(B474,Classification!A:D,2,0)</f>
        <v>F</v>
      </c>
      <c r="BA474" s="94" t="str">
        <f>VLOOKUP(B474,Classification!A:D,4,0)</f>
        <v>Frizzled</v>
      </c>
      <c r="BB474" s="92" t="b">
        <f t="shared" si="3996"/>
        <v>1</v>
      </c>
      <c r="BC474" s="23">
        <f t="shared" si="3941"/>
        <v>240</v>
      </c>
      <c r="BD474" s="74" t="s">
        <v>23</v>
      </c>
      <c r="BE474" s="3" t="s">
        <v>1370</v>
      </c>
      <c r="BF474" s="118">
        <v>3.2</v>
      </c>
      <c r="BG474" s="49" t="s">
        <v>1373</v>
      </c>
      <c r="BH474" s="49" t="s">
        <v>1373</v>
      </c>
      <c r="BJ474" s="75" t="s">
        <v>1283</v>
      </c>
      <c r="BK474" s="57" t="s">
        <v>1283</v>
      </c>
      <c r="BL474" s="57" t="s">
        <v>1283</v>
      </c>
      <c r="BM474" s="57" t="s">
        <v>1283</v>
      </c>
      <c r="BN474" s="57" t="s">
        <v>1283</v>
      </c>
      <c r="BO474" s="57" t="s">
        <v>1283</v>
      </c>
      <c r="BP474" s="57" t="s">
        <v>1283</v>
      </c>
      <c r="BQ474" s="57" t="s">
        <v>1283</v>
      </c>
      <c r="BR474" s="57" t="s">
        <v>1283</v>
      </c>
      <c r="BS474" s="57" t="s">
        <v>1283</v>
      </c>
      <c r="BT474" s="57" t="s">
        <v>1283</v>
      </c>
      <c r="BU474" s="57" t="s">
        <v>1283</v>
      </c>
      <c r="BV474" s="75">
        <f t="shared" si="3942"/>
        <v>223</v>
      </c>
      <c r="BW474" s="71">
        <f t="shared" si="3943"/>
        <v>256</v>
      </c>
      <c r="BX474" s="72">
        <f t="shared" si="3944"/>
        <v>261</v>
      </c>
      <c r="BY474" s="71" t="str">
        <f t="shared" si="3945"/>
        <v>-</v>
      </c>
      <c r="BZ474" s="72">
        <f t="shared" si="3946"/>
        <v>312</v>
      </c>
      <c r="CA474" s="71" t="str">
        <f t="shared" si="3947"/>
        <v>-</v>
      </c>
      <c r="CB474" s="72">
        <f t="shared" si="3948"/>
        <v>360</v>
      </c>
      <c r="CC474" s="71">
        <f t="shared" si="3949"/>
        <v>390</v>
      </c>
      <c r="CD474" s="72">
        <f t="shared" si="3950"/>
        <v>396</v>
      </c>
      <c r="CE474" s="71">
        <f t="shared" si="3951"/>
        <v>447</v>
      </c>
      <c r="CF474" s="72">
        <f t="shared" si="3952"/>
        <v>514</v>
      </c>
      <c r="CG474" s="71">
        <f t="shared" si="3953"/>
        <v>538</v>
      </c>
      <c r="CH474" s="75">
        <f t="shared" si="3954"/>
        <v>255</v>
      </c>
      <c r="CI474" s="71">
        <f t="shared" si="3955"/>
        <v>260</v>
      </c>
      <c r="CJ474" s="72">
        <f t="shared" si="3956"/>
        <v>285</v>
      </c>
      <c r="CK474" s="72" t="str">
        <f t="shared" si="3957"/>
        <v>-</v>
      </c>
      <c r="CL474" s="72">
        <f t="shared" si="3958"/>
        <v>343</v>
      </c>
      <c r="CM474" s="72" t="str">
        <f t="shared" si="3959"/>
        <v>-</v>
      </c>
      <c r="CN474" s="72">
        <f t="shared" si="3960"/>
        <v>378</v>
      </c>
      <c r="CO474" s="72">
        <f t="shared" si="3961"/>
        <v>392</v>
      </c>
      <c r="CP474" s="72">
        <f t="shared" si="3962"/>
        <v>433</v>
      </c>
      <c r="CQ474" s="72">
        <f t="shared" si="3963"/>
        <v>493</v>
      </c>
      <c r="CR474" s="72">
        <f t="shared" si="3964"/>
        <v>537</v>
      </c>
      <c r="CS474" s="72">
        <f t="shared" si="3965"/>
        <v>549</v>
      </c>
      <c r="CT474" s="23">
        <f t="shared" si="3966"/>
        <v>1</v>
      </c>
    </row>
    <row r="475" spans="1:1030" s="6" customFormat="1" x14ac:dyDescent="0.2">
      <c r="A475" s="3" t="str">
        <f t="shared" si="3995"/>
        <v>smo_human_4QIM</v>
      </c>
      <c r="B475" s="3" t="s">
        <v>33</v>
      </c>
      <c r="C475" s="3" t="s">
        <v>1047</v>
      </c>
      <c r="D475" s="3" t="str">
        <f>IFERROR(MID(VLOOKUP($B475,Seqs!$A:$B,2,0),E475,1),"")</f>
        <v>T</v>
      </c>
      <c r="E475" s="105">
        <v>223</v>
      </c>
      <c r="F475" s="3" t="str">
        <f>IFERROR(MID(VLOOKUP($B475,Seqs!$A:$B,2,0),G475,1),"")</f>
        <v>D</v>
      </c>
      <c r="G475" s="3">
        <v>255</v>
      </c>
      <c r="H475" s="3" t="str">
        <f>IFERROR(MID(VLOOKUP($B475,Seqs!$A:$B,2,0),I475,1),"")</f>
        <v>W</v>
      </c>
      <c r="I475" s="23">
        <v>256</v>
      </c>
      <c r="J475" s="3" t="str">
        <f>IFERROR(MID(VLOOKUP($B475,Seqs!$A:$B,2,0),K475,1),"")</f>
        <v>N</v>
      </c>
      <c r="K475" s="23">
        <v>260</v>
      </c>
      <c r="L475" s="3" t="str">
        <f>IFERROR(MID(VLOOKUP($B475,Seqs!$A:$B,2,0),M475,1),"")</f>
        <v>R</v>
      </c>
      <c r="M475" s="3">
        <v>261</v>
      </c>
      <c r="N475" s="3" t="str">
        <f>IFERROR(MID(VLOOKUP($B475,Seqs!$A:$B,2,0),O475,1),"")</f>
        <v>F</v>
      </c>
      <c r="O475" s="3">
        <v>285</v>
      </c>
      <c r="P475" s="3" t="str">
        <f>IFERROR(MID(VLOOKUP($B475,Seqs!$A:$B,2,0),Q475,1),"")</f>
        <v/>
      </c>
      <c r="Q475" s="3" t="s">
        <v>23</v>
      </c>
      <c r="R475" s="3" t="str">
        <f>IFERROR(MID(VLOOKUP($B475,Seqs!$A:$B,2,0),S475,1),"")</f>
        <v/>
      </c>
      <c r="S475" s="3" t="s">
        <v>23</v>
      </c>
      <c r="T475" s="3" t="str">
        <f>IFERROR(MID(VLOOKUP($B475,Seqs!$A:$B,2,0),U475,1),"")</f>
        <v>L</v>
      </c>
      <c r="U475" s="3">
        <v>312</v>
      </c>
      <c r="V475" s="3" t="str">
        <f>IFERROR(MID(VLOOKUP($B475,Seqs!$A:$B,2,0),W475,1),"")</f>
        <v>A</v>
      </c>
      <c r="W475" s="3">
        <v>345</v>
      </c>
      <c r="X475" s="3" t="str">
        <f>IFERROR(MID(VLOOKUP($B475,Seqs!$A:$B,2,0),Y475,1),"")</f>
        <v/>
      </c>
      <c r="Y475" s="3" t="s">
        <v>23</v>
      </c>
      <c r="Z475" s="3" t="str">
        <f>IFERROR(MID(VLOOKUP($B475,Seqs!$A:$B,2,0),AA475,1),"")</f>
        <v/>
      </c>
      <c r="AA475" s="3" t="s">
        <v>23</v>
      </c>
      <c r="AB475" s="3" t="str">
        <f>IFERROR(MID(VLOOKUP($B475,Seqs!$A:$B,2,0),AC475,1),"")</f>
        <v>K</v>
      </c>
      <c r="AC475" s="9">
        <v>356</v>
      </c>
      <c r="AD475" s="3" t="str">
        <f>IFERROR(MID(VLOOKUP($B475,Seqs!$A:$B,2,0),AE475,1),"")</f>
        <v>V</v>
      </c>
      <c r="AE475" s="3">
        <v>378</v>
      </c>
      <c r="AF475" s="3" t="str">
        <f>IFERROR(MID(VLOOKUP($B475,Seqs!$A:$B,2,0),AG475,1),"")</f>
        <v>C</v>
      </c>
      <c r="AG475" s="3">
        <v>390</v>
      </c>
      <c r="AH475" s="3" t="str">
        <f>IFERROR(MID(VLOOKUP($B475,Seqs!$A:$B,2,0),AI475,1),"")</f>
        <v>V</v>
      </c>
      <c r="AI475" s="3">
        <v>392</v>
      </c>
      <c r="AJ475" s="3" t="str">
        <f>IFERROR(MID(VLOOKUP($B475,Seqs!$A:$B,2,0),AK475,1),"")</f>
        <v>N</v>
      </c>
      <c r="AK475" s="105">
        <v>396</v>
      </c>
      <c r="AL475" s="3" t="str">
        <f>IFERROR(MID(VLOOKUP($B475,Seqs!$A:$B,2,0),AM475,1),"")</f>
        <v>H</v>
      </c>
      <c r="AM475" s="3">
        <v>433</v>
      </c>
      <c r="AN475" s="3" t="str">
        <f>IFERROR(MID(VLOOKUP($B475,Seqs!$A:$B,2,0),AO475,1),"")</f>
        <v>E</v>
      </c>
      <c r="AO475" s="3">
        <v>447</v>
      </c>
      <c r="AP475" s="3" t="str">
        <f>IFERROR(MID(VLOOKUP($B475,Seqs!$A:$B,2,0),AQ475,1),"")</f>
        <v>N</v>
      </c>
      <c r="AQ475" s="3">
        <v>493</v>
      </c>
      <c r="AR475" s="3" t="str">
        <f>IFERROR(MID(VLOOKUP($B475,Seqs!$A:$B,2,0),AS475,1),"")</f>
        <v>S</v>
      </c>
      <c r="AS475" s="105">
        <v>514</v>
      </c>
      <c r="AT475" s="3" t="str">
        <f>IFERROR(MID(VLOOKUP($B475,Seqs!$A:$B,2,0),AU475,1),"")</f>
        <v>W</v>
      </c>
      <c r="AU475" s="3">
        <v>537</v>
      </c>
      <c r="AV475" s="3" t="str">
        <f>IFERROR(MID(VLOOKUP($B475,Seqs!$A:$B,2,0),AW475,1),"")</f>
        <v>T</v>
      </c>
      <c r="AW475" s="3">
        <v>538</v>
      </c>
      <c r="AX475" s="3" t="str">
        <f>IFERROR(MID(VLOOKUP($B475,Seqs!$A:$B,2,0),AY475,1),"")</f>
        <v>T</v>
      </c>
      <c r="AY475" s="3">
        <v>553</v>
      </c>
      <c r="AZ475" s="78" t="str">
        <f>VLOOKUP(B475,Classification!A:D,2,0)</f>
        <v>F</v>
      </c>
      <c r="BA475" s="94" t="str">
        <f>VLOOKUP(B475,Classification!A:D,4,0)</f>
        <v>Frizzled</v>
      </c>
      <c r="BB475" s="92" t="b">
        <f t="shared" si="3996"/>
        <v>1</v>
      </c>
      <c r="BC475" s="23">
        <f t="shared" si="3941"/>
        <v>250</v>
      </c>
      <c r="BD475" s="74" t="s">
        <v>23</v>
      </c>
      <c r="BE475" s="3" t="s">
        <v>1370</v>
      </c>
      <c r="BF475" s="118">
        <v>2.61</v>
      </c>
      <c r="BG475" s="49" t="s">
        <v>1373</v>
      </c>
      <c r="BH475" s="49" t="s">
        <v>1373</v>
      </c>
      <c r="BI475" s="3"/>
      <c r="BJ475" s="75" t="s">
        <v>1283</v>
      </c>
      <c r="BK475" s="57" t="s">
        <v>1283</v>
      </c>
      <c r="BL475" s="57" t="s">
        <v>1283</v>
      </c>
      <c r="BM475" s="57" t="s">
        <v>1283</v>
      </c>
      <c r="BN475" s="57" t="s">
        <v>1283</v>
      </c>
      <c r="BO475" s="57" t="s">
        <v>1283</v>
      </c>
      <c r="BP475" s="57" t="s">
        <v>1283</v>
      </c>
      <c r="BQ475" s="57" t="s">
        <v>1283</v>
      </c>
      <c r="BR475" s="57" t="s">
        <v>1283</v>
      </c>
      <c r="BS475" s="57" t="s">
        <v>1283</v>
      </c>
      <c r="BT475" s="57" t="s">
        <v>1283</v>
      </c>
      <c r="BU475" s="57" t="s">
        <v>1283</v>
      </c>
      <c r="BV475" s="75">
        <f t="shared" si="3942"/>
        <v>223</v>
      </c>
      <c r="BW475" s="71">
        <f t="shared" si="3943"/>
        <v>256</v>
      </c>
      <c r="BX475" s="72">
        <f t="shared" si="3944"/>
        <v>261</v>
      </c>
      <c r="BY475" s="71" t="str">
        <f t="shared" si="3945"/>
        <v>-</v>
      </c>
      <c r="BZ475" s="72">
        <f t="shared" si="3946"/>
        <v>312</v>
      </c>
      <c r="CA475" s="71" t="str">
        <f t="shared" si="3947"/>
        <v>-</v>
      </c>
      <c r="CB475" s="72">
        <f t="shared" si="3948"/>
        <v>356</v>
      </c>
      <c r="CC475" s="71">
        <f t="shared" si="3949"/>
        <v>390</v>
      </c>
      <c r="CD475" s="72">
        <f t="shared" si="3950"/>
        <v>396</v>
      </c>
      <c r="CE475" s="71">
        <f t="shared" si="3951"/>
        <v>447</v>
      </c>
      <c r="CF475" s="72">
        <f t="shared" si="3952"/>
        <v>514</v>
      </c>
      <c r="CG475" s="71">
        <f t="shared" si="3953"/>
        <v>538</v>
      </c>
      <c r="CH475" s="75">
        <f t="shared" si="3954"/>
        <v>255</v>
      </c>
      <c r="CI475" s="71">
        <f t="shared" si="3955"/>
        <v>260</v>
      </c>
      <c r="CJ475" s="72">
        <f t="shared" si="3956"/>
        <v>285</v>
      </c>
      <c r="CK475" s="72" t="str">
        <f t="shared" si="3957"/>
        <v>-</v>
      </c>
      <c r="CL475" s="72">
        <f t="shared" si="3958"/>
        <v>345</v>
      </c>
      <c r="CM475" s="72" t="str">
        <f t="shared" si="3959"/>
        <v>-</v>
      </c>
      <c r="CN475" s="72">
        <f t="shared" si="3960"/>
        <v>378</v>
      </c>
      <c r="CO475" s="72">
        <f t="shared" si="3961"/>
        <v>392</v>
      </c>
      <c r="CP475" s="72">
        <f t="shared" si="3962"/>
        <v>433</v>
      </c>
      <c r="CQ475" s="72">
        <f t="shared" si="3963"/>
        <v>493</v>
      </c>
      <c r="CR475" s="72">
        <f t="shared" si="3964"/>
        <v>537</v>
      </c>
      <c r="CS475" s="72">
        <f t="shared" si="3965"/>
        <v>553</v>
      </c>
      <c r="CT475" s="23">
        <f t="shared" si="3966"/>
        <v>1</v>
      </c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  <c r="NM475" s="3"/>
      <c r="NN475" s="3"/>
      <c r="NO475" s="3"/>
      <c r="NP475" s="3"/>
      <c r="NQ475" s="3"/>
      <c r="NR475" s="3"/>
      <c r="NS475" s="3"/>
      <c r="NT475" s="3"/>
      <c r="NU475" s="3"/>
      <c r="NV475" s="3"/>
      <c r="NW475" s="3"/>
      <c r="NX475" s="3"/>
      <c r="NY475" s="3"/>
      <c r="NZ475" s="3"/>
      <c r="OA475" s="3"/>
      <c r="OB475" s="3"/>
      <c r="OC475" s="3"/>
      <c r="OD475" s="3"/>
      <c r="OE475" s="3"/>
      <c r="OF475" s="3"/>
      <c r="OG475" s="3"/>
      <c r="OH475" s="3"/>
      <c r="OI475" s="3"/>
      <c r="OJ475" s="3"/>
      <c r="OK475" s="3"/>
      <c r="OL475" s="3"/>
      <c r="OM475" s="3"/>
      <c r="ON475" s="3"/>
      <c r="OO475" s="3"/>
      <c r="OP475" s="3"/>
      <c r="OQ475" s="3"/>
      <c r="OR475" s="3"/>
      <c r="OS475" s="3"/>
      <c r="OT475" s="3"/>
      <c r="OU475" s="3"/>
      <c r="OV475" s="3"/>
      <c r="OW475" s="3"/>
      <c r="OX475" s="3"/>
      <c r="OY475" s="3"/>
      <c r="OZ475" s="3"/>
      <c r="PA475" s="3"/>
      <c r="PB475" s="3"/>
      <c r="PC475" s="3"/>
      <c r="PD475" s="3"/>
      <c r="PE475" s="3"/>
      <c r="PF475" s="3"/>
      <c r="PG475" s="3"/>
      <c r="PH475" s="3"/>
      <c r="PI475" s="3"/>
      <c r="PJ475" s="3"/>
      <c r="PK475" s="3"/>
      <c r="PL475" s="3"/>
      <c r="PM475" s="3"/>
      <c r="PN475" s="3"/>
      <c r="PO475" s="3"/>
      <c r="PP475" s="3"/>
      <c r="PQ475" s="3"/>
      <c r="PR475" s="3"/>
      <c r="PS475" s="3"/>
      <c r="PT475" s="3"/>
      <c r="PU475" s="3"/>
      <c r="PV475" s="3"/>
      <c r="PW475" s="3"/>
      <c r="PX475" s="3"/>
      <c r="PY475" s="3"/>
      <c r="PZ475" s="3"/>
      <c r="QA475" s="3"/>
      <c r="QB475" s="3"/>
      <c r="QC475" s="3"/>
      <c r="QD475" s="3"/>
      <c r="QE475" s="3"/>
      <c r="QF475" s="3"/>
      <c r="QG475" s="3"/>
      <c r="QH475" s="3"/>
      <c r="QI475" s="3"/>
      <c r="QJ475" s="3"/>
      <c r="QK475" s="3"/>
      <c r="QL475" s="3"/>
      <c r="QM475" s="3"/>
      <c r="QN475" s="3"/>
      <c r="QO475" s="3"/>
      <c r="QP475" s="3"/>
      <c r="QQ475" s="3"/>
      <c r="QR475" s="3"/>
      <c r="QS475" s="3"/>
      <c r="QT475" s="3"/>
      <c r="QU475" s="3"/>
      <c r="QV475" s="3"/>
      <c r="QW475" s="3"/>
      <c r="QX475" s="3"/>
      <c r="QY475" s="3"/>
      <c r="QZ475" s="3"/>
      <c r="RA475" s="3"/>
      <c r="RB475" s="3"/>
      <c r="RC475" s="3"/>
      <c r="RD475" s="3"/>
      <c r="RE475" s="3"/>
      <c r="RF475" s="3"/>
      <c r="RG475" s="3"/>
      <c r="RH475" s="3"/>
      <c r="RI475" s="3"/>
      <c r="RJ475" s="3"/>
      <c r="RK475" s="3"/>
      <c r="RL475" s="3"/>
      <c r="RM475" s="3"/>
      <c r="RN475" s="3"/>
      <c r="RO475" s="3"/>
      <c r="RP475" s="3"/>
      <c r="RQ475" s="3"/>
      <c r="RR475" s="3"/>
      <c r="RS475" s="3"/>
      <c r="RT475" s="3"/>
      <c r="RU475" s="3"/>
      <c r="RV475" s="3"/>
      <c r="RW475" s="3"/>
      <c r="RX475" s="3"/>
      <c r="RY475" s="3"/>
      <c r="RZ475" s="3"/>
      <c r="SA475" s="3"/>
      <c r="SB475" s="3"/>
      <c r="SC475" s="3"/>
      <c r="SD475" s="3"/>
      <c r="SE475" s="3"/>
      <c r="SF475" s="3"/>
      <c r="SG475" s="3"/>
      <c r="SH475" s="3"/>
      <c r="SI475" s="3"/>
      <c r="SJ475" s="3"/>
      <c r="SK475" s="3"/>
      <c r="SL475" s="3"/>
      <c r="SM475" s="3"/>
      <c r="SN475" s="3"/>
      <c r="SO475" s="3"/>
      <c r="SP475" s="3"/>
      <c r="SQ475" s="3"/>
      <c r="SR475" s="3"/>
      <c r="SS475" s="3"/>
      <c r="ST475" s="3"/>
      <c r="SU475" s="3"/>
      <c r="SV475" s="3"/>
      <c r="SW475" s="3"/>
      <c r="SX475" s="3"/>
      <c r="SY475" s="3"/>
      <c r="SZ475" s="3"/>
      <c r="TA475" s="3"/>
      <c r="TB475" s="3"/>
      <c r="TC475" s="3"/>
      <c r="TD475" s="3"/>
      <c r="TE475" s="3"/>
      <c r="TF475" s="3"/>
      <c r="TG475" s="3"/>
      <c r="TH475" s="3"/>
      <c r="TI475" s="3"/>
      <c r="TJ475" s="3"/>
      <c r="TK475" s="3"/>
      <c r="TL475" s="3"/>
      <c r="TM475" s="3"/>
      <c r="TN475" s="3"/>
      <c r="TO475" s="3"/>
      <c r="TP475" s="3"/>
      <c r="TQ475" s="3"/>
      <c r="TR475" s="3"/>
      <c r="TS475" s="3"/>
      <c r="TT475" s="3"/>
      <c r="TU475" s="3"/>
      <c r="TV475" s="3"/>
      <c r="TW475" s="3"/>
      <c r="TX475" s="3"/>
      <c r="TY475" s="3"/>
      <c r="TZ475" s="3"/>
      <c r="UA475" s="3"/>
      <c r="UB475" s="3"/>
      <c r="UC475" s="3"/>
      <c r="UD475" s="3"/>
      <c r="UE475" s="3"/>
      <c r="UF475" s="3"/>
      <c r="UG475" s="3"/>
      <c r="UH475" s="3"/>
      <c r="UI475" s="3"/>
      <c r="UJ475" s="3"/>
      <c r="UK475" s="3"/>
      <c r="UL475" s="3"/>
      <c r="UM475" s="3"/>
      <c r="UN475" s="3"/>
      <c r="UO475" s="3"/>
      <c r="UP475" s="3"/>
      <c r="UQ475" s="3"/>
      <c r="UR475" s="3"/>
      <c r="US475" s="3"/>
      <c r="UT475" s="3"/>
      <c r="UU475" s="3"/>
      <c r="UV475" s="3"/>
      <c r="UW475" s="3"/>
      <c r="UX475" s="3"/>
      <c r="UY475" s="3"/>
      <c r="UZ475" s="3"/>
      <c r="VA475" s="3"/>
      <c r="VB475" s="3"/>
      <c r="VC475" s="3"/>
      <c r="VD475" s="3"/>
      <c r="VE475" s="3"/>
      <c r="VF475" s="3"/>
      <c r="VG475" s="3"/>
      <c r="VH475" s="3"/>
      <c r="VI475" s="3"/>
      <c r="VJ475" s="3"/>
      <c r="VK475" s="3"/>
      <c r="VL475" s="3"/>
      <c r="VM475" s="3"/>
      <c r="VN475" s="3"/>
      <c r="VO475" s="3"/>
      <c r="VP475" s="3"/>
      <c r="VQ475" s="3"/>
      <c r="VR475" s="3"/>
      <c r="VS475" s="3"/>
      <c r="VT475" s="3"/>
      <c r="VU475" s="3"/>
      <c r="VV475" s="3"/>
      <c r="VW475" s="3"/>
      <c r="VX475" s="3"/>
      <c r="VY475" s="3"/>
      <c r="VZ475" s="3"/>
      <c r="WA475" s="3"/>
      <c r="WB475" s="3"/>
      <c r="WC475" s="3"/>
      <c r="WD475" s="3"/>
      <c r="WE475" s="3"/>
      <c r="WF475" s="3"/>
      <c r="WG475" s="3"/>
      <c r="WH475" s="3"/>
      <c r="WI475" s="3"/>
      <c r="WJ475" s="3"/>
      <c r="WK475" s="3"/>
      <c r="WL475" s="3"/>
      <c r="WM475" s="3"/>
      <c r="WN475" s="3"/>
      <c r="WO475" s="3"/>
      <c r="WP475" s="3"/>
      <c r="WQ475" s="3"/>
      <c r="WR475" s="3"/>
      <c r="WS475" s="3"/>
      <c r="WT475" s="3"/>
      <c r="WU475" s="3"/>
      <c r="WV475" s="3"/>
      <c r="WW475" s="3"/>
      <c r="WX475" s="3"/>
      <c r="WY475" s="3"/>
      <c r="WZ475" s="3"/>
      <c r="XA475" s="3"/>
      <c r="XB475" s="3"/>
      <c r="XC475" s="3"/>
      <c r="XD475" s="3"/>
      <c r="XE475" s="3"/>
      <c r="XF475" s="3"/>
      <c r="XG475" s="3"/>
      <c r="XH475" s="3"/>
      <c r="XI475" s="3"/>
      <c r="XJ475" s="3"/>
      <c r="XK475" s="3"/>
      <c r="XL475" s="3"/>
      <c r="XM475" s="3"/>
      <c r="XN475" s="3"/>
      <c r="XO475" s="3"/>
      <c r="XP475" s="3"/>
      <c r="XQ475" s="3"/>
      <c r="XR475" s="3"/>
      <c r="XS475" s="3"/>
      <c r="XT475" s="3"/>
      <c r="XU475" s="3"/>
      <c r="XV475" s="3"/>
      <c r="XW475" s="3"/>
      <c r="XX475" s="3"/>
      <c r="XY475" s="3"/>
      <c r="XZ475" s="3"/>
      <c r="YA475" s="3"/>
      <c r="YB475" s="3"/>
      <c r="YC475" s="3"/>
      <c r="YD475" s="3"/>
      <c r="YE475" s="3"/>
      <c r="YF475" s="3"/>
      <c r="YG475" s="3"/>
      <c r="YH475" s="3"/>
      <c r="YI475" s="3"/>
      <c r="YJ475" s="3"/>
      <c r="YK475" s="3"/>
      <c r="YL475" s="3"/>
      <c r="YM475" s="3"/>
      <c r="YN475" s="3"/>
      <c r="YO475" s="3"/>
      <c r="YP475" s="3"/>
      <c r="YQ475" s="3"/>
      <c r="YR475" s="3"/>
      <c r="YS475" s="3"/>
      <c r="YT475" s="3"/>
      <c r="YU475" s="3"/>
      <c r="YV475" s="3"/>
      <c r="YW475" s="3"/>
      <c r="YX475" s="3"/>
      <c r="YY475" s="3"/>
      <c r="YZ475" s="3"/>
      <c r="ZA475" s="3"/>
      <c r="ZB475" s="3"/>
      <c r="ZC475" s="3"/>
      <c r="ZD475" s="3"/>
      <c r="ZE475" s="3"/>
      <c r="ZF475" s="3"/>
      <c r="ZG475" s="3"/>
      <c r="ZH475" s="3"/>
      <c r="ZI475" s="3"/>
      <c r="ZJ475" s="3"/>
      <c r="ZK475" s="3"/>
      <c r="ZL475" s="3"/>
      <c r="ZM475" s="3"/>
      <c r="ZN475" s="3"/>
      <c r="ZO475" s="3"/>
      <c r="ZP475" s="3"/>
      <c r="ZQ475" s="3"/>
      <c r="ZR475" s="3"/>
      <c r="ZS475" s="3"/>
      <c r="ZT475" s="3"/>
      <c r="ZU475" s="3"/>
      <c r="ZV475" s="3"/>
      <c r="ZW475" s="3"/>
      <c r="ZX475" s="3"/>
      <c r="ZY475" s="3"/>
      <c r="ZZ475" s="3"/>
      <c r="AAA475" s="3"/>
      <c r="AAB475" s="3"/>
      <c r="AAC475" s="3"/>
      <c r="AAD475" s="3"/>
      <c r="AAE475" s="3"/>
      <c r="AAF475" s="3"/>
      <c r="AAG475" s="3"/>
      <c r="AAH475" s="3"/>
      <c r="AAI475" s="3"/>
      <c r="AAJ475" s="3"/>
      <c r="AAK475" s="3"/>
      <c r="AAL475" s="3"/>
      <c r="AAM475" s="3"/>
      <c r="AAN475" s="3"/>
      <c r="AAO475" s="3"/>
      <c r="AAP475" s="3"/>
      <c r="AAQ475" s="3"/>
      <c r="AAR475" s="3"/>
      <c r="AAS475" s="3"/>
      <c r="AAT475" s="3"/>
      <c r="AAU475" s="3"/>
      <c r="AAV475" s="3"/>
      <c r="AAW475" s="3"/>
      <c r="AAX475" s="3"/>
      <c r="AAY475" s="3"/>
      <c r="AAZ475" s="3"/>
      <c r="ABA475" s="3"/>
      <c r="ABB475" s="3"/>
      <c r="ABC475" s="3"/>
      <c r="ABD475" s="3"/>
      <c r="ABE475" s="3"/>
      <c r="ABF475" s="3"/>
      <c r="ABG475" s="3"/>
      <c r="ABH475" s="3"/>
      <c r="ABI475" s="3"/>
      <c r="ABJ475" s="3"/>
      <c r="ABK475" s="3"/>
      <c r="ABL475" s="3"/>
      <c r="ABM475" s="3"/>
      <c r="ABN475" s="3"/>
      <c r="ABO475" s="3"/>
      <c r="ABP475" s="3"/>
      <c r="ABQ475" s="3"/>
      <c r="ABR475" s="3"/>
      <c r="ABS475" s="3"/>
      <c r="ABT475" s="3"/>
      <c r="ABU475" s="3"/>
      <c r="ABV475" s="3"/>
      <c r="ABW475" s="3"/>
      <c r="ABX475" s="3"/>
      <c r="ABY475" s="3"/>
      <c r="ABZ475" s="3"/>
      <c r="ACA475" s="3"/>
      <c r="ACB475" s="3"/>
      <c r="ACC475" s="3"/>
      <c r="ACD475" s="3"/>
      <c r="ACE475" s="3"/>
      <c r="ACF475" s="3"/>
      <c r="ACG475" s="3"/>
      <c r="ACH475" s="3"/>
      <c r="ACI475" s="3"/>
      <c r="ACJ475" s="3"/>
      <c r="ACK475" s="3"/>
      <c r="ACL475" s="3"/>
      <c r="ACM475" s="3"/>
      <c r="ACN475" s="3"/>
      <c r="ACO475" s="3"/>
      <c r="ACP475" s="3"/>
      <c r="ACQ475" s="3"/>
      <c r="ACR475" s="3"/>
      <c r="ACS475" s="3"/>
      <c r="ACT475" s="3"/>
      <c r="ACU475" s="3"/>
      <c r="ACV475" s="3"/>
      <c r="ACW475" s="3"/>
      <c r="ACX475" s="3"/>
      <c r="ACY475" s="3"/>
      <c r="ACZ475" s="3"/>
      <c r="ADA475" s="3"/>
      <c r="ADB475" s="3"/>
      <c r="ADC475" s="3"/>
      <c r="ADD475" s="3"/>
      <c r="ADE475" s="3"/>
      <c r="ADF475" s="3"/>
      <c r="ADG475" s="3"/>
      <c r="ADH475" s="3"/>
      <c r="ADI475" s="3"/>
      <c r="ADJ475" s="3"/>
      <c r="ADK475" s="3"/>
      <c r="ADL475" s="3"/>
      <c r="ADM475" s="3"/>
      <c r="ADN475" s="3"/>
      <c r="ADO475" s="3"/>
      <c r="ADP475" s="3"/>
      <c r="ADQ475" s="3"/>
      <c r="ADR475" s="3"/>
      <c r="ADS475" s="3"/>
      <c r="ADT475" s="3"/>
      <c r="ADU475" s="3"/>
      <c r="ADV475" s="3"/>
      <c r="ADW475" s="3"/>
      <c r="ADX475" s="3"/>
      <c r="ADY475" s="3"/>
      <c r="ADZ475" s="3"/>
      <c r="AEA475" s="3"/>
      <c r="AEB475" s="3"/>
      <c r="AEC475" s="3"/>
      <c r="AED475" s="3"/>
      <c r="AEE475" s="3"/>
      <c r="AEF475" s="3"/>
      <c r="AEG475" s="3"/>
      <c r="AEH475" s="3"/>
      <c r="AEI475" s="3"/>
      <c r="AEJ475" s="3"/>
      <c r="AEK475" s="3"/>
      <c r="AEL475" s="3"/>
      <c r="AEM475" s="3"/>
      <c r="AEN475" s="3"/>
      <c r="AEO475" s="3"/>
      <c r="AEP475" s="3"/>
      <c r="AEQ475" s="3"/>
      <c r="AER475" s="3"/>
      <c r="AES475" s="3"/>
      <c r="AET475" s="3"/>
      <c r="AEU475" s="3"/>
      <c r="AEV475" s="3"/>
      <c r="AEW475" s="3"/>
      <c r="AEX475" s="3"/>
      <c r="AEY475" s="3"/>
      <c r="AEZ475" s="3"/>
      <c r="AFA475" s="3"/>
      <c r="AFB475" s="3"/>
      <c r="AFC475" s="3"/>
      <c r="AFD475" s="3"/>
      <c r="AFE475" s="3"/>
      <c r="AFF475" s="3"/>
      <c r="AFG475" s="3"/>
      <c r="AFH475" s="3"/>
      <c r="AFI475" s="3"/>
      <c r="AFJ475" s="3"/>
      <c r="AFK475" s="3"/>
      <c r="AFL475" s="3"/>
      <c r="AFM475" s="3"/>
      <c r="AFN475" s="3"/>
      <c r="AFO475" s="3"/>
      <c r="AFP475" s="3"/>
      <c r="AFQ475" s="3"/>
      <c r="AFR475" s="3"/>
      <c r="AFS475" s="3"/>
      <c r="AFT475" s="3"/>
      <c r="AFU475" s="3"/>
      <c r="AFV475" s="3"/>
      <c r="AFW475" s="3"/>
      <c r="AFX475" s="3"/>
      <c r="AFY475" s="3"/>
      <c r="AFZ475" s="3"/>
      <c r="AGA475" s="3"/>
      <c r="AGB475" s="3"/>
      <c r="AGC475" s="3"/>
      <c r="AGD475" s="3"/>
      <c r="AGE475" s="3"/>
      <c r="AGF475" s="3"/>
      <c r="AGG475" s="3"/>
      <c r="AGH475" s="3"/>
      <c r="AGI475" s="3"/>
      <c r="AGJ475" s="3"/>
      <c r="AGK475" s="3"/>
      <c r="AGL475" s="3"/>
      <c r="AGM475" s="3"/>
      <c r="AGN475" s="3"/>
      <c r="AGO475" s="3"/>
      <c r="AGP475" s="3"/>
      <c r="AGQ475" s="3"/>
      <c r="AGR475" s="3"/>
      <c r="AGS475" s="3"/>
      <c r="AGT475" s="3"/>
      <c r="AGU475" s="3"/>
      <c r="AGV475" s="3"/>
      <c r="AGW475" s="3"/>
      <c r="AGX475" s="3"/>
      <c r="AGY475" s="3"/>
      <c r="AGZ475" s="3"/>
      <c r="AHA475" s="3"/>
      <c r="AHB475" s="3"/>
      <c r="AHC475" s="3"/>
      <c r="AHD475" s="3"/>
      <c r="AHE475" s="3"/>
      <c r="AHF475" s="3"/>
      <c r="AHG475" s="3"/>
      <c r="AHH475" s="3"/>
      <c r="AHI475" s="3"/>
      <c r="AHJ475" s="3"/>
      <c r="AHK475" s="3"/>
      <c r="AHL475" s="3"/>
      <c r="AHM475" s="3"/>
      <c r="AHN475" s="3"/>
      <c r="AHO475" s="3"/>
      <c r="AHP475" s="3"/>
      <c r="AHQ475" s="3"/>
      <c r="AHR475" s="3"/>
      <c r="AHS475" s="3"/>
      <c r="AHT475" s="3"/>
      <c r="AHU475" s="3"/>
      <c r="AHV475" s="3"/>
      <c r="AHW475" s="3"/>
      <c r="AHX475" s="3"/>
      <c r="AHY475" s="3"/>
      <c r="AHZ475" s="3"/>
      <c r="AIA475" s="3"/>
      <c r="AIB475" s="3"/>
      <c r="AIC475" s="3"/>
      <c r="AID475" s="3"/>
      <c r="AIE475" s="3"/>
      <c r="AIF475" s="3"/>
      <c r="AIG475" s="3"/>
      <c r="AIH475" s="3"/>
      <c r="AII475" s="3"/>
      <c r="AIJ475" s="3"/>
      <c r="AIK475" s="3"/>
      <c r="AIL475" s="3"/>
      <c r="AIM475" s="3"/>
      <c r="AIN475" s="3"/>
      <c r="AIO475" s="3"/>
      <c r="AIP475" s="3"/>
      <c r="AIQ475" s="3"/>
      <c r="AIR475" s="3"/>
      <c r="AIS475" s="3"/>
      <c r="AIT475" s="3"/>
      <c r="AIU475" s="3"/>
      <c r="AIV475" s="3"/>
      <c r="AIW475" s="3"/>
      <c r="AIX475" s="3"/>
      <c r="AIY475" s="3"/>
      <c r="AIZ475" s="3"/>
      <c r="AJA475" s="3"/>
      <c r="AJB475" s="3"/>
      <c r="AJC475" s="3"/>
      <c r="AJD475" s="3"/>
      <c r="AJE475" s="3"/>
      <c r="AJF475" s="3"/>
      <c r="AJG475" s="3"/>
      <c r="AJH475" s="3"/>
      <c r="AJI475" s="3"/>
      <c r="AJJ475" s="3"/>
      <c r="AJK475" s="3"/>
      <c r="AJL475" s="3"/>
      <c r="AJM475" s="3"/>
      <c r="AJN475" s="3"/>
      <c r="AJO475" s="3"/>
      <c r="AJP475" s="3"/>
      <c r="AJQ475" s="3"/>
      <c r="AJR475" s="3"/>
      <c r="AJS475" s="3"/>
      <c r="AJT475" s="3"/>
      <c r="AJU475" s="3"/>
      <c r="AJV475" s="3"/>
      <c r="AJW475" s="3"/>
      <c r="AJX475" s="3"/>
      <c r="AJY475" s="3"/>
      <c r="AJZ475" s="3"/>
      <c r="AKA475" s="3"/>
      <c r="AKB475" s="3"/>
      <c r="AKC475" s="3"/>
      <c r="AKD475" s="3"/>
      <c r="AKE475" s="3"/>
      <c r="AKF475" s="3"/>
      <c r="AKG475" s="3"/>
      <c r="AKH475" s="3"/>
      <c r="AKI475" s="3"/>
      <c r="AKJ475" s="3"/>
      <c r="AKK475" s="3"/>
      <c r="AKL475" s="3"/>
      <c r="AKM475" s="3"/>
      <c r="AKN475" s="3"/>
      <c r="AKO475" s="3"/>
      <c r="AKP475" s="3"/>
      <c r="AKQ475" s="3"/>
      <c r="AKR475" s="3"/>
      <c r="AKS475" s="3"/>
      <c r="AKT475" s="3"/>
      <c r="AKU475" s="3"/>
      <c r="AKV475" s="3"/>
      <c r="AKW475" s="3"/>
      <c r="AKX475" s="3"/>
      <c r="AKY475" s="3"/>
      <c r="AKZ475" s="3"/>
      <c r="ALA475" s="3"/>
      <c r="ALB475" s="3"/>
      <c r="ALC475" s="3"/>
      <c r="ALD475" s="3"/>
      <c r="ALE475" s="3"/>
      <c r="ALF475" s="3"/>
      <c r="ALG475" s="3"/>
      <c r="ALH475" s="3"/>
      <c r="ALI475" s="3"/>
      <c r="ALJ475" s="3"/>
      <c r="ALK475" s="3"/>
      <c r="ALL475" s="3"/>
      <c r="ALM475" s="3"/>
      <c r="ALN475" s="3"/>
      <c r="ALO475" s="3"/>
      <c r="ALP475" s="3"/>
      <c r="ALQ475" s="3"/>
      <c r="ALR475" s="3"/>
      <c r="ALS475" s="3"/>
      <c r="ALT475" s="3"/>
      <c r="ALU475" s="3"/>
      <c r="ALV475" s="3"/>
      <c r="ALW475" s="3"/>
      <c r="ALX475" s="3"/>
      <c r="ALY475" s="3"/>
      <c r="ALZ475" s="3"/>
      <c r="AMA475" s="3"/>
      <c r="AMB475" s="3"/>
      <c r="AMC475" s="3"/>
      <c r="AMD475" s="3"/>
      <c r="AME475" s="3"/>
      <c r="AMF475" s="3"/>
      <c r="AMG475" s="3"/>
      <c r="AMH475" s="3"/>
      <c r="AMI475" s="3"/>
      <c r="AMJ475" s="3"/>
      <c r="AMK475" s="3"/>
      <c r="AML475" s="3"/>
      <c r="AMM475" s="3"/>
      <c r="AMN475" s="3"/>
      <c r="AMO475" s="3"/>
      <c r="AMP475" s="1"/>
    </row>
    <row r="476" spans="1:1030" s="6" customFormat="1" x14ac:dyDescent="0.2">
      <c r="A476" s="3" t="str">
        <f t="shared" si="3995"/>
        <v>smo_human_4QIN</v>
      </c>
      <c r="B476" s="3" t="s">
        <v>33</v>
      </c>
      <c r="C476" s="3" t="s">
        <v>56</v>
      </c>
      <c r="D476" s="3" t="str">
        <f>IFERROR(MID(VLOOKUP($B476,Seqs!$A:$B,2,0),E476,1),"")</f>
        <v>T</v>
      </c>
      <c r="E476" s="105">
        <v>223</v>
      </c>
      <c r="F476" s="3" t="str">
        <f>IFERROR(MID(VLOOKUP($B476,Seqs!$A:$B,2,0),G476,1),"")</f>
        <v>D</v>
      </c>
      <c r="G476" s="3">
        <v>255</v>
      </c>
      <c r="H476" s="3" t="str">
        <f>IFERROR(MID(VLOOKUP($B476,Seqs!$A:$B,2,0),I476,1),"")</f>
        <v>W</v>
      </c>
      <c r="I476" s="23">
        <v>256</v>
      </c>
      <c r="J476" s="3" t="str">
        <f>IFERROR(MID(VLOOKUP($B476,Seqs!$A:$B,2,0),K476,1),"")</f>
        <v>N</v>
      </c>
      <c r="K476" s="23">
        <v>260</v>
      </c>
      <c r="L476" s="3" t="str">
        <f>IFERROR(MID(VLOOKUP($B476,Seqs!$A:$B,2,0),M476,1),"")</f>
        <v>R</v>
      </c>
      <c r="M476" s="3">
        <v>261</v>
      </c>
      <c r="N476" s="3" t="str">
        <f>IFERROR(MID(VLOOKUP($B476,Seqs!$A:$B,2,0),O476,1),"")</f>
        <v>F</v>
      </c>
      <c r="O476" s="3">
        <v>285</v>
      </c>
      <c r="P476" s="3" t="str">
        <f>IFERROR(MID(VLOOKUP($B476,Seqs!$A:$B,2,0),Q476,1),"")</f>
        <v/>
      </c>
      <c r="Q476" s="3" t="s">
        <v>23</v>
      </c>
      <c r="R476" s="3" t="str">
        <f>IFERROR(MID(VLOOKUP($B476,Seqs!$A:$B,2,0),S476,1),"")</f>
        <v/>
      </c>
      <c r="S476" s="3" t="s">
        <v>23</v>
      </c>
      <c r="T476" s="3" t="str">
        <f>IFERROR(MID(VLOOKUP($B476,Seqs!$A:$B,2,0),U476,1),"")</f>
        <v>L</v>
      </c>
      <c r="U476" s="3">
        <v>312</v>
      </c>
      <c r="V476" s="3" t="str">
        <f>IFERROR(MID(VLOOKUP($B476,Seqs!$A:$B,2,0),W476,1),"")</f>
        <v>A</v>
      </c>
      <c r="W476" s="3">
        <v>345</v>
      </c>
      <c r="X476" s="3" t="str">
        <f>IFERROR(MID(VLOOKUP($B476,Seqs!$A:$B,2,0),Y476,1),"")</f>
        <v/>
      </c>
      <c r="Y476" s="3" t="s">
        <v>23</v>
      </c>
      <c r="Z476" s="3" t="str">
        <f>IFERROR(MID(VLOOKUP($B476,Seqs!$A:$B,2,0),AA476,1),"")</f>
        <v/>
      </c>
      <c r="AA476" s="3" t="s">
        <v>23</v>
      </c>
      <c r="AB476" s="3" t="str">
        <f>IFERROR(MID(VLOOKUP($B476,Seqs!$A:$B,2,0),AC476,1),"")</f>
        <v>K</v>
      </c>
      <c r="AC476" s="9">
        <v>356</v>
      </c>
      <c r="AD476" s="3" t="str">
        <f>IFERROR(MID(VLOOKUP($B476,Seqs!$A:$B,2,0),AE476,1),"")</f>
        <v>A</v>
      </c>
      <c r="AE476" s="3">
        <v>379</v>
      </c>
      <c r="AF476" s="3" t="str">
        <f>IFERROR(MID(VLOOKUP($B476,Seqs!$A:$B,2,0),AG476,1),"")</f>
        <v>C</v>
      </c>
      <c r="AG476" s="3">
        <v>390</v>
      </c>
      <c r="AH476" s="3" t="str">
        <f>IFERROR(MID(VLOOKUP($B476,Seqs!$A:$B,2,0),AI476,1),"")</f>
        <v>V</v>
      </c>
      <c r="AI476" s="3">
        <v>392</v>
      </c>
      <c r="AJ476" s="3" t="str">
        <f>IFERROR(MID(VLOOKUP($B476,Seqs!$A:$B,2,0),AK476,1),"")</f>
        <v>N</v>
      </c>
      <c r="AK476" s="105">
        <v>396</v>
      </c>
      <c r="AL476" s="3" t="str">
        <f>IFERROR(MID(VLOOKUP($B476,Seqs!$A:$B,2,0),AM476,1),"")</f>
        <v>H</v>
      </c>
      <c r="AM476" s="3">
        <v>433</v>
      </c>
      <c r="AN476" s="3" t="str">
        <f>IFERROR(MID(VLOOKUP($B476,Seqs!$A:$B,2,0),AO476,1),"")</f>
        <v>E</v>
      </c>
      <c r="AO476" s="3">
        <v>447</v>
      </c>
      <c r="AP476" s="3" t="str">
        <f>IFERROR(MID(VLOOKUP($B476,Seqs!$A:$B,2,0),AQ476,1),"")</f>
        <v>A</v>
      </c>
      <c r="AQ476" s="3">
        <v>492</v>
      </c>
      <c r="AR476" s="3" t="str">
        <f>IFERROR(MID(VLOOKUP($B476,Seqs!$A:$B,2,0),AS476,1),"")</f>
        <v>S</v>
      </c>
      <c r="AS476" s="105">
        <v>514</v>
      </c>
      <c r="AT476" s="3" t="str">
        <f>IFERROR(MID(VLOOKUP($B476,Seqs!$A:$B,2,0),AU476,1),"")</f>
        <v>W</v>
      </c>
      <c r="AU476" s="3">
        <v>537</v>
      </c>
      <c r="AV476" s="3" t="str">
        <f>IFERROR(MID(VLOOKUP($B476,Seqs!$A:$B,2,0),AW476,1),"")</f>
        <v>T</v>
      </c>
      <c r="AW476" s="3">
        <v>538</v>
      </c>
      <c r="AX476" s="3" t="str">
        <f>IFERROR(MID(VLOOKUP($B476,Seqs!$A:$B,2,0),AY476,1),"")</f>
        <v>R</v>
      </c>
      <c r="AY476" s="3">
        <v>551</v>
      </c>
      <c r="AZ476" s="78" t="str">
        <f>VLOOKUP(B476,Classification!A:D,2,0)</f>
        <v>F</v>
      </c>
      <c r="BA476" s="94" t="str">
        <f>VLOOKUP(B476,Classification!A:D,4,0)</f>
        <v>Frizzled</v>
      </c>
      <c r="BB476" s="92" t="b">
        <f t="shared" si="3996"/>
        <v>1</v>
      </c>
      <c r="BC476" s="23">
        <f t="shared" si="3941"/>
        <v>248</v>
      </c>
      <c r="BD476" s="74" t="s">
        <v>23</v>
      </c>
      <c r="BE476" s="3" t="s">
        <v>1370</v>
      </c>
      <c r="BF476" s="118">
        <v>2.6</v>
      </c>
      <c r="BG476" s="49" t="s">
        <v>1373</v>
      </c>
      <c r="BH476" s="49" t="s">
        <v>1373</v>
      </c>
      <c r="BI476" s="3"/>
      <c r="BJ476" s="75" t="s">
        <v>1283</v>
      </c>
      <c r="BK476" s="57" t="s">
        <v>1283</v>
      </c>
      <c r="BL476" s="57" t="s">
        <v>1283</v>
      </c>
      <c r="BM476" s="57" t="s">
        <v>1283</v>
      </c>
      <c r="BN476" s="57" t="s">
        <v>1283</v>
      </c>
      <c r="BO476" s="57" t="s">
        <v>1283</v>
      </c>
      <c r="BP476" s="57" t="s">
        <v>1283</v>
      </c>
      <c r="BQ476" s="57" t="s">
        <v>1283</v>
      </c>
      <c r="BR476" s="57" t="s">
        <v>1283</v>
      </c>
      <c r="BS476" s="57" t="s">
        <v>1283</v>
      </c>
      <c r="BT476" s="57" t="s">
        <v>1283</v>
      </c>
      <c r="BU476" s="57" t="s">
        <v>1283</v>
      </c>
      <c r="BV476" s="75">
        <f t="shared" si="3942"/>
        <v>223</v>
      </c>
      <c r="BW476" s="71">
        <f t="shared" si="3943"/>
        <v>256</v>
      </c>
      <c r="BX476" s="72">
        <f t="shared" si="3944"/>
        <v>261</v>
      </c>
      <c r="BY476" s="71" t="str">
        <f t="shared" si="3945"/>
        <v>-</v>
      </c>
      <c r="BZ476" s="72">
        <f t="shared" si="3946"/>
        <v>312</v>
      </c>
      <c r="CA476" s="71" t="str">
        <f t="shared" si="3947"/>
        <v>-</v>
      </c>
      <c r="CB476" s="72">
        <f t="shared" si="3948"/>
        <v>356</v>
      </c>
      <c r="CC476" s="71">
        <f t="shared" si="3949"/>
        <v>390</v>
      </c>
      <c r="CD476" s="72">
        <f t="shared" si="3950"/>
        <v>396</v>
      </c>
      <c r="CE476" s="71">
        <f t="shared" si="3951"/>
        <v>447</v>
      </c>
      <c r="CF476" s="72">
        <f t="shared" si="3952"/>
        <v>514</v>
      </c>
      <c r="CG476" s="71">
        <f t="shared" si="3953"/>
        <v>538</v>
      </c>
      <c r="CH476" s="75">
        <f t="shared" si="3954"/>
        <v>255</v>
      </c>
      <c r="CI476" s="71">
        <f t="shared" si="3955"/>
        <v>260</v>
      </c>
      <c r="CJ476" s="72">
        <f t="shared" si="3956"/>
        <v>285</v>
      </c>
      <c r="CK476" s="72" t="str">
        <f t="shared" si="3957"/>
        <v>-</v>
      </c>
      <c r="CL476" s="72">
        <f t="shared" si="3958"/>
        <v>345</v>
      </c>
      <c r="CM476" s="72" t="str">
        <f t="shared" si="3959"/>
        <v>-</v>
      </c>
      <c r="CN476" s="72">
        <f t="shared" si="3960"/>
        <v>379</v>
      </c>
      <c r="CO476" s="72">
        <f t="shared" si="3961"/>
        <v>392</v>
      </c>
      <c r="CP476" s="72">
        <f t="shared" si="3962"/>
        <v>433</v>
      </c>
      <c r="CQ476" s="72">
        <f t="shared" si="3963"/>
        <v>492</v>
      </c>
      <c r="CR476" s="72">
        <f t="shared" si="3964"/>
        <v>537</v>
      </c>
      <c r="CS476" s="72">
        <f t="shared" si="3965"/>
        <v>551</v>
      </c>
      <c r="CT476" s="23">
        <f t="shared" si="3966"/>
        <v>1</v>
      </c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  <c r="QB476" s="3"/>
      <c r="QC476" s="3"/>
      <c r="QD476" s="3"/>
      <c r="QE476" s="3"/>
      <c r="QF476" s="3"/>
      <c r="QG476" s="3"/>
      <c r="QH476" s="3"/>
      <c r="QI476" s="3"/>
      <c r="QJ476" s="3"/>
      <c r="QK476" s="3"/>
      <c r="QL476" s="3"/>
      <c r="QM476" s="3"/>
      <c r="QN476" s="3"/>
      <c r="QO476" s="3"/>
      <c r="QP476" s="3"/>
      <c r="QQ476" s="3"/>
      <c r="QR476" s="3"/>
      <c r="QS476" s="3"/>
      <c r="QT476" s="3"/>
      <c r="QU476" s="3"/>
      <c r="QV476" s="3"/>
      <c r="QW476" s="3"/>
      <c r="QX476" s="3"/>
      <c r="QY476" s="3"/>
      <c r="QZ476" s="3"/>
      <c r="RA476" s="3"/>
      <c r="RB476" s="3"/>
      <c r="RC476" s="3"/>
      <c r="RD476" s="3"/>
      <c r="RE476" s="3"/>
      <c r="RF476" s="3"/>
      <c r="RG476" s="3"/>
      <c r="RH476" s="3"/>
      <c r="RI476" s="3"/>
      <c r="RJ476" s="3"/>
      <c r="RK476" s="3"/>
      <c r="RL476" s="3"/>
      <c r="RM476" s="3"/>
      <c r="RN476" s="3"/>
      <c r="RO476" s="3"/>
      <c r="RP476" s="3"/>
      <c r="RQ476" s="3"/>
      <c r="RR476" s="3"/>
      <c r="RS476" s="3"/>
      <c r="RT476" s="3"/>
      <c r="RU476" s="3"/>
      <c r="RV476" s="3"/>
      <c r="RW476" s="3"/>
      <c r="RX476" s="3"/>
      <c r="RY476" s="3"/>
      <c r="RZ476" s="3"/>
      <c r="SA476" s="3"/>
      <c r="SB476" s="3"/>
      <c r="SC476" s="3"/>
      <c r="SD476" s="3"/>
      <c r="SE476" s="3"/>
      <c r="SF476" s="3"/>
      <c r="SG476" s="3"/>
      <c r="SH476" s="3"/>
      <c r="SI476" s="3"/>
      <c r="SJ476" s="3"/>
      <c r="SK476" s="3"/>
      <c r="SL476" s="3"/>
      <c r="SM476" s="3"/>
      <c r="SN476" s="3"/>
      <c r="SO476" s="3"/>
      <c r="SP476" s="3"/>
      <c r="SQ476" s="3"/>
      <c r="SR476" s="3"/>
      <c r="SS476" s="3"/>
      <c r="ST476" s="3"/>
      <c r="SU476" s="3"/>
      <c r="SV476" s="3"/>
      <c r="SW476" s="3"/>
      <c r="SX476" s="3"/>
      <c r="SY476" s="3"/>
      <c r="SZ476" s="3"/>
      <c r="TA476" s="3"/>
      <c r="TB476" s="3"/>
      <c r="TC476" s="3"/>
      <c r="TD476" s="3"/>
      <c r="TE476" s="3"/>
      <c r="TF476" s="3"/>
      <c r="TG476" s="3"/>
      <c r="TH476" s="3"/>
      <c r="TI476" s="3"/>
      <c r="TJ476" s="3"/>
      <c r="TK476" s="3"/>
      <c r="TL476" s="3"/>
      <c r="TM476" s="3"/>
      <c r="TN476" s="3"/>
      <c r="TO476" s="3"/>
      <c r="TP476" s="3"/>
      <c r="TQ476" s="3"/>
      <c r="TR476" s="3"/>
      <c r="TS476" s="3"/>
      <c r="TT476" s="3"/>
      <c r="TU476" s="3"/>
      <c r="TV476" s="3"/>
      <c r="TW476" s="3"/>
      <c r="TX476" s="3"/>
      <c r="TY476" s="3"/>
      <c r="TZ476" s="3"/>
      <c r="UA476" s="3"/>
      <c r="UB476" s="3"/>
      <c r="UC476" s="3"/>
      <c r="UD476" s="3"/>
      <c r="UE476" s="3"/>
      <c r="UF476" s="3"/>
      <c r="UG476" s="3"/>
      <c r="UH476" s="3"/>
      <c r="UI476" s="3"/>
      <c r="UJ476" s="3"/>
      <c r="UK476" s="3"/>
      <c r="UL476" s="3"/>
      <c r="UM476" s="3"/>
      <c r="UN476" s="3"/>
      <c r="UO476" s="3"/>
      <c r="UP476" s="3"/>
      <c r="UQ476" s="3"/>
      <c r="UR476" s="3"/>
      <c r="US476" s="3"/>
      <c r="UT476" s="3"/>
      <c r="UU476" s="3"/>
      <c r="UV476" s="3"/>
      <c r="UW476" s="3"/>
      <c r="UX476" s="3"/>
      <c r="UY476" s="3"/>
      <c r="UZ476" s="3"/>
      <c r="VA476" s="3"/>
      <c r="VB476" s="3"/>
      <c r="VC476" s="3"/>
      <c r="VD476" s="3"/>
      <c r="VE476" s="3"/>
      <c r="VF476" s="3"/>
      <c r="VG476" s="3"/>
      <c r="VH476" s="3"/>
      <c r="VI476" s="3"/>
      <c r="VJ476" s="3"/>
      <c r="VK476" s="3"/>
      <c r="VL476" s="3"/>
      <c r="VM476" s="3"/>
      <c r="VN476" s="3"/>
      <c r="VO476" s="3"/>
      <c r="VP476" s="3"/>
      <c r="VQ476" s="3"/>
      <c r="VR476" s="3"/>
      <c r="VS476" s="3"/>
      <c r="VT476" s="3"/>
      <c r="VU476" s="3"/>
      <c r="VV476" s="3"/>
      <c r="VW476" s="3"/>
      <c r="VX476" s="3"/>
      <c r="VY476" s="3"/>
      <c r="VZ476" s="3"/>
      <c r="WA476" s="3"/>
      <c r="WB476" s="3"/>
      <c r="WC476" s="3"/>
      <c r="WD476" s="3"/>
      <c r="WE476" s="3"/>
      <c r="WF476" s="3"/>
      <c r="WG476" s="3"/>
      <c r="WH476" s="3"/>
      <c r="WI476" s="3"/>
      <c r="WJ476" s="3"/>
      <c r="WK476" s="3"/>
      <c r="WL476" s="3"/>
      <c r="WM476" s="3"/>
      <c r="WN476" s="3"/>
      <c r="WO476" s="3"/>
      <c r="WP476" s="3"/>
      <c r="WQ476" s="3"/>
      <c r="WR476" s="3"/>
      <c r="WS476" s="3"/>
      <c r="WT476" s="3"/>
      <c r="WU476" s="3"/>
      <c r="WV476" s="3"/>
      <c r="WW476" s="3"/>
      <c r="WX476" s="3"/>
      <c r="WY476" s="3"/>
      <c r="WZ476" s="3"/>
      <c r="XA476" s="3"/>
      <c r="XB476" s="3"/>
      <c r="XC476" s="3"/>
      <c r="XD476" s="3"/>
      <c r="XE476" s="3"/>
      <c r="XF476" s="3"/>
      <c r="XG476" s="3"/>
      <c r="XH476" s="3"/>
      <c r="XI476" s="3"/>
      <c r="XJ476" s="3"/>
      <c r="XK476" s="3"/>
      <c r="XL476" s="3"/>
      <c r="XM476" s="3"/>
      <c r="XN476" s="3"/>
      <c r="XO476" s="3"/>
      <c r="XP476" s="3"/>
      <c r="XQ476" s="3"/>
      <c r="XR476" s="3"/>
      <c r="XS476" s="3"/>
      <c r="XT476" s="3"/>
      <c r="XU476" s="3"/>
      <c r="XV476" s="3"/>
      <c r="XW476" s="3"/>
      <c r="XX476" s="3"/>
      <c r="XY476" s="3"/>
      <c r="XZ476" s="3"/>
      <c r="YA476" s="3"/>
      <c r="YB476" s="3"/>
      <c r="YC476" s="3"/>
      <c r="YD476" s="3"/>
      <c r="YE476" s="3"/>
      <c r="YF476" s="3"/>
      <c r="YG476" s="3"/>
      <c r="YH476" s="3"/>
      <c r="YI476" s="3"/>
      <c r="YJ476" s="3"/>
      <c r="YK476" s="3"/>
      <c r="YL476" s="3"/>
      <c r="YM476" s="3"/>
      <c r="YN476" s="3"/>
      <c r="YO476" s="3"/>
      <c r="YP476" s="3"/>
      <c r="YQ476" s="3"/>
      <c r="YR476" s="3"/>
      <c r="YS476" s="3"/>
      <c r="YT476" s="3"/>
      <c r="YU476" s="3"/>
      <c r="YV476" s="3"/>
      <c r="YW476" s="3"/>
      <c r="YX476" s="3"/>
      <c r="YY476" s="3"/>
      <c r="YZ476" s="3"/>
      <c r="ZA476" s="3"/>
      <c r="ZB476" s="3"/>
      <c r="ZC476" s="3"/>
      <c r="ZD476" s="3"/>
      <c r="ZE476" s="3"/>
      <c r="ZF476" s="3"/>
      <c r="ZG476" s="3"/>
      <c r="ZH476" s="3"/>
      <c r="ZI476" s="3"/>
      <c r="ZJ476" s="3"/>
      <c r="ZK476" s="3"/>
      <c r="ZL476" s="3"/>
      <c r="ZM476" s="3"/>
      <c r="ZN476" s="3"/>
      <c r="ZO476" s="3"/>
      <c r="ZP476" s="3"/>
      <c r="ZQ476" s="3"/>
      <c r="ZR476" s="3"/>
      <c r="ZS476" s="3"/>
      <c r="ZT476" s="3"/>
      <c r="ZU476" s="3"/>
      <c r="ZV476" s="3"/>
      <c r="ZW476" s="3"/>
      <c r="ZX476" s="3"/>
      <c r="ZY476" s="3"/>
      <c r="ZZ476" s="3"/>
      <c r="AAA476" s="3"/>
      <c r="AAB476" s="3"/>
      <c r="AAC476" s="3"/>
      <c r="AAD476" s="3"/>
      <c r="AAE476" s="3"/>
      <c r="AAF476" s="3"/>
      <c r="AAG476" s="3"/>
      <c r="AAH476" s="3"/>
      <c r="AAI476" s="3"/>
      <c r="AAJ476" s="3"/>
      <c r="AAK476" s="3"/>
      <c r="AAL476" s="3"/>
      <c r="AAM476" s="3"/>
      <c r="AAN476" s="3"/>
      <c r="AAO476" s="3"/>
      <c r="AAP476" s="3"/>
      <c r="AAQ476" s="3"/>
      <c r="AAR476" s="3"/>
      <c r="AAS476" s="3"/>
      <c r="AAT476" s="3"/>
      <c r="AAU476" s="3"/>
      <c r="AAV476" s="3"/>
      <c r="AAW476" s="3"/>
      <c r="AAX476" s="3"/>
      <c r="AAY476" s="3"/>
      <c r="AAZ476" s="3"/>
      <c r="ABA476" s="3"/>
      <c r="ABB476" s="3"/>
      <c r="ABC476" s="3"/>
      <c r="ABD476" s="3"/>
      <c r="ABE476" s="3"/>
      <c r="ABF476" s="3"/>
      <c r="ABG476" s="3"/>
      <c r="ABH476" s="3"/>
      <c r="ABI476" s="3"/>
      <c r="ABJ476" s="3"/>
      <c r="ABK476" s="3"/>
      <c r="ABL476" s="3"/>
      <c r="ABM476" s="3"/>
      <c r="ABN476" s="3"/>
      <c r="ABO476" s="3"/>
      <c r="ABP476" s="3"/>
      <c r="ABQ476" s="3"/>
      <c r="ABR476" s="3"/>
      <c r="ABS476" s="3"/>
      <c r="ABT476" s="3"/>
      <c r="ABU476" s="3"/>
      <c r="ABV476" s="3"/>
      <c r="ABW476" s="3"/>
      <c r="ABX476" s="3"/>
      <c r="ABY476" s="3"/>
      <c r="ABZ476" s="3"/>
      <c r="ACA476" s="3"/>
      <c r="ACB476" s="3"/>
      <c r="ACC476" s="3"/>
      <c r="ACD476" s="3"/>
      <c r="ACE476" s="3"/>
      <c r="ACF476" s="3"/>
      <c r="ACG476" s="3"/>
      <c r="ACH476" s="3"/>
      <c r="ACI476" s="3"/>
      <c r="ACJ476" s="3"/>
      <c r="ACK476" s="3"/>
      <c r="ACL476" s="3"/>
      <c r="ACM476" s="3"/>
      <c r="ACN476" s="3"/>
      <c r="ACO476" s="3"/>
      <c r="ACP476" s="3"/>
      <c r="ACQ476" s="3"/>
      <c r="ACR476" s="3"/>
      <c r="ACS476" s="3"/>
      <c r="ACT476" s="3"/>
      <c r="ACU476" s="3"/>
      <c r="ACV476" s="3"/>
      <c r="ACW476" s="3"/>
      <c r="ACX476" s="3"/>
      <c r="ACY476" s="3"/>
      <c r="ACZ476" s="3"/>
      <c r="ADA476" s="3"/>
      <c r="ADB476" s="3"/>
      <c r="ADC476" s="3"/>
      <c r="ADD476" s="3"/>
      <c r="ADE476" s="3"/>
      <c r="ADF476" s="3"/>
      <c r="ADG476" s="3"/>
      <c r="ADH476" s="3"/>
      <c r="ADI476" s="3"/>
      <c r="ADJ476" s="3"/>
      <c r="ADK476" s="3"/>
      <c r="ADL476" s="3"/>
      <c r="ADM476" s="3"/>
      <c r="ADN476" s="3"/>
      <c r="ADO476" s="3"/>
      <c r="ADP476" s="3"/>
      <c r="ADQ476" s="3"/>
      <c r="ADR476" s="3"/>
      <c r="ADS476" s="3"/>
      <c r="ADT476" s="3"/>
      <c r="ADU476" s="3"/>
      <c r="ADV476" s="3"/>
      <c r="ADW476" s="3"/>
      <c r="ADX476" s="3"/>
      <c r="ADY476" s="3"/>
      <c r="ADZ476" s="3"/>
      <c r="AEA476" s="3"/>
      <c r="AEB476" s="3"/>
      <c r="AEC476" s="3"/>
      <c r="AED476" s="3"/>
      <c r="AEE476" s="3"/>
      <c r="AEF476" s="3"/>
      <c r="AEG476" s="3"/>
      <c r="AEH476" s="3"/>
      <c r="AEI476" s="3"/>
      <c r="AEJ476" s="3"/>
      <c r="AEK476" s="3"/>
      <c r="AEL476" s="3"/>
      <c r="AEM476" s="3"/>
      <c r="AEN476" s="3"/>
      <c r="AEO476" s="3"/>
      <c r="AEP476" s="3"/>
      <c r="AEQ476" s="3"/>
      <c r="AER476" s="3"/>
      <c r="AES476" s="3"/>
      <c r="AET476" s="3"/>
      <c r="AEU476" s="3"/>
      <c r="AEV476" s="3"/>
      <c r="AEW476" s="3"/>
      <c r="AEX476" s="3"/>
      <c r="AEY476" s="3"/>
      <c r="AEZ476" s="3"/>
      <c r="AFA476" s="3"/>
      <c r="AFB476" s="3"/>
      <c r="AFC476" s="3"/>
      <c r="AFD476" s="3"/>
      <c r="AFE476" s="3"/>
      <c r="AFF476" s="3"/>
      <c r="AFG476" s="3"/>
      <c r="AFH476" s="3"/>
      <c r="AFI476" s="3"/>
      <c r="AFJ476" s="3"/>
      <c r="AFK476" s="3"/>
      <c r="AFL476" s="3"/>
      <c r="AFM476" s="3"/>
      <c r="AFN476" s="3"/>
      <c r="AFO476" s="3"/>
      <c r="AFP476" s="3"/>
      <c r="AFQ476" s="3"/>
      <c r="AFR476" s="3"/>
      <c r="AFS476" s="3"/>
      <c r="AFT476" s="3"/>
      <c r="AFU476" s="3"/>
      <c r="AFV476" s="3"/>
      <c r="AFW476" s="3"/>
      <c r="AFX476" s="3"/>
      <c r="AFY476" s="3"/>
      <c r="AFZ476" s="3"/>
      <c r="AGA476" s="3"/>
      <c r="AGB476" s="3"/>
      <c r="AGC476" s="3"/>
      <c r="AGD476" s="3"/>
      <c r="AGE476" s="3"/>
      <c r="AGF476" s="3"/>
      <c r="AGG476" s="3"/>
      <c r="AGH476" s="3"/>
      <c r="AGI476" s="3"/>
      <c r="AGJ476" s="3"/>
      <c r="AGK476" s="3"/>
      <c r="AGL476" s="3"/>
      <c r="AGM476" s="3"/>
      <c r="AGN476" s="3"/>
      <c r="AGO476" s="3"/>
      <c r="AGP476" s="3"/>
      <c r="AGQ476" s="3"/>
      <c r="AGR476" s="3"/>
      <c r="AGS476" s="3"/>
      <c r="AGT476" s="3"/>
      <c r="AGU476" s="3"/>
      <c r="AGV476" s="3"/>
      <c r="AGW476" s="3"/>
      <c r="AGX476" s="3"/>
      <c r="AGY476" s="3"/>
      <c r="AGZ476" s="3"/>
      <c r="AHA476" s="3"/>
      <c r="AHB476" s="3"/>
      <c r="AHC476" s="3"/>
      <c r="AHD476" s="3"/>
      <c r="AHE476" s="3"/>
      <c r="AHF476" s="3"/>
      <c r="AHG476" s="3"/>
      <c r="AHH476" s="3"/>
      <c r="AHI476" s="3"/>
      <c r="AHJ476" s="3"/>
      <c r="AHK476" s="3"/>
      <c r="AHL476" s="3"/>
      <c r="AHM476" s="3"/>
      <c r="AHN476" s="3"/>
      <c r="AHO476" s="3"/>
      <c r="AHP476" s="3"/>
      <c r="AHQ476" s="3"/>
      <c r="AHR476" s="3"/>
      <c r="AHS476" s="3"/>
      <c r="AHT476" s="3"/>
      <c r="AHU476" s="3"/>
      <c r="AHV476" s="3"/>
      <c r="AHW476" s="3"/>
      <c r="AHX476" s="3"/>
      <c r="AHY476" s="3"/>
      <c r="AHZ476" s="3"/>
      <c r="AIA476" s="3"/>
      <c r="AIB476" s="3"/>
      <c r="AIC476" s="3"/>
      <c r="AID476" s="3"/>
      <c r="AIE476" s="3"/>
      <c r="AIF476" s="3"/>
      <c r="AIG476" s="3"/>
      <c r="AIH476" s="3"/>
      <c r="AII476" s="3"/>
      <c r="AIJ476" s="3"/>
      <c r="AIK476" s="3"/>
      <c r="AIL476" s="3"/>
      <c r="AIM476" s="3"/>
      <c r="AIN476" s="3"/>
      <c r="AIO476" s="3"/>
      <c r="AIP476" s="3"/>
      <c r="AIQ476" s="3"/>
      <c r="AIR476" s="3"/>
      <c r="AIS476" s="3"/>
      <c r="AIT476" s="3"/>
      <c r="AIU476" s="3"/>
      <c r="AIV476" s="3"/>
      <c r="AIW476" s="3"/>
      <c r="AIX476" s="3"/>
      <c r="AIY476" s="3"/>
      <c r="AIZ476" s="3"/>
      <c r="AJA476" s="3"/>
      <c r="AJB476" s="3"/>
      <c r="AJC476" s="3"/>
      <c r="AJD476" s="3"/>
      <c r="AJE476" s="3"/>
      <c r="AJF476" s="3"/>
      <c r="AJG476" s="3"/>
      <c r="AJH476" s="3"/>
      <c r="AJI476" s="3"/>
      <c r="AJJ476" s="3"/>
      <c r="AJK476" s="3"/>
      <c r="AJL476" s="3"/>
      <c r="AJM476" s="3"/>
      <c r="AJN476" s="3"/>
      <c r="AJO476" s="3"/>
      <c r="AJP476" s="3"/>
      <c r="AJQ476" s="3"/>
      <c r="AJR476" s="3"/>
      <c r="AJS476" s="3"/>
      <c r="AJT476" s="3"/>
      <c r="AJU476" s="3"/>
      <c r="AJV476" s="3"/>
      <c r="AJW476" s="3"/>
      <c r="AJX476" s="3"/>
      <c r="AJY476" s="3"/>
      <c r="AJZ476" s="3"/>
      <c r="AKA476" s="3"/>
      <c r="AKB476" s="3"/>
      <c r="AKC476" s="3"/>
      <c r="AKD476" s="3"/>
      <c r="AKE476" s="3"/>
      <c r="AKF476" s="3"/>
      <c r="AKG476" s="3"/>
      <c r="AKH476" s="3"/>
      <c r="AKI476" s="3"/>
      <c r="AKJ476" s="3"/>
      <c r="AKK476" s="3"/>
      <c r="AKL476" s="3"/>
      <c r="AKM476" s="3"/>
      <c r="AKN476" s="3"/>
      <c r="AKO476" s="3"/>
      <c r="AKP476" s="3"/>
      <c r="AKQ476" s="3"/>
      <c r="AKR476" s="3"/>
      <c r="AKS476" s="3"/>
      <c r="AKT476" s="3"/>
      <c r="AKU476" s="3"/>
      <c r="AKV476" s="3"/>
      <c r="AKW476" s="3"/>
      <c r="AKX476" s="3"/>
      <c r="AKY476" s="3"/>
      <c r="AKZ476" s="3"/>
      <c r="ALA476" s="3"/>
      <c r="ALB476" s="3"/>
      <c r="ALC476" s="3"/>
      <c r="ALD476" s="3"/>
      <c r="ALE476" s="3"/>
      <c r="ALF476" s="3"/>
      <c r="ALG476" s="3"/>
      <c r="ALH476" s="3"/>
      <c r="ALI476" s="3"/>
      <c r="ALJ476" s="3"/>
      <c r="ALK476" s="3"/>
      <c r="ALL476" s="3"/>
      <c r="ALM476" s="3"/>
      <c r="ALN476" s="3"/>
      <c r="ALO476" s="3"/>
      <c r="ALP476" s="3"/>
      <c r="ALQ476" s="3"/>
      <c r="ALR476" s="3"/>
      <c r="ALS476" s="3"/>
      <c r="ALT476" s="3"/>
      <c r="ALU476" s="3"/>
      <c r="ALV476" s="3"/>
      <c r="ALW476" s="3"/>
      <c r="ALX476" s="3"/>
      <c r="ALY476" s="3"/>
      <c r="ALZ476" s="3"/>
      <c r="AMA476" s="3"/>
      <c r="AMB476" s="3"/>
      <c r="AMC476" s="3"/>
      <c r="AMD476" s="3"/>
      <c r="AME476" s="3"/>
      <c r="AMF476" s="3"/>
      <c r="AMG476" s="3"/>
      <c r="AMH476" s="3"/>
      <c r="AMI476" s="3"/>
      <c r="AMJ476" s="3"/>
      <c r="AMK476" s="3"/>
      <c r="AML476" s="3"/>
      <c r="AMM476" s="3"/>
      <c r="AMN476" s="3"/>
      <c r="AMO476" s="3"/>
      <c r="AMP476" s="1"/>
    </row>
    <row r="477" spans="1:1030" s="6" customFormat="1" x14ac:dyDescent="0.2">
      <c r="A477" s="3" t="str">
        <f t="shared" si="3995"/>
        <v>smo_human_5L7D</v>
      </c>
      <c r="B477" s="3" t="s">
        <v>33</v>
      </c>
      <c r="C477" s="3" t="s">
        <v>1348</v>
      </c>
      <c r="D477" s="3" t="str">
        <f>IFERROR(MID(VLOOKUP($B477,Seqs!$A:$B,2,0),E477,1),"")</f>
        <v>T</v>
      </c>
      <c r="E477" s="105">
        <v>223</v>
      </c>
      <c r="F477" s="3" t="str">
        <f>IFERROR(MID(VLOOKUP($B477,Seqs!$A:$B,2,0),G477,1),"")</f>
        <v>D</v>
      </c>
      <c r="G477" s="3">
        <v>255</v>
      </c>
      <c r="H477" s="3" t="str">
        <f>IFERROR(MID(VLOOKUP($B477,Seqs!$A:$B,2,0),I477,1),"")</f>
        <v>W</v>
      </c>
      <c r="I477" s="23">
        <v>256</v>
      </c>
      <c r="J477" s="3" t="str">
        <f>IFERROR(MID(VLOOKUP($B477,Seqs!$A:$B,2,0),K477,1),"")</f>
        <v>N</v>
      </c>
      <c r="K477" s="23">
        <v>260</v>
      </c>
      <c r="L477" s="3" t="str">
        <f>IFERROR(MID(VLOOKUP($B477,Seqs!$A:$B,2,0),M477,1),"")</f>
        <v>R</v>
      </c>
      <c r="M477" s="3">
        <v>261</v>
      </c>
      <c r="N477" s="3" t="str">
        <f>IFERROR(MID(VLOOKUP($B477,Seqs!$A:$B,2,0),O477,1),"")</f>
        <v>F</v>
      </c>
      <c r="O477" s="3">
        <v>285</v>
      </c>
      <c r="P477" s="3" t="str">
        <f>IFERROR(MID(VLOOKUP($B477,Seqs!$A:$B,2,0),Q477,1),"")</f>
        <v/>
      </c>
      <c r="Q477" s="3" t="s">
        <v>23</v>
      </c>
      <c r="R477" s="3" t="str">
        <f>IFERROR(MID(VLOOKUP($B477,Seqs!$A:$B,2,0),S477,1),"")</f>
        <v/>
      </c>
      <c r="S477" s="3" t="s">
        <v>23</v>
      </c>
      <c r="T477" s="3" t="str">
        <f>IFERROR(MID(VLOOKUP($B477,Seqs!$A:$B,2,0),U477,1),"")</f>
        <v>L</v>
      </c>
      <c r="U477" s="3">
        <v>312</v>
      </c>
      <c r="V477" s="3" t="str">
        <f>IFERROR(MID(VLOOKUP($B477,Seqs!$A:$B,2,0),W477,1),"")</f>
        <v>L</v>
      </c>
      <c r="W477" s="3">
        <v>346</v>
      </c>
      <c r="X477" s="3" t="str">
        <f>IFERROR(MID(VLOOKUP($B477,Seqs!$A:$B,2,0),Y477,1),"")</f>
        <v/>
      </c>
      <c r="Y477" s="3" t="s">
        <v>23</v>
      </c>
      <c r="Z477" s="3" t="str">
        <f>IFERROR(MID(VLOOKUP($B477,Seqs!$A:$B,2,0),AA477,1),"")</f>
        <v/>
      </c>
      <c r="AA477" s="3" t="s">
        <v>23</v>
      </c>
      <c r="AB477" s="3" t="str">
        <f>IFERROR(MID(VLOOKUP($B477,Seqs!$A:$B,2,0),AC477,1),"")</f>
        <v>K</v>
      </c>
      <c r="AC477" s="9">
        <v>356</v>
      </c>
      <c r="AD477" s="3" t="str">
        <f>IFERROR(MID(VLOOKUP($B477,Seqs!$A:$B,2,0),AE477,1),"")</f>
        <v>V</v>
      </c>
      <c r="AE477" s="3">
        <v>378</v>
      </c>
      <c r="AF477" s="3" t="str">
        <f>IFERROR(MID(VLOOKUP($B477,Seqs!$A:$B,2,0),AG477,1),"")</f>
        <v>C</v>
      </c>
      <c r="AG477" s="3">
        <v>390</v>
      </c>
      <c r="AH477" s="3" t="str">
        <f>IFERROR(MID(VLOOKUP($B477,Seqs!$A:$B,2,0),AI477,1),"")</f>
        <v>V</v>
      </c>
      <c r="AI477" s="3">
        <v>392</v>
      </c>
      <c r="AJ477" s="3" t="str">
        <f>IFERROR(MID(VLOOKUP($B477,Seqs!$A:$B,2,0),AK477,1),"")</f>
        <v>N</v>
      </c>
      <c r="AK477" s="105">
        <v>396</v>
      </c>
      <c r="AL477" s="3" t="str">
        <f>IFERROR(MID(VLOOKUP($B477,Seqs!$A:$B,2,0),AM477,1),"")</f>
        <v>S</v>
      </c>
      <c r="AM477" s="3">
        <v>428</v>
      </c>
      <c r="AN477" s="3" t="str">
        <f>IFERROR(MID(VLOOKUP($B477,Seqs!$A:$B,2,0),AO477,1),"")</f>
        <v>E</v>
      </c>
      <c r="AO477" s="3">
        <v>447</v>
      </c>
      <c r="AP477" s="3" t="str">
        <f>IFERROR(MID(VLOOKUP($B477,Seqs!$A:$B,2,0),AQ477,1),"")</f>
        <v>I</v>
      </c>
      <c r="AQ477" s="3">
        <v>496</v>
      </c>
      <c r="AR477" s="3" t="str">
        <f>IFERROR(MID(VLOOKUP($B477,Seqs!$A:$B,2,0),AS477,1),"")</f>
        <v>S</v>
      </c>
      <c r="AS477" s="105">
        <v>514</v>
      </c>
      <c r="AT477" s="3" t="str">
        <f>IFERROR(MID(VLOOKUP($B477,Seqs!$A:$B,2,0),AU477,1),"")</f>
        <v>W</v>
      </c>
      <c r="AU477" s="3">
        <v>537</v>
      </c>
      <c r="AV477" s="3" t="str">
        <f>IFERROR(MID(VLOOKUP($B477,Seqs!$A:$B,2,0),AW477,1),"")</f>
        <v>T</v>
      </c>
      <c r="AW477" s="3">
        <v>538</v>
      </c>
      <c r="AX477" s="3" t="str">
        <f>IFERROR(MID(VLOOKUP($B477,Seqs!$A:$B,2,0),AY477,1),"")</f>
        <v>T</v>
      </c>
      <c r="AY477" s="3">
        <v>553</v>
      </c>
      <c r="AZ477" s="78" t="str">
        <f>VLOOKUP(B477,Classification!A:D,2,0)</f>
        <v>F</v>
      </c>
      <c r="BA477" s="94" t="str">
        <f>VLOOKUP(B477,Classification!A:D,4,0)</f>
        <v>Frizzled</v>
      </c>
      <c r="BB477" s="92" t="b">
        <f t="shared" si="3996"/>
        <v>1</v>
      </c>
      <c r="BC477" s="23">
        <f t="shared" si="3941"/>
        <v>249</v>
      </c>
      <c r="BD477" s="74" t="s">
        <v>1372</v>
      </c>
      <c r="BE477" s="3" t="s">
        <v>1370</v>
      </c>
      <c r="BF477" s="118">
        <v>3.2</v>
      </c>
      <c r="BG477" s="49" t="s">
        <v>1277</v>
      </c>
      <c r="BH477" s="49" t="s">
        <v>1373</v>
      </c>
      <c r="BI477" s="3"/>
      <c r="BJ477" s="75" t="s">
        <v>1283</v>
      </c>
      <c r="BK477" s="57" t="s">
        <v>1283</v>
      </c>
      <c r="BL477" s="57" t="s">
        <v>1283</v>
      </c>
      <c r="BM477" s="57" t="s">
        <v>1283</v>
      </c>
      <c r="BN477" s="57" t="s">
        <v>1283</v>
      </c>
      <c r="BO477" s="57" t="s">
        <v>1283</v>
      </c>
      <c r="BP477" s="57" t="s">
        <v>1283</v>
      </c>
      <c r="BQ477" s="57" t="s">
        <v>1283</v>
      </c>
      <c r="BR477" s="57" t="s">
        <v>1283</v>
      </c>
      <c r="BS477" s="57" t="s">
        <v>1283</v>
      </c>
      <c r="BT477" s="57" t="s">
        <v>1283</v>
      </c>
      <c r="BU477" s="57" t="s">
        <v>1283</v>
      </c>
      <c r="BV477" s="75">
        <f t="shared" si="3942"/>
        <v>223</v>
      </c>
      <c r="BW477" s="71">
        <f t="shared" si="3943"/>
        <v>256</v>
      </c>
      <c r="BX477" s="72">
        <f t="shared" si="3944"/>
        <v>261</v>
      </c>
      <c r="BY477" s="71" t="str">
        <f t="shared" si="3945"/>
        <v>-</v>
      </c>
      <c r="BZ477" s="72">
        <f t="shared" si="3946"/>
        <v>312</v>
      </c>
      <c r="CA477" s="71" t="str">
        <f t="shared" si="3947"/>
        <v>-</v>
      </c>
      <c r="CB477" s="72">
        <f t="shared" si="3948"/>
        <v>356</v>
      </c>
      <c r="CC477" s="71">
        <f t="shared" si="3949"/>
        <v>390</v>
      </c>
      <c r="CD477" s="72">
        <f t="shared" si="3950"/>
        <v>396</v>
      </c>
      <c r="CE477" s="71">
        <f t="shared" si="3951"/>
        <v>447</v>
      </c>
      <c r="CF477" s="72">
        <f t="shared" si="3952"/>
        <v>514</v>
      </c>
      <c r="CG477" s="71">
        <f t="shared" si="3953"/>
        <v>538</v>
      </c>
      <c r="CH477" s="75">
        <f t="shared" si="3954"/>
        <v>255</v>
      </c>
      <c r="CI477" s="71">
        <f t="shared" si="3955"/>
        <v>260</v>
      </c>
      <c r="CJ477" s="72">
        <f t="shared" si="3956"/>
        <v>285</v>
      </c>
      <c r="CK477" s="72" t="str">
        <f t="shared" si="3957"/>
        <v>-</v>
      </c>
      <c r="CL477" s="72">
        <f t="shared" si="3958"/>
        <v>346</v>
      </c>
      <c r="CM477" s="72" t="str">
        <f t="shared" si="3959"/>
        <v>-</v>
      </c>
      <c r="CN477" s="72">
        <f t="shared" si="3960"/>
        <v>378</v>
      </c>
      <c r="CO477" s="72">
        <f t="shared" si="3961"/>
        <v>392</v>
      </c>
      <c r="CP477" s="72">
        <f t="shared" si="3962"/>
        <v>428</v>
      </c>
      <c r="CQ477" s="72">
        <f t="shared" si="3963"/>
        <v>496</v>
      </c>
      <c r="CR477" s="72">
        <f t="shared" si="3964"/>
        <v>537</v>
      </c>
      <c r="CS477" s="72">
        <f t="shared" si="3965"/>
        <v>553</v>
      </c>
      <c r="CT477" s="23">
        <f t="shared" si="3966"/>
        <v>1</v>
      </c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  <c r="QB477" s="3"/>
      <c r="QC477" s="3"/>
      <c r="QD477" s="3"/>
      <c r="QE477" s="3"/>
      <c r="QF477" s="3"/>
      <c r="QG477" s="3"/>
      <c r="QH477" s="3"/>
      <c r="QI477" s="3"/>
      <c r="QJ477" s="3"/>
      <c r="QK477" s="3"/>
      <c r="QL477" s="3"/>
      <c r="QM477" s="3"/>
      <c r="QN477" s="3"/>
      <c r="QO477" s="3"/>
      <c r="QP477" s="3"/>
      <c r="QQ477" s="3"/>
      <c r="QR477" s="3"/>
      <c r="QS477" s="3"/>
      <c r="QT477" s="3"/>
      <c r="QU477" s="3"/>
      <c r="QV477" s="3"/>
      <c r="QW477" s="3"/>
      <c r="QX477" s="3"/>
      <c r="QY477" s="3"/>
      <c r="QZ477" s="3"/>
      <c r="RA477" s="3"/>
      <c r="RB477" s="3"/>
      <c r="RC477" s="3"/>
      <c r="RD477" s="3"/>
      <c r="RE477" s="3"/>
      <c r="RF477" s="3"/>
      <c r="RG477" s="3"/>
      <c r="RH477" s="3"/>
      <c r="RI477" s="3"/>
      <c r="RJ477" s="3"/>
      <c r="RK477" s="3"/>
      <c r="RL477" s="3"/>
      <c r="RM477" s="3"/>
      <c r="RN477" s="3"/>
      <c r="RO477" s="3"/>
      <c r="RP477" s="3"/>
      <c r="RQ477" s="3"/>
      <c r="RR477" s="3"/>
      <c r="RS477" s="3"/>
      <c r="RT477" s="3"/>
      <c r="RU477" s="3"/>
      <c r="RV477" s="3"/>
      <c r="RW477" s="3"/>
      <c r="RX477" s="3"/>
      <c r="RY477" s="3"/>
      <c r="RZ477" s="3"/>
      <c r="SA477" s="3"/>
      <c r="SB477" s="3"/>
      <c r="SC477" s="3"/>
      <c r="SD477" s="3"/>
      <c r="SE477" s="3"/>
      <c r="SF477" s="3"/>
      <c r="SG477" s="3"/>
      <c r="SH477" s="3"/>
      <c r="SI477" s="3"/>
      <c r="SJ477" s="3"/>
      <c r="SK477" s="3"/>
      <c r="SL477" s="3"/>
      <c r="SM477" s="3"/>
      <c r="SN477" s="3"/>
      <c r="SO477" s="3"/>
      <c r="SP477" s="3"/>
      <c r="SQ477" s="3"/>
      <c r="SR477" s="3"/>
      <c r="SS477" s="3"/>
      <c r="ST477" s="3"/>
      <c r="SU477" s="3"/>
      <c r="SV477" s="3"/>
      <c r="SW477" s="3"/>
      <c r="SX477" s="3"/>
      <c r="SY477" s="3"/>
      <c r="SZ477" s="3"/>
      <c r="TA477" s="3"/>
      <c r="TB477" s="3"/>
      <c r="TC477" s="3"/>
      <c r="TD477" s="3"/>
      <c r="TE477" s="3"/>
      <c r="TF477" s="3"/>
      <c r="TG477" s="3"/>
      <c r="TH477" s="3"/>
      <c r="TI477" s="3"/>
      <c r="TJ477" s="3"/>
      <c r="TK477" s="3"/>
      <c r="TL477" s="3"/>
      <c r="TM477" s="3"/>
      <c r="TN477" s="3"/>
      <c r="TO477" s="3"/>
      <c r="TP477" s="3"/>
      <c r="TQ477" s="3"/>
      <c r="TR477" s="3"/>
      <c r="TS477" s="3"/>
      <c r="TT477" s="3"/>
      <c r="TU477" s="3"/>
      <c r="TV477" s="3"/>
      <c r="TW477" s="3"/>
      <c r="TX477" s="3"/>
      <c r="TY477" s="3"/>
      <c r="TZ477" s="3"/>
      <c r="UA477" s="3"/>
      <c r="UB477" s="3"/>
      <c r="UC477" s="3"/>
      <c r="UD477" s="3"/>
      <c r="UE477" s="3"/>
      <c r="UF477" s="3"/>
      <c r="UG477" s="3"/>
      <c r="UH477" s="3"/>
      <c r="UI477" s="3"/>
      <c r="UJ477" s="3"/>
      <c r="UK477" s="3"/>
      <c r="UL477" s="3"/>
      <c r="UM477" s="3"/>
      <c r="UN477" s="3"/>
      <c r="UO477" s="3"/>
      <c r="UP477" s="3"/>
      <c r="UQ477" s="3"/>
      <c r="UR477" s="3"/>
      <c r="US477" s="3"/>
      <c r="UT477" s="3"/>
      <c r="UU477" s="3"/>
      <c r="UV477" s="3"/>
      <c r="UW477" s="3"/>
      <c r="UX477" s="3"/>
      <c r="UY477" s="3"/>
      <c r="UZ477" s="3"/>
      <c r="VA477" s="3"/>
      <c r="VB477" s="3"/>
      <c r="VC477" s="3"/>
      <c r="VD477" s="3"/>
      <c r="VE477" s="3"/>
      <c r="VF477" s="3"/>
      <c r="VG477" s="3"/>
      <c r="VH477" s="3"/>
      <c r="VI477" s="3"/>
      <c r="VJ477" s="3"/>
      <c r="VK477" s="3"/>
      <c r="VL477" s="3"/>
      <c r="VM477" s="3"/>
      <c r="VN477" s="3"/>
      <c r="VO477" s="3"/>
      <c r="VP477" s="3"/>
      <c r="VQ477" s="3"/>
      <c r="VR477" s="3"/>
      <c r="VS477" s="3"/>
      <c r="VT477" s="3"/>
      <c r="VU477" s="3"/>
      <c r="VV477" s="3"/>
      <c r="VW477" s="3"/>
      <c r="VX477" s="3"/>
      <c r="VY477" s="3"/>
      <c r="VZ477" s="3"/>
      <c r="WA477" s="3"/>
      <c r="WB477" s="3"/>
      <c r="WC477" s="3"/>
      <c r="WD477" s="3"/>
      <c r="WE477" s="3"/>
      <c r="WF477" s="3"/>
      <c r="WG477" s="3"/>
      <c r="WH477" s="3"/>
      <c r="WI477" s="3"/>
      <c r="WJ477" s="3"/>
      <c r="WK477" s="3"/>
      <c r="WL477" s="3"/>
      <c r="WM477" s="3"/>
      <c r="WN477" s="3"/>
      <c r="WO477" s="3"/>
      <c r="WP477" s="3"/>
      <c r="WQ477" s="3"/>
      <c r="WR477" s="3"/>
      <c r="WS477" s="3"/>
      <c r="WT477" s="3"/>
      <c r="WU477" s="3"/>
      <c r="WV477" s="3"/>
      <c r="WW477" s="3"/>
      <c r="WX477" s="3"/>
      <c r="WY477" s="3"/>
      <c r="WZ477" s="3"/>
      <c r="XA477" s="3"/>
      <c r="XB477" s="3"/>
      <c r="XC477" s="3"/>
      <c r="XD477" s="3"/>
      <c r="XE477" s="3"/>
      <c r="XF477" s="3"/>
      <c r="XG477" s="3"/>
      <c r="XH477" s="3"/>
      <c r="XI477" s="3"/>
      <c r="XJ477" s="3"/>
      <c r="XK477" s="3"/>
      <c r="XL477" s="3"/>
      <c r="XM477" s="3"/>
      <c r="XN477" s="3"/>
      <c r="XO477" s="3"/>
      <c r="XP477" s="3"/>
      <c r="XQ477" s="3"/>
      <c r="XR477" s="3"/>
      <c r="XS477" s="3"/>
      <c r="XT477" s="3"/>
      <c r="XU477" s="3"/>
      <c r="XV477" s="3"/>
      <c r="XW477" s="3"/>
      <c r="XX477" s="3"/>
      <c r="XY477" s="3"/>
      <c r="XZ477" s="3"/>
      <c r="YA477" s="3"/>
      <c r="YB477" s="3"/>
      <c r="YC477" s="3"/>
      <c r="YD477" s="3"/>
      <c r="YE477" s="3"/>
      <c r="YF477" s="3"/>
      <c r="YG477" s="3"/>
      <c r="YH477" s="3"/>
      <c r="YI477" s="3"/>
      <c r="YJ477" s="3"/>
      <c r="YK477" s="3"/>
      <c r="YL477" s="3"/>
      <c r="YM477" s="3"/>
      <c r="YN477" s="3"/>
      <c r="YO477" s="3"/>
      <c r="YP477" s="3"/>
      <c r="YQ477" s="3"/>
      <c r="YR477" s="3"/>
      <c r="YS477" s="3"/>
      <c r="YT477" s="3"/>
      <c r="YU477" s="3"/>
      <c r="YV477" s="3"/>
      <c r="YW477" s="3"/>
      <c r="YX477" s="3"/>
      <c r="YY477" s="3"/>
      <c r="YZ477" s="3"/>
      <c r="ZA477" s="3"/>
      <c r="ZB477" s="3"/>
      <c r="ZC477" s="3"/>
      <c r="ZD477" s="3"/>
      <c r="ZE477" s="3"/>
      <c r="ZF477" s="3"/>
      <c r="ZG477" s="3"/>
      <c r="ZH477" s="3"/>
      <c r="ZI477" s="3"/>
      <c r="ZJ477" s="3"/>
      <c r="ZK477" s="3"/>
      <c r="ZL477" s="3"/>
      <c r="ZM477" s="3"/>
      <c r="ZN477" s="3"/>
      <c r="ZO477" s="3"/>
      <c r="ZP477" s="3"/>
      <c r="ZQ477" s="3"/>
      <c r="ZR477" s="3"/>
      <c r="ZS477" s="3"/>
      <c r="ZT477" s="3"/>
      <c r="ZU477" s="3"/>
      <c r="ZV477" s="3"/>
      <c r="ZW477" s="3"/>
      <c r="ZX477" s="3"/>
      <c r="ZY477" s="3"/>
      <c r="ZZ477" s="3"/>
      <c r="AAA477" s="3"/>
      <c r="AAB477" s="3"/>
      <c r="AAC477" s="3"/>
      <c r="AAD477" s="3"/>
      <c r="AAE477" s="3"/>
      <c r="AAF477" s="3"/>
      <c r="AAG477" s="3"/>
      <c r="AAH477" s="3"/>
      <c r="AAI477" s="3"/>
      <c r="AAJ477" s="3"/>
      <c r="AAK477" s="3"/>
      <c r="AAL477" s="3"/>
      <c r="AAM477" s="3"/>
      <c r="AAN477" s="3"/>
      <c r="AAO477" s="3"/>
      <c r="AAP477" s="3"/>
      <c r="AAQ477" s="3"/>
      <c r="AAR477" s="3"/>
      <c r="AAS477" s="3"/>
      <c r="AAT477" s="3"/>
      <c r="AAU477" s="3"/>
      <c r="AAV477" s="3"/>
      <c r="AAW477" s="3"/>
      <c r="AAX477" s="3"/>
      <c r="AAY477" s="3"/>
      <c r="AAZ477" s="3"/>
      <c r="ABA477" s="3"/>
      <c r="ABB477" s="3"/>
      <c r="ABC477" s="3"/>
      <c r="ABD477" s="3"/>
      <c r="ABE477" s="3"/>
      <c r="ABF477" s="3"/>
      <c r="ABG477" s="3"/>
      <c r="ABH477" s="3"/>
      <c r="ABI477" s="3"/>
      <c r="ABJ477" s="3"/>
      <c r="ABK477" s="3"/>
      <c r="ABL477" s="3"/>
      <c r="ABM477" s="3"/>
      <c r="ABN477" s="3"/>
      <c r="ABO477" s="3"/>
      <c r="ABP477" s="3"/>
      <c r="ABQ477" s="3"/>
      <c r="ABR477" s="3"/>
      <c r="ABS477" s="3"/>
      <c r="ABT477" s="3"/>
      <c r="ABU477" s="3"/>
      <c r="ABV477" s="3"/>
      <c r="ABW477" s="3"/>
      <c r="ABX477" s="3"/>
      <c r="ABY477" s="3"/>
      <c r="ABZ477" s="3"/>
      <c r="ACA477" s="3"/>
      <c r="ACB477" s="3"/>
      <c r="ACC477" s="3"/>
      <c r="ACD477" s="3"/>
      <c r="ACE477" s="3"/>
      <c r="ACF477" s="3"/>
      <c r="ACG477" s="3"/>
      <c r="ACH477" s="3"/>
      <c r="ACI477" s="3"/>
      <c r="ACJ477" s="3"/>
      <c r="ACK477" s="3"/>
      <c r="ACL477" s="3"/>
      <c r="ACM477" s="3"/>
      <c r="ACN477" s="3"/>
      <c r="ACO477" s="3"/>
      <c r="ACP477" s="3"/>
      <c r="ACQ477" s="3"/>
      <c r="ACR477" s="3"/>
      <c r="ACS477" s="3"/>
      <c r="ACT477" s="3"/>
      <c r="ACU477" s="3"/>
      <c r="ACV477" s="3"/>
      <c r="ACW477" s="3"/>
      <c r="ACX477" s="3"/>
      <c r="ACY477" s="3"/>
      <c r="ACZ477" s="3"/>
      <c r="ADA477" s="3"/>
      <c r="ADB477" s="3"/>
      <c r="ADC477" s="3"/>
      <c r="ADD477" s="3"/>
      <c r="ADE477" s="3"/>
      <c r="ADF477" s="3"/>
      <c r="ADG477" s="3"/>
      <c r="ADH477" s="3"/>
      <c r="ADI477" s="3"/>
      <c r="ADJ477" s="3"/>
      <c r="ADK477" s="3"/>
      <c r="ADL477" s="3"/>
      <c r="ADM477" s="3"/>
      <c r="ADN477" s="3"/>
      <c r="ADO477" s="3"/>
      <c r="ADP477" s="3"/>
      <c r="ADQ477" s="3"/>
      <c r="ADR477" s="3"/>
      <c r="ADS477" s="3"/>
      <c r="ADT477" s="3"/>
      <c r="ADU477" s="3"/>
      <c r="ADV477" s="3"/>
      <c r="ADW477" s="3"/>
      <c r="ADX477" s="3"/>
      <c r="ADY477" s="3"/>
      <c r="ADZ477" s="3"/>
      <c r="AEA477" s="3"/>
      <c r="AEB477" s="3"/>
      <c r="AEC477" s="3"/>
      <c r="AED477" s="3"/>
      <c r="AEE477" s="3"/>
      <c r="AEF477" s="3"/>
      <c r="AEG477" s="3"/>
      <c r="AEH477" s="3"/>
      <c r="AEI477" s="3"/>
      <c r="AEJ477" s="3"/>
      <c r="AEK477" s="3"/>
      <c r="AEL477" s="3"/>
      <c r="AEM477" s="3"/>
      <c r="AEN477" s="3"/>
      <c r="AEO477" s="3"/>
      <c r="AEP477" s="3"/>
      <c r="AEQ477" s="3"/>
      <c r="AER477" s="3"/>
      <c r="AES477" s="3"/>
      <c r="AET477" s="3"/>
      <c r="AEU477" s="3"/>
      <c r="AEV477" s="3"/>
      <c r="AEW477" s="3"/>
      <c r="AEX477" s="3"/>
      <c r="AEY477" s="3"/>
      <c r="AEZ477" s="3"/>
      <c r="AFA477" s="3"/>
      <c r="AFB477" s="3"/>
      <c r="AFC477" s="3"/>
      <c r="AFD477" s="3"/>
      <c r="AFE477" s="3"/>
      <c r="AFF477" s="3"/>
      <c r="AFG477" s="3"/>
      <c r="AFH477" s="3"/>
      <c r="AFI477" s="3"/>
      <c r="AFJ477" s="3"/>
      <c r="AFK477" s="3"/>
      <c r="AFL477" s="3"/>
      <c r="AFM477" s="3"/>
      <c r="AFN477" s="3"/>
      <c r="AFO477" s="3"/>
      <c r="AFP477" s="3"/>
      <c r="AFQ477" s="3"/>
      <c r="AFR477" s="3"/>
      <c r="AFS477" s="3"/>
      <c r="AFT477" s="3"/>
      <c r="AFU477" s="3"/>
      <c r="AFV477" s="3"/>
      <c r="AFW477" s="3"/>
      <c r="AFX477" s="3"/>
      <c r="AFY477" s="3"/>
      <c r="AFZ477" s="3"/>
      <c r="AGA477" s="3"/>
      <c r="AGB477" s="3"/>
      <c r="AGC477" s="3"/>
      <c r="AGD477" s="3"/>
      <c r="AGE477" s="3"/>
      <c r="AGF477" s="3"/>
      <c r="AGG477" s="3"/>
      <c r="AGH477" s="3"/>
      <c r="AGI477" s="3"/>
      <c r="AGJ477" s="3"/>
      <c r="AGK477" s="3"/>
      <c r="AGL477" s="3"/>
      <c r="AGM477" s="3"/>
      <c r="AGN477" s="3"/>
      <c r="AGO477" s="3"/>
      <c r="AGP477" s="3"/>
      <c r="AGQ477" s="3"/>
      <c r="AGR477" s="3"/>
      <c r="AGS477" s="3"/>
      <c r="AGT477" s="3"/>
      <c r="AGU477" s="3"/>
      <c r="AGV477" s="3"/>
      <c r="AGW477" s="3"/>
      <c r="AGX477" s="3"/>
      <c r="AGY477" s="3"/>
      <c r="AGZ477" s="3"/>
      <c r="AHA477" s="3"/>
      <c r="AHB477" s="3"/>
      <c r="AHC477" s="3"/>
      <c r="AHD477" s="3"/>
      <c r="AHE477" s="3"/>
      <c r="AHF477" s="3"/>
      <c r="AHG477" s="3"/>
      <c r="AHH477" s="3"/>
      <c r="AHI477" s="3"/>
      <c r="AHJ477" s="3"/>
      <c r="AHK477" s="3"/>
      <c r="AHL477" s="3"/>
      <c r="AHM477" s="3"/>
      <c r="AHN477" s="3"/>
      <c r="AHO477" s="3"/>
      <c r="AHP477" s="3"/>
      <c r="AHQ477" s="3"/>
      <c r="AHR477" s="3"/>
      <c r="AHS477" s="3"/>
      <c r="AHT477" s="3"/>
      <c r="AHU477" s="3"/>
      <c r="AHV477" s="3"/>
      <c r="AHW477" s="3"/>
      <c r="AHX477" s="3"/>
      <c r="AHY477" s="3"/>
      <c r="AHZ477" s="3"/>
      <c r="AIA477" s="3"/>
      <c r="AIB477" s="3"/>
      <c r="AIC477" s="3"/>
      <c r="AID477" s="3"/>
      <c r="AIE477" s="3"/>
      <c r="AIF477" s="3"/>
      <c r="AIG477" s="3"/>
      <c r="AIH477" s="3"/>
      <c r="AII477" s="3"/>
      <c r="AIJ477" s="3"/>
      <c r="AIK477" s="3"/>
      <c r="AIL477" s="3"/>
      <c r="AIM477" s="3"/>
      <c r="AIN477" s="3"/>
      <c r="AIO477" s="3"/>
      <c r="AIP477" s="3"/>
      <c r="AIQ477" s="3"/>
      <c r="AIR477" s="3"/>
      <c r="AIS477" s="3"/>
      <c r="AIT477" s="3"/>
      <c r="AIU477" s="3"/>
      <c r="AIV477" s="3"/>
      <c r="AIW477" s="3"/>
      <c r="AIX477" s="3"/>
      <c r="AIY477" s="3"/>
      <c r="AIZ477" s="3"/>
      <c r="AJA477" s="3"/>
      <c r="AJB477" s="3"/>
      <c r="AJC477" s="3"/>
      <c r="AJD477" s="3"/>
      <c r="AJE477" s="3"/>
      <c r="AJF477" s="3"/>
      <c r="AJG477" s="3"/>
      <c r="AJH477" s="3"/>
      <c r="AJI477" s="3"/>
      <c r="AJJ477" s="3"/>
      <c r="AJK477" s="3"/>
      <c r="AJL477" s="3"/>
      <c r="AJM477" s="3"/>
      <c r="AJN477" s="3"/>
      <c r="AJO477" s="3"/>
      <c r="AJP477" s="3"/>
      <c r="AJQ477" s="3"/>
      <c r="AJR477" s="3"/>
      <c r="AJS477" s="3"/>
      <c r="AJT477" s="3"/>
      <c r="AJU477" s="3"/>
      <c r="AJV477" s="3"/>
      <c r="AJW477" s="3"/>
      <c r="AJX477" s="3"/>
      <c r="AJY477" s="3"/>
      <c r="AJZ477" s="3"/>
      <c r="AKA477" s="3"/>
      <c r="AKB477" s="3"/>
      <c r="AKC477" s="3"/>
      <c r="AKD477" s="3"/>
      <c r="AKE477" s="3"/>
      <c r="AKF477" s="3"/>
      <c r="AKG477" s="3"/>
      <c r="AKH477" s="3"/>
      <c r="AKI477" s="3"/>
      <c r="AKJ477" s="3"/>
      <c r="AKK477" s="3"/>
      <c r="AKL477" s="3"/>
      <c r="AKM477" s="3"/>
      <c r="AKN477" s="3"/>
      <c r="AKO477" s="3"/>
      <c r="AKP477" s="3"/>
      <c r="AKQ477" s="3"/>
      <c r="AKR477" s="3"/>
      <c r="AKS477" s="3"/>
      <c r="AKT477" s="3"/>
      <c r="AKU477" s="3"/>
      <c r="AKV477" s="3"/>
      <c r="AKW477" s="3"/>
      <c r="AKX477" s="3"/>
      <c r="AKY477" s="3"/>
      <c r="AKZ477" s="3"/>
      <c r="ALA477" s="3"/>
      <c r="ALB477" s="3"/>
      <c r="ALC477" s="3"/>
      <c r="ALD477" s="3"/>
      <c r="ALE477" s="3"/>
      <c r="ALF477" s="3"/>
      <c r="ALG477" s="3"/>
      <c r="ALH477" s="3"/>
      <c r="ALI477" s="3"/>
      <c r="ALJ477" s="3"/>
      <c r="ALK477" s="3"/>
      <c r="ALL477" s="3"/>
      <c r="ALM477" s="3"/>
      <c r="ALN477" s="3"/>
      <c r="ALO477" s="3"/>
      <c r="ALP477" s="3"/>
      <c r="ALQ477" s="3"/>
      <c r="ALR477" s="3"/>
      <c r="ALS477" s="3"/>
      <c r="ALT477" s="3"/>
      <c r="ALU477" s="3"/>
      <c r="ALV477" s="3"/>
      <c r="ALW477" s="3"/>
      <c r="ALX477" s="3"/>
      <c r="ALY477" s="3"/>
      <c r="ALZ477" s="3"/>
      <c r="AMA477" s="3"/>
      <c r="AMB477" s="3"/>
      <c r="AMC477" s="3"/>
      <c r="AMD477" s="3"/>
      <c r="AME477" s="3"/>
      <c r="AMF477" s="3"/>
      <c r="AMG477" s="3"/>
      <c r="AMH477" s="3"/>
      <c r="AMI477" s="3"/>
      <c r="AMJ477" s="3"/>
      <c r="AMK477" s="3"/>
      <c r="AML477" s="3"/>
      <c r="AMM477" s="3"/>
      <c r="AMN477" s="3"/>
      <c r="AMO477" s="3"/>
      <c r="AMP477" s="1"/>
    </row>
    <row r="478" spans="1:1030" s="6" customFormat="1" x14ac:dyDescent="0.2">
      <c r="A478" s="3" t="str">
        <f t="shared" si="3995"/>
        <v>smo_human_5L7I</v>
      </c>
      <c r="B478" s="3" t="s">
        <v>33</v>
      </c>
      <c r="C478" s="3" t="s">
        <v>1349</v>
      </c>
      <c r="D478" s="3" t="str">
        <f>IFERROR(MID(VLOOKUP($B478,Seqs!$A:$B,2,0),E478,1),"")</f>
        <v>T</v>
      </c>
      <c r="E478" s="105">
        <v>223</v>
      </c>
      <c r="F478" s="3" t="str">
        <f>IFERROR(MID(VLOOKUP($B478,Seqs!$A:$B,2,0),G478,1),"")</f>
        <v>D</v>
      </c>
      <c r="G478" s="3">
        <v>255</v>
      </c>
      <c r="H478" s="3" t="str">
        <f>IFERROR(MID(VLOOKUP($B478,Seqs!$A:$B,2,0),I478,1),"")</f>
        <v>W</v>
      </c>
      <c r="I478" s="23">
        <v>256</v>
      </c>
      <c r="J478" s="3" t="str">
        <f>IFERROR(MID(VLOOKUP($B478,Seqs!$A:$B,2,0),K478,1),"")</f>
        <v>N</v>
      </c>
      <c r="K478" s="23">
        <v>260</v>
      </c>
      <c r="L478" s="3" t="str">
        <f>IFERROR(MID(VLOOKUP($B478,Seqs!$A:$B,2,0),M478,1),"")</f>
        <v>R</v>
      </c>
      <c r="M478" s="3">
        <v>261</v>
      </c>
      <c r="N478" s="3" t="str">
        <f>IFERROR(MID(VLOOKUP($B478,Seqs!$A:$B,2,0),O478,1),"")</f>
        <v>F</v>
      </c>
      <c r="O478" s="3">
        <v>285</v>
      </c>
      <c r="P478" s="3" t="str">
        <f>IFERROR(MID(VLOOKUP($B478,Seqs!$A:$B,2,0),Q478,1),"")</f>
        <v/>
      </c>
      <c r="Q478" s="3" t="s">
        <v>23</v>
      </c>
      <c r="R478" s="3" t="str">
        <f>IFERROR(MID(VLOOKUP($B478,Seqs!$A:$B,2,0),S478,1),"")</f>
        <v/>
      </c>
      <c r="S478" s="3" t="s">
        <v>23</v>
      </c>
      <c r="T478" s="3" t="str">
        <f>IFERROR(MID(VLOOKUP($B478,Seqs!$A:$B,2,0),U478,1),"")</f>
        <v>L</v>
      </c>
      <c r="U478" s="3">
        <v>312</v>
      </c>
      <c r="V478" s="3" t="str">
        <f>IFERROR(MID(VLOOKUP($B478,Seqs!$A:$B,2,0),W478,1),"")</f>
        <v>L</v>
      </c>
      <c r="W478" s="3">
        <v>346</v>
      </c>
      <c r="X478" s="3" t="str">
        <f>IFERROR(MID(VLOOKUP($B478,Seqs!$A:$B,2,0),Y478,1),"")</f>
        <v/>
      </c>
      <c r="Y478" s="3" t="s">
        <v>23</v>
      </c>
      <c r="Z478" s="3" t="str">
        <f>IFERROR(MID(VLOOKUP($B478,Seqs!$A:$B,2,0),AA478,1),"")</f>
        <v/>
      </c>
      <c r="AA478" s="3" t="s">
        <v>23</v>
      </c>
      <c r="AB478" s="3" t="str">
        <f>IFERROR(MID(VLOOKUP($B478,Seqs!$A:$B,2,0),AC478,1),"")</f>
        <v>K</v>
      </c>
      <c r="AC478" s="9">
        <v>356</v>
      </c>
      <c r="AD478" s="3" t="str">
        <f>IFERROR(MID(VLOOKUP($B478,Seqs!$A:$B,2,0),AE478,1),"")</f>
        <v>V</v>
      </c>
      <c r="AE478" s="3">
        <v>378</v>
      </c>
      <c r="AF478" s="3" t="str">
        <f>IFERROR(MID(VLOOKUP($B478,Seqs!$A:$B,2,0),AG478,1),"")</f>
        <v>C</v>
      </c>
      <c r="AG478" s="3">
        <v>390</v>
      </c>
      <c r="AH478" s="3" t="str">
        <f>IFERROR(MID(VLOOKUP($B478,Seqs!$A:$B,2,0),AI478,1),"")</f>
        <v>V</v>
      </c>
      <c r="AI478" s="3">
        <v>392</v>
      </c>
      <c r="AJ478" s="3" t="str">
        <f>IFERROR(MID(VLOOKUP($B478,Seqs!$A:$B,2,0),AK478,1),"")</f>
        <v>N</v>
      </c>
      <c r="AK478" s="105">
        <v>396</v>
      </c>
      <c r="AL478" s="3" t="str">
        <f>IFERROR(MID(VLOOKUP($B478,Seqs!$A:$B,2,0),AM478,1),"")</f>
        <v>S</v>
      </c>
      <c r="AM478" s="3">
        <v>428</v>
      </c>
      <c r="AN478" s="3" t="str">
        <f>IFERROR(MID(VLOOKUP($B478,Seqs!$A:$B,2,0),AO478,1),"")</f>
        <v>E</v>
      </c>
      <c r="AO478" s="3">
        <v>447</v>
      </c>
      <c r="AP478" s="3" t="str">
        <f>IFERROR(MID(VLOOKUP($B478,Seqs!$A:$B,2,0),AQ478,1),"")</f>
        <v>N</v>
      </c>
      <c r="AQ478" s="3">
        <v>493</v>
      </c>
      <c r="AR478" s="3" t="str">
        <f>IFERROR(MID(VLOOKUP($B478,Seqs!$A:$B,2,0),AS478,1),"")</f>
        <v>S</v>
      </c>
      <c r="AS478" s="105">
        <v>514</v>
      </c>
      <c r="AT478" s="3" t="str">
        <f>IFERROR(MID(VLOOKUP($B478,Seqs!$A:$B,2,0),AU478,1),"")</f>
        <v>W</v>
      </c>
      <c r="AU478" s="3">
        <v>537</v>
      </c>
      <c r="AV478" s="3" t="str">
        <f>IFERROR(MID(VLOOKUP($B478,Seqs!$A:$B,2,0),AW478,1),"")</f>
        <v>T</v>
      </c>
      <c r="AW478" s="3">
        <v>538</v>
      </c>
      <c r="AX478" s="3" t="str">
        <f>IFERROR(MID(VLOOKUP($B478,Seqs!$A:$B,2,0),AY478,1),"")</f>
        <v>R</v>
      </c>
      <c r="AY478" s="3">
        <v>551</v>
      </c>
      <c r="AZ478" s="78" t="str">
        <f>VLOOKUP(B478,Classification!A:D,2,0)</f>
        <v>F</v>
      </c>
      <c r="BA478" s="94" t="str">
        <f>VLOOKUP(B478,Classification!A:D,4,0)</f>
        <v>Frizzled</v>
      </c>
      <c r="BB478" s="92" t="b">
        <f t="shared" si="3996"/>
        <v>1</v>
      </c>
      <c r="BC478" s="23">
        <f t="shared" si="3941"/>
        <v>244</v>
      </c>
      <c r="BD478" s="74" t="s">
        <v>23</v>
      </c>
      <c r="BE478" s="3" t="s">
        <v>1370</v>
      </c>
      <c r="BF478" s="118">
        <v>3.3</v>
      </c>
      <c r="BG478" s="49" t="s">
        <v>1277</v>
      </c>
      <c r="BH478" s="49" t="s">
        <v>1373</v>
      </c>
      <c r="BI478" s="3" t="s">
        <v>1357</v>
      </c>
      <c r="BJ478" s="75" t="s">
        <v>1283</v>
      </c>
      <c r="BK478" s="57" t="s">
        <v>1283</v>
      </c>
      <c r="BL478" s="57" t="s">
        <v>1283</v>
      </c>
      <c r="BM478" s="57" t="s">
        <v>1283</v>
      </c>
      <c r="BN478" s="57" t="s">
        <v>1283</v>
      </c>
      <c r="BO478" s="57" t="s">
        <v>1283</v>
      </c>
      <c r="BP478" s="57" t="s">
        <v>1283</v>
      </c>
      <c r="BQ478" s="57" t="s">
        <v>1283</v>
      </c>
      <c r="BR478" s="57" t="s">
        <v>1283</v>
      </c>
      <c r="BS478" s="57" t="s">
        <v>1283</v>
      </c>
      <c r="BT478" s="57" t="s">
        <v>1283</v>
      </c>
      <c r="BU478" s="57" t="s">
        <v>1283</v>
      </c>
      <c r="BV478" s="75">
        <f t="shared" si="3942"/>
        <v>223</v>
      </c>
      <c r="BW478" s="71">
        <f t="shared" si="3943"/>
        <v>256</v>
      </c>
      <c r="BX478" s="72">
        <f t="shared" si="3944"/>
        <v>261</v>
      </c>
      <c r="BY478" s="71" t="str">
        <f t="shared" si="3945"/>
        <v>-</v>
      </c>
      <c r="BZ478" s="72">
        <f t="shared" si="3946"/>
        <v>312</v>
      </c>
      <c r="CA478" s="71" t="str">
        <f t="shared" si="3947"/>
        <v>-</v>
      </c>
      <c r="CB478" s="72">
        <f t="shared" si="3948"/>
        <v>356</v>
      </c>
      <c r="CC478" s="71">
        <f t="shared" si="3949"/>
        <v>390</v>
      </c>
      <c r="CD478" s="72">
        <f t="shared" si="3950"/>
        <v>396</v>
      </c>
      <c r="CE478" s="71">
        <f t="shared" si="3951"/>
        <v>447</v>
      </c>
      <c r="CF478" s="72">
        <f t="shared" si="3952"/>
        <v>514</v>
      </c>
      <c r="CG478" s="71">
        <f t="shared" si="3953"/>
        <v>538</v>
      </c>
      <c r="CH478" s="75">
        <f t="shared" si="3954"/>
        <v>255</v>
      </c>
      <c r="CI478" s="71">
        <f t="shared" si="3955"/>
        <v>260</v>
      </c>
      <c r="CJ478" s="72">
        <f t="shared" si="3956"/>
        <v>285</v>
      </c>
      <c r="CK478" s="72" t="str">
        <f t="shared" si="3957"/>
        <v>-</v>
      </c>
      <c r="CL478" s="72">
        <f t="shared" si="3958"/>
        <v>346</v>
      </c>
      <c r="CM478" s="72" t="str">
        <f t="shared" si="3959"/>
        <v>-</v>
      </c>
      <c r="CN478" s="72">
        <f t="shared" si="3960"/>
        <v>378</v>
      </c>
      <c r="CO478" s="72">
        <f t="shared" si="3961"/>
        <v>392</v>
      </c>
      <c r="CP478" s="72">
        <f t="shared" si="3962"/>
        <v>428</v>
      </c>
      <c r="CQ478" s="72">
        <f t="shared" si="3963"/>
        <v>493</v>
      </c>
      <c r="CR478" s="72">
        <f t="shared" si="3964"/>
        <v>537</v>
      </c>
      <c r="CS478" s="72">
        <f t="shared" si="3965"/>
        <v>551</v>
      </c>
      <c r="CT478" s="23">
        <f t="shared" si="3966"/>
        <v>1</v>
      </c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  <c r="QM478" s="3"/>
      <c r="QN478" s="3"/>
      <c r="QO478" s="3"/>
      <c r="QP478" s="3"/>
      <c r="QQ478" s="3"/>
      <c r="QR478" s="3"/>
      <c r="QS478" s="3"/>
      <c r="QT478" s="3"/>
      <c r="QU478" s="3"/>
      <c r="QV478" s="3"/>
      <c r="QW478" s="3"/>
      <c r="QX478" s="3"/>
      <c r="QY478" s="3"/>
      <c r="QZ478" s="3"/>
      <c r="RA478" s="3"/>
      <c r="RB478" s="3"/>
      <c r="RC478" s="3"/>
      <c r="RD478" s="3"/>
      <c r="RE478" s="3"/>
      <c r="RF478" s="3"/>
      <c r="RG478" s="3"/>
      <c r="RH478" s="3"/>
      <c r="RI478" s="3"/>
      <c r="RJ478" s="3"/>
      <c r="RK478" s="3"/>
      <c r="RL478" s="3"/>
      <c r="RM478" s="3"/>
      <c r="RN478" s="3"/>
      <c r="RO478" s="3"/>
      <c r="RP478" s="3"/>
      <c r="RQ478" s="3"/>
      <c r="RR478" s="3"/>
      <c r="RS478" s="3"/>
      <c r="RT478" s="3"/>
      <c r="RU478" s="3"/>
      <c r="RV478" s="3"/>
      <c r="RW478" s="3"/>
      <c r="RX478" s="3"/>
      <c r="RY478" s="3"/>
      <c r="RZ478" s="3"/>
      <c r="SA478" s="3"/>
      <c r="SB478" s="3"/>
      <c r="SC478" s="3"/>
      <c r="SD478" s="3"/>
      <c r="SE478" s="3"/>
      <c r="SF478" s="3"/>
      <c r="SG478" s="3"/>
      <c r="SH478" s="3"/>
      <c r="SI478" s="3"/>
      <c r="SJ478" s="3"/>
      <c r="SK478" s="3"/>
      <c r="SL478" s="3"/>
      <c r="SM478" s="3"/>
      <c r="SN478" s="3"/>
      <c r="SO478" s="3"/>
      <c r="SP478" s="3"/>
      <c r="SQ478" s="3"/>
      <c r="SR478" s="3"/>
      <c r="SS478" s="3"/>
      <c r="ST478" s="3"/>
      <c r="SU478" s="3"/>
      <c r="SV478" s="3"/>
      <c r="SW478" s="3"/>
      <c r="SX478" s="3"/>
      <c r="SY478" s="3"/>
      <c r="SZ478" s="3"/>
      <c r="TA478" s="3"/>
      <c r="TB478" s="3"/>
      <c r="TC478" s="3"/>
      <c r="TD478" s="3"/>
      <c r="TE478" s="3"/>
      <c r="TF478" s="3"/>
      <c r="TG478" s="3"/>
      <c r="TH478" s="3"/>
      <c r="TI478" s="3"/>
      <c r="TJ478" s="3"/>
      <c r="TK478" s="3"/>
      <c r="TL478" s="3"/>
      <c r="TM478" s="3"/>
      <c r="TN478" s="3"/>
      <c r="TO478" s="3"/>
      <c r="TP478" s="3"/>
      <c r="TQ478" s="3"/>
      <c r="TR478" s="3"/>
      <c r="TS478" s="3"/>
      <c r="TT478" s="3"/>
      <c r="TU478" s="3"/>
      <c r="TV478" s="3"/>
      <c r="TW478" s="3"/>
      <c r="TX478" s="3"/>
      <c r="TY478" s="3"/>
      <c r="TZ478" s="3"/>
      <c r="UA478" s="3"/>
      <c r="UB478" s="3"/>
      <c r="UC478" s="3"/>
      <c r="UD478" s="3"/>
      <c r="UE478" s="3"/>
      <c r="UF478" s="3"/>
      <c r="UG478" s="3"/>
      <c r="UH478" s="3"/>
      <c r="UI478" s="3"/>
      <c r="UJ478" s="3"/>
      <c r="UK478" s="3"/>
      <c r="UL478" s="3"/>
      <c r="UM478" s="3"/>
      <c r="UN478" s="3"/>
      <c r="UO478" s="3"/>
      <c r="UP478" s="3"/>
      <c r="UQ478" s="3"/>
      <c r="UR478" s="3"/>
      <c r="US478" s="3"/>
      <c r="UT478" s="3"/>
      <c r="UU478" s="3"/>
      <c r="UV478" s="3"/>
      <c r="UW478" s="3"/>
      <c r="UX478" s="3"/>
      <c r="UY478" s="3"/>
      <c r="UZ478" s="3"/>
      <c r="VA478" s="3"/>
      <c r="VB478" s="3"/>
      <c r="VC478" s="3"/>
      <c r="VD478" s="3"/>
      <c r="VE478" s="3"/>
      <c r="VF478" s="3"/>
      <c r="VG478" s="3"/>
      <c r="VH478" s="3"/>
      <c r="VI478" s="3"/>
      <c r="VJ478" s="3"/>
      <c r="VK478" s="3"/>
      <c r="VL478" s="3"/>
      <c r="VM478" s="3"/>
      <c r="VN478" s="3"/>
      <c r="VO478" s="3"/>
      <c r="VP478" s="3"/>
      <c r="VQ478" s="3"/>
      <c r="VR478" s="3"/>
      <c r="VS478" s="3"/>
      <c r="VT478" s="3"/>
      <c r="VU478" s="3"/>
      <c r="VV478" s="3"/>
      <c r="VW478" s="3"/>
      <c r="VX478" s="3"/>
      <c r="VY478" s="3"/>
      <c r="VZ478" s="3"/>
      <c r="WA478" s="3"/>
      <c r="WB478" s="3"/>
      <c r="WC478" s="3"/>
      <c r="WD478" s="3"/>
      <c r="WE478" s="3"/>
      <c r="WF478" s="3"/>
      <c r="WG478" s="3"/>
      <c r="WH478" s="3"/>
      <c r="WI478" s="3"/>
      <c r="WJ478" s="3"/>
      <c r="WK478" s="3"/>
      <c r="WL478" s="3"/>
      <c r="WM478" s="3"/>
      <c r="WN478" s="3"/>
      <c r="WO478" s="3"/>
      <c r="WP478" s="3"/>
      <c r="WQ478" s="3"/>
      <c r="WR478" s="3"/>
      <c r="WS478" s="3"/>
      <c r="WT478" s="3"/>
      <c r="WU478" s="3"/>
      <c r="WV478" s="3"/>
      <c r="WW478" s="3"/>
      <c r="WX478" s="3"/>
      <c r="WY478" s="3"/>
      <c r="WZ478" s="3"/>
      <c r="XA478" s="3"/>
      <c r="XB478" s="3"/>
      <c r="XC478" s="3"/>
      <c r="XD478" s="3"/>
      <c r="XE478" s="3"/>
      <c r="XF478" s="3"/>
      <c r="XG478" s="3"/>
      <c r="XH478" s="3"/>
      <c r="XI478" s="3"/>
      <c r="XJ478" s="3"/>
      <c r="XK478" s="3"/>
      <c r="XL478" s="3"/>
      <c r="XM478" s="3"/>
      <c r="XN478" s="3"/>
      <c r="XO478" s="3"/>
      <c r="XP478" s="3"/>
      <c r="XQ478" s="3"/>
      <c r="XR478" s="3"/>
      <c r="XS478" s="3"/>
      <c r="XT478" s="3"/>
      <c r="XU478" s="3"/>
      <c r="XV478" s="3"/>
      <c r="XW478" s="3"/>
      <c r="XX478" s="3"/>
      <c r="XY478" s="3"/>
      <c r="XZ478" s="3"/>
      <c r="YA478" s="3"/>
      <c r="YB478" s="3"/>
      <c r="YC478" s="3"/>
      <c r="YD478" s="3"/>
      <c r="YE478" s="3"/>
      <c r="YF478" s="3"/>
      <c r="YG478" s="3"/>
      <c r="YH478" s="3"/>
      <c r="YI478" s="3"/>
      <c r="YJ478" s="3"/>
      <c r="YK478" s="3"/>
      <c r="YL478" s="3"/>
      <c r="YM478" s="3"/>
      <c r="YN478" s="3"/>
      <c r="YO478" s="3"/>
      <c r="YP478" s="3"/>
      <c r="YQ478" s="3"/>
      <c r="YR478" s="3"/>
      <c r="YS478" s="3"/>
      <c r="YT478" s="3"/>
      <c r="YU478" s="3"/>
      <c r="YV478" s="3"/>
      <c r="YW478" s="3"/>
      <c r="YX478" s="3"/>
      <c r="YY478" s="3"/>
      <c r="YZ478" s="3"/>
      <c r="ZA478" s="3"/>
      <c r="ZB478" s="3"/>
      <c r="ZC478" s="3"/>
      <c r="ZD478" s="3"/>
      <c r="ZE478" s="3"/>
      <c r="ZF478" s="3"/>
      <c r="ZG478" s="3"/>
      <c r="ZH478" s="3"/>
      <c r="ZI478" s="3"/>
      <c r="ZJ478" s="3"/>
      <c r="ZK478" s="3"/>
      <c r="ZL478" s="3"/>
      <c r="ZM478" s="3"/>
      <c r="ZN478" s="3"/>
      <c r="ZO478" s="3"/>
      <c r="ZP478" s="3"/>
      <c r="ZQ478" s="3"/>
      <c r="ZR478" s="3"/>
      <c r="ZS478" s="3"/>
      <c r="ZT478" s="3"/>
      <c r="ZU478" s="3"/>
      <c r="ZV478" s="3"/>
      <c r="ZW478" s="3"/>
      <c r="ZX478" s="3"/>
      <c r="ZY478" s="3"/>
      <c r="ZZ478" s="3"/>
      <c r="AAA478" s="3"/>
      <c r="AAB478" s="3"/>
      <c r="AAC478" s="3"/>
      <c r="AAD478" s="3"/>
      <c r="AAE478" s="3"/>
      <c r="AAF478" s="3"/>
      <c r="AAG478" s="3"/>
      <c r="AAH478" s="3"/>
      <c r="AAI478" s="3"/>
      <c r="AAJ478" s="3"/>
      <c r="AAK478" s="3"/>
      <c r="AAL478" s="3"/>
      <c r="AAM478" s="3"/>
      <c r="AAN478" s="3"/>
      <c r="AAO478" s="3"/>
      <c r="AAP478" s="3"/>
      <c r="AAQ478" s="3"/>
      <c r="AAR478" s="3"/>
      <c r="AAS478" s="3"/>
      <c r="AAT478" s="3"/>
      <c r="AAU478" s="3"/>
      <c r="AAV478" s="3"/>
      <c r="AAW478" s="3"/>
      <c r="AAX478" s="3"/>
      <c r="AAY478" s="3"/>
      <c r="AAZ478" s="3"/>
      <c r="ABA478" s="3"/>
      <c r="ABB478" s="3"/>
      <c r="ABC478" s="3"/>
      <c r="ABD478" s="3"/>
      <c r="ABE478" s="3"/>
      <c r="ABF478" s="3"/>
      <c r="ABG478" s="3"/>
      <c r="ABH478" s="3"/>
      <c r="ABI478" s="3"/>
      <c r="ABJ478" s="3"/>
      <c r="ABK478" s="3"/>
      <c r="ABL478" s="3"/>
      <c r="ABM478" s="3"/>
      <c r="ABN478" s="3"/>
      <c r="ABO478" s="3"/>
      <c r="ABP478" s="3"/>
      <c r="ABQ478" s="3"/>
      <c r="ABR478" s="3"/>
      <c r="ABS478" s="3"/>
      <c r="ABT478" s="3"/>
      <c r="ABU478" s="3"/>
      <c r="ABV478" s="3"/>
      <c r="ABW478" s="3"/>
      <c r="ABX478" s="3"/>
      <c r="ABY478" s="3"/>
      <c r="ABZ478" s="3"/>
      <c r="ACA478" s="3"/>
      <c r="ACB478" s="3"/>
      <c r="ACC478" s="3"/>
      <c r="ACD478" s="3"/>
      <c r="ACE478" s="3"/>
      <c r="ACF478" s="3"/>
      <c r="ACG478" s="3"/>
      <c r="ACH478" s="3"/>
      <c r="ACI478" s="3"/>
      <c r="ACJ478" s="3"/>
      <c r="ACK478" s="3"/>
      <c r="ACL478" s="3"/>
      <c r="ACM478" s="3"/>
      <c r="ACN478" s="3"/>
      <c r="ACO478" s="3"/>
      <c r="ACP478" s="3"/>
      <c r="ACQ478" s="3"/>
      <c r="ACR478" s="3"/>
      <c r="ACS478" s="3"/>
      <c r="ACT478" s="3"/>
      <c r="ACU478" s="3"/>
      <c r="ACV478" s="3"/>
      <c r="ACW478" s="3"/>
      <c r="ACX478" s="3"/>
      <c r="ACY478" s="3"/>
      <c r="ACZ478" s="3"/>
      <c r="ADA478" s="3"/>
      <c r="ADB478" s="3"/>
      <c r="ADC478" s="3"/>
      <c r="ADD478" s="3"/>
      <c r="ADE478" s="3"/>
      <c r="ADF478" s="3"/>
      <c r="ADG478" s="3"/>
      <c r="ADH478" s="3"/>
      <c r="ADI478" s="3"/>
      <c r="ADJ478" s="3"/>
      <c r="ADK478" s="3"/>
      <c r="ADL478" s="3"/>
      <c r="ADM478" s="3"/>
      <c r="ADN478" s="3"/>
      <c r="ADO478" s="3"/>
      <c r="ADP478" s="3"/>
      <c r="ADQ478" s="3"/>
      <c r="ADR478" s="3"/>
      <c r="ADS478" s="3"/>
      <c r="ADT478" s="3"/>
      <c r="ADU478" s="3"/>
      <c r="ADV478" s="3"/>
      <c r="ADW478" s="3"/>
      <c r="ADX478" s="3"/>
      <c r="ADY478" s="3"/>
      <c r="ADZ478" s="3"/>
      <c r="AEA478" s="3"/>
      <c r="AEB478" s="3"/>
      <c r="AEC478" s="3"/>
      <c r="AED478" s="3"/>
      <c r="AEE478" s="3"/>
      <c r="AEF478" s="3"/>
      <c r="AEG478" s="3"/>
      <c r="AEH478" s="3"/>
      <c r="AEI478" s="3"/>
      <c r="AEJ478" s="3"/>
      <c r="AEK478" s="3"/>
      <c r="AEL478" s="3"/>
      <c r="AEM478" s="3"/>
      <c r="AEN478" s="3"/>
      <c r="AEO478" s="3"/>
      <c r="AEP478" s="3"/>
      <c r="AEQ478" s="3"/>
      <c r="AER478" s="3"/>
      <c r="AES478" s="3"/>
      <c r="AET478" s="3"/>
      <c r="AEU478" s="3"/>
      <c r="AEV478" s="3"/>
      <c r="AEW478" s="3"/>
      <c r="AEX478" s="3"/>
      <c r="AEY478" s="3"/>
      <c r="AEZ478" s="3"/>
      <c r="AFA478" s="3"/>
      <c r="AFB478" s="3"/>
      <c r="AFC478" s="3"/>
      <c r="AFD478" s="3"/>
      <c r="AFE478" s="3"/>
      <c r="AFF478" s="3"/>
      <c r="AFG478" s="3"/>
      <c r="AFH478" s="3"/>
      <c r="AFI478" s="3"/>
      <c r="AFJ478" s="3"/>
      <c r="AFK478" s="3"/>
      <c r="AFL478" s="3"/>
      <c r="AFM478" s="3"/>
      <c r="AFN478" s="3"/>
      <c r="AFO478" s="3"/>
      <c r="AFP478" s="3"/>
      <c r="AFQ478" s="3"/>
      <c r="AFR478" s="3"/>
      <c r="AFS478" s="3"/>
      <c r="AFT478" s="3"/>
      <c r="AFU478" s="3"/>
      <c r="AFV478" s="3"/>
      <c r="AFW478" s="3"/>
      <c r="AFX478" s="3"/>
      <c r="AFY478" s="3"/>
      <c r="AFZ478" s="3"/>
      <c r="AGA478" s="3"/>
      <c r="AGB478" s="3"/>
      <c r="AGC478" s="3"/>
      <c r="AGD478" s="3"/>
      <c r="AGE478" s="3"/>
      <c r="AGF478" s="3"/>
      <c r="AGG478" s="3"/>
      <c r="AGH478" s="3"/>
      <c r="AGI478" s="3"/>
      <c r="AGJ478" s="3"/>
      <c r="AGK478" s="3"/>
      <c r="AGL478" s="3"/>
      <c r="AGM478" s="3"/>
      <c r="AGN478" s="3"/>
      <c r="AGO478" s="3"/>
      <c r="AGP478" s="3"/>
      <c r="AGQ478" s="3"/>
      <c r="AGR478" s="3"/>
      <c r="AGS478" s="3"/>
      <c r="AGT478" s="3"/>
      <c r="AGU478" s="3"/>
      <c r="AGV478" s="3"/>
      <c r="AGW478" s="3"/>
      <c r="AGX478" s="3"/>
      <c r="AGY478" s="3"/>
      <c r="AGZ478" s="3"/>
      <c r="AHA478" s="3"/>
      <c r="AHB478" s="3"/>
      <c r="AHC478" s="3"/>
      <c r="AHD478" s="3"/>
      <c r="AHE478" s="3"/>
      <c r="AHF478" s="3"/>
      <c r="AHG478" s="3"/>
      <c r="AHH478" s="3"/>
      <c r="AHI478" s="3"/>
      <c r="AHJ478" s="3"/>
      <c r="AHK478" s="3"/>
      <c r="AHL478" s="3"/>
      <c r="AHM478" s="3"/>
      <c r="AHN478" s="3"/>
      <c r="AHO478" s="3"/>
      <c r="AHP478" s="3"/>
      <c r="AHQ478" s="3"/>
      <c r="AHR478" s="3"/>
      <c r="AHS478" s="3"/>
      <c r="AHT478" s="3"/>
      <c r="AHU478" s="3"/>
      <c r="AHV478" s="3"/>
      <c r="AHW478" s="3"/>
      <c r="AHX478" s="3"/>
      <c r="AHY478" s="3"/>
      <c r="AHZ478" s="3"/>
      <c r="AIA478" s="3"/>
      <c r="AIB478" s="3"/>
      <c r="AIC478" s="3"/>
      <c r="AID478" s="3"/>
      <c r="AIE478" s="3"/>
      <c r="AIF478" s="3"/>
      <c r="AIG478" s="3"/>
      <c r="AIH478" s="3"/>
      <c r="AII478" s="3"/>
      <c r="AIJ478" s="3"/>
      <c r="AIK478" s="3"/>
      <c r="AIL478" s="3"/>
      <c r="AIM478" s="3"/>
      <c r="AIN478" s="3"/>
      <c r="AIO478" s="3"/>
      <c r="AIP478" s="3"/>
      <c r="AIQ478" s="3"/>
      <c r="AIR478" s="3"/>
      <c r="AIS478" s="3"/>
      <c r="AIT478" s="3"/>
      <c r="AIU478" s="3"/>
      <c r="AIV478" s="3"/>
      <c r="AIW478" s="3"/>
      <c r="AIX478" s="3"/>
      <c r="AIY478" s="3"/>
      <c r="AIZ478" s="3"/>
      <c r="AJA478" s="3"/>
      <c r="AJB478" s="3"/>
      <c r="AJC478" s="3"/>
      <c r="AJD478" s="3"/>
      <c r="AJE478" s="3"/>
      <c r="AJF478" s="3"/>
      <c r="AJG478" s="3"/>
      <c r="AJH478" s="3"/>
      <c r="AJI478" s="3"/>
      <c r="AJJ478" s="3"/>
      <c r="AJK478" s="3"/>
      <c r="AJL478" s="3"/>
      <c r="AJM478" s="3"/>
      <c r="AJN478" s="3"/>
      <c r="AJO478" s="3"/>
      <c r="AJP478" s="3"/>
      <c r="AJQ478" s="3"/>
      <c r="AJR478" s="3"/>
      <c r="AJS478" s="3"/>
      <c r="AJT478" s="3"/>
      <c r="AJU478" s="3"/>
      <c r="AJV478" s="3"/>
      <c r="AJW478" s="3"/>
      <c r="AJX478" s="3"/>
      <c r="AJY478" s="3"/>
      <c r="AJZ478" s="3"/>
      <c r="AKA478" s="3"/>
      <c r="AKB478" s="3"/>
      <c r="AKC478" s="3"/>
      <c r="AKD478" s="3"/>
      <c r="AKE478" s="3"/>
      <c r="AKF478" s="3"/>
      <c r="AKG478" s="3"/>
      <c r="AKH478" s="3"/>
      <c r="AKI478" s="3"/>
      <c r="AKJ478" s="3"/>
      <c r="AKK478" s="3"/>
      <c r="AKL478" s="3"/>
      <c r="AKM478" s="3"/>
      <c r="AKN478" s="3"/>
      <c r="AKO478" s="3"/>
      <c r="AKP478" s="3"/>
      <c r="AKQ478" s="3"/>
      <c r="AKR478" s="3"/>
      <c r="AKS478" s="3"/>
      <c r="AKT478" s="3"/>
      <c r="AKU478" s="3"/>
      <c r="AKV478" s="3"/>
      <c r="AKW478" s="3"/>
      <c r="AKX478" s="3"/>
      <c r="AKY478" s="3"/>
      <c r="AKZ478" s="3"/>
      <c r="ALA478" s="3"/>
      <c r="ALB478" s="3"/>
      <c r="ALC478" s="3"/>
      <c r="ALD478" s="3"/>
      <c r="ALE478" s="3"/>
      <c r="ALF478" s="3"/>
      <c r="ALG478" s="3"/>
      <c r="ALH478" s="3"/>
      <c r="ALI478" s="3"/>
      <c r="ALJ478" s="3"/>
      <c r="ALK478" s="3"/>
      <c r="ALL478" s="3"/>
      <c r="ALM478" s="3"/>
      <c r="ALN478" s="3"/>
      <c r="ALO478" s="3"/>
      <c r="ALP478" s="3"/>
      <c r="ALQ478" s="3"/>
      <c r="ALR478" s="3"/>
      <c r="ALS478" s="3"/>
      <c r="ALT478" s="3"/>
      <c r="ALU478" s="3"/>
      <c r="ALV478" s="3"/>
      <c r="ALW478" s="3"/>
      <c r="ALX478" s="3"/>
      <c r="ALY478" s="3"/>
      <c r="ALZ478" s="3"/>
      <c r="AMA478" s="3"/>
      <c r="AMB478" s="3"/>
      <c r="AMC478" s="3"/>
      <c r="AMD478" s="3"/>
      <c r="AME478" s="3"/>
      <c r="AMF478" s="3"/>
      <c r="AMG478" s="3"/>
      <c r="AMH478" s="3"/>
      <c r="AMI478" s="3"/>
      <c r="AMJ478" s="3"/>
      <c r="AMK478" s="3"/>
      <c r="AML478" s="3"/>
      <c r="AMM478" s="3"/>
      <c r="AMN478" s="3"/>
      <c r="AMO478" s="3"/>
      <c r="AMP478" s="1"/>
    </row>
    <row r="479" spans="1:1030" x14ac:dyDescent="0.2">
      <c r="A479" s="3" t="str">
        <f t="shared" ref="A479:A486" si="4417">CONCATENATE(B479,"_",C479)</f>
        <v>smo_human_5V56</v>
      </c>
      <c r="B479" s="3" t="s">
        <v>33</v>
      </c>
      <c r="C479" s="3" t="s">
        <v>1473</v>
      </c>
      <c r="D479" s="3" t="str">
        <f>IFERROR(MID(VLOOKUP($B479,Seqs!$A:$B,2,0),E479,1),"")</f>
        <v>T</v>
      </c>
      <c r="E479" s="3">
        <v>223</v>
      </c>
      <c r="F479" s="3" t="str">
        <f>IFERROR(MID(VLOOKUP($B479,Seqs!$A:$B,2,0),G479,1),"")</f>
        <v>D</v>
      </c>
      <c r="G479" s="3">
        <v>255</v>
      </c>
      <c r="H479" s="3" t="str">
        <f>IFERROR(MID(VLOOKUP($B479,Seqs!$A:$B,2,0),I479,1),"")</f>
        <v>W</v>
      </c>
      <c r="I479" s="23">
        <v>256</v>
      </c>
      <c r="J479" s="3" t="str">
        <f>IFERROR(MID(VLOOKUP($B479,Seqs!$A:$B,2,0),K479,1),"")</f>
        <v>N</v>
      </c>
      <c r="K479" s="23">
        <v>260</v>
      </c>
      <c r="L479" s="3" t="str">
        <f>IFERROR(MID(VLOOKUP($B479,Seqs!$A:$B,2,0),M479,1),"")</f>
        <v>R</v>
      </c>
      <c r="M479" s="3">
        <v>261</v>
      </c>
      <c r="N479" s="3" t="str">
        <f>IFERROR(MID(VLOOKUP($B479,Seqs!$A:$B,2,0),O479,1),"")</f>
        <v>F</v>
      </c>
      <c r="O479" s="3">
        <v>285</v>
      </c>
      <c r="P479" s="3" t="str">
        <f>IFERROR(MID(VLOOKUP($B479,Seqs!$A:$B,2,0),Q479,1),"")</f>
        <v/>
      </c>
      <c r="Q479" s="3" t="s">
        <v>23</v>
      </c>
      <c r="R479" s="3" t="str">
        <f>IFERROR(MID(VLOOKUP($B479,Seqs!$A:$B,2,0),S479,1),"")</f>
        <v/>
      </c>
      <c r="S479" s="3" t="s">
        <v>23</v>
      </c>
      <c r="T479" s="3" t="str">
        <f>IFERROR(MID(VLOOKUP($B479,Seqs!$A:$B,2,0),U479,1),"")</f>
        <v>L</v>
      </c>
      <c r="U479" s="3">
        <v>312</v>
      </c>
      <c r="V479" s="3" t="str">
        <f>IFERROR(MID(VLOOKUP($B479,Seqs!$A:$B,2,0),W479,1),"")</f>
        <v>S</v>
      </c>
      <c r="W479" s="3">
        <v>342</v>
      </c>
      <c r="X479" s="3" t="str">
        <f>IFERROR(MID(VLOOKUP($B479,Seqs!$A:$B,2,0),Y479,1),"")</f>
        <v/>
      </c>
      <c r="Y479" s="3" t="s">
        <v>23</v>
      </c>
      <c r="Z479" s="3" t="str">
        <f>IFERROR(MID(VLOOKUP($B479,Seqs!$A:$B,2,0),AA479,1),"")</f>
        <v/>
      </c>
      <c r="AA479" s="3" t="s">
        <v>23</v>
      </c>
      <c r="AB479" s="3" t="str">
        <f>IFERROR(MID(VLOOKUP($B479,Seqs!$A:$B,2,0),AC479,1),"")</f>
        <v>K</v>
      </c>
      <c r="AC479" s="3">
        <v>356</v>
      </c>
      <c r="AD479" s="3" t="str">
        <f>IFERROR(MID(VLOOKUP($B479,Seqs!$A:$B,2,0),AE479,1),"")</f>
        <v>V</v>
      </c>
      <c r="AE479" s="3">
        <v>378</v>
      </c>
      <c r="AF479" s="3" t="str">
        <f>IFERROR(MID(VLOOKUP($B479,Seqs!$A:$B,2,0),AG479,1),"")</f>
        <v>C</v>
      </c>
      <c r="AG479" s="3">
        <v>390</v>
      </c>
      <c r="AH479" s="3" t="str">
        <f>IFERROR(MID(VLOOKUP($B479,Seqs!$A:$B,2,0),AI479,1),"")</f>
        <v>V</v>
      </c>
      <c r="AI479" s="3">
        <v>392</v>
      </c>
      <c r="AJ479" s="3" t="str">
        <f>IFERROR(MID(VLOOKUP($B479,Seqs!$A:$B,2,0),AK479,1),"")</f>
        <v>N</v>
      </c>
      <c r="AK479" s="3">
        <v>396</v>
      </c>
      <c r="AL479" s="3" t="str">
        <f>IFERROR(MID(VLOOKUP($B479,Seqs!$A:$B,2,0),AM479,1),"")</f>
        <v>I</v>
      </c>
      <c r="AM479" s="3">
        <v>429</v>
      </c>
      <c r="AN479" s="3" t="str">
        <f>IFERROR(MID(VLOOKUP($B479,Seqs!$A:$B,2,0),AO479,1),"")</f>
        <v>N</v>
      </c>
      <c r="AO479" s="3">
        <v>446</v>
      </c>
      <c r="AP479" s="3" t="str">
        <f>IFERROR(MID(VLOOKUP($B479,Seqs!$A:$B,2,0),AQ479,1),"")</f>
        <v>N</v>
      </c>
      <c r="AQ479" s="3">
        <v>493</v>
      </c>
      <c r="AR479" s="3" t="str">
        <f>IFERROR(MID(VLOOKUP($B479,Seqs!$A:$B,2,0),AS479,1),"")</f>
        <v>S</v>
      </c>
      <c r="AS479" s="3">
        <v>514</v>
      </c>
      <c r="AT479" s="3" t="str">
        <f>IFERROR(MID(VLOOKUP($B479,Seqs!$A:$B,2,0),AU479,1),"")</f>
        <v>W</v>
      </c>
      <c r="AU479" s="3">
        <v>537</v>
      </c>
      <c r="AV479" s="3" t="str">
        <f>IFERROR(MID(VLOOKUP($B479,Seqs!$A:$B,2,0),AW479,1),"")</f>
        <v>T</v>
      </c>
      <c r="AW479" s="3">
        <v>538</v>
      </c>
      <c r="AX479" s="3" t="str">
        <f>IFERROR(MID(VLOOKUP($B479,Seqs!$A:$B,2,0),AY479,1),"")</f>
        <v>T</v>
      </c>
      <c r="AY479" s="3">
        <v>553</v>
      </c>
      <c r="AZ479" s="78" t="str">
        <f>VLOOKUP(B479,Classification!A:D,2,0)</f>
        <v>F</v>
      </c>
      <c r="BA479" s="94" t="str">
        <f>VLOOKUP(B479,Classification!A:D,4,0)</f>
        <v>Frizzled</v>
      </c>
      <c r="BB479" s="92" t="b">
        <f t="shared" ref="BB479:BB486" si="4418">AND(E479&lt;G479,OR(G479&lt;I479,I479="-"),OR(I479&lt;K479,I479="-"),OR(K479&lt;M479,K479="-"),M479&lt;O479,OR(O479&lt;Q479,Q479="-"),OR(Q479&lt;S479,Q479="-"),OR(S479&lt;U479,S479="-"),U479&lt;W479,OR(W479&lt;Y479,Y479="-"),OR(Y479&lt;AA479,Y479="-"),OR(AA479&lt;AC479,AA479="-"),AC479&lt;AE479,OR(AE479&lt;AG479,AG479="-"),OR(AG479&lt;AI479,AG479="-"),OR(AI479&lt;AK479,AI479="-"),AK479&lt;AM479,AM479&lt;AO479,AO479&lt;AQ479,AQ479&lt;AS479,AS479&lt;AU479,OR(AU479&lt;AW479,AW479="-"),OR(AW479&lt;AY479,AW479="-"))</f>
        <v>1</v>
      </c>
      <c r="BC479" s="23">
        <f t="shared" ref="BC479:BC486" si="4419">_xlfn.AGGREGATE(9,6,CH479:CS479)-_xlfn.AGGREGATE(9,6,BV479:CG479)+12</f>
        <v>244</v>
      </c>
      <c r="BD479" s="74" t="s">
        <v>23</v>
      </c>
      <c r="BE479" s="3" t="s">
        <v>1370</v>
      </c>
      <c r="BF479" s="118">
        <v>2.9</v>
      </c>
      <c r="BG479" s="49" t="s">
        <v>1277</v>
      </c>
      <c r="BH479" s="49" t="s">
        <v>1277</v>
      </c>
      <c r="BJ479" s="75" t="s">
        <v>1283</v>
      </c>
      <c r="BK479" s="57" t="s">
        <v>1283</v>
      </c>
      <c r="BL479" s="57" t="s">
        <v>1283</v>
      </c>
      <c r="BM479" s="57" t="s">
        <v>1283</v>
      </c>
      <c r="BN479" s="57" t="s">
        <v>1283</v>
      </c>
      <c r="BO479" s="57" t="s">
        <v>1283</v>
      </c>
      <c r="BP479" s="57" t="s">
        <v>1283</v>
      </c>
      <c r="BQ479" s="57" t="s">
        <v>1283</v>
      </c>
      <c r="BR479" s="57" t="s">
        <v>1283</v>
      </c>
      <c r="BS479" s="57" t="s">
        <v>1283</v>
      </c>
      <c r="BT479" s="57" t="s">
        <v>1283</v>
      </c>
      <c r="BU479" s="57" t="s">
        <v>1283</v>
      </c>
      <c r="BV479" s="75">
        <f t="shared" ref="BV479:BV486" si="4420">E479</f>
        <v>223</v>
      </c>
      <c r="BW479" s="71">
        <f t="shared" ref="BW479:BW486" si="4421">I479</f>
        <v>256</v>
      </c>
      <c r="BX479" s="72">
        <f t="shared" ref="BX479:BX486" si="4422">M479</f>
        <v>261</v>
      </c>
      <c r="BY479" s="71" t="str">
        <f t="shared" ref="BY479:BY486" si="4423">Q479</f>
        <v>-</v>
      </c>
      <c r="BZ479" s="72">
        <f t="shared" ref="BZ479:BZ486" si="4424">U479</f>
        <v>312</v>
      </c>
      <c r="CA479" s="71" t="str">
        <f t="shared" ref="CA479:CA486" si="4425">Y479</f>
        <v>-</v>
      </c>
      <c r="CB479" s="72">
        <f t="shared" ref="CB479:CB486" si="4426">AC479</f>
        <v>356</v>
      </c>
      <c r="CC479" s="71">
        <f t="shared" ref="CC479:CC486" si="4427">AG479</f>
        <v>390</v>
      </c>
      <c r="CD479" s="72">
        <f t="shared" ref="CD479:CD486" si="4428">AK479</f>
        <v>396</v>
      </c>
      <c r="CE479" s="71">
        <f t="shared" ref="CE479:CE486" si="4429">AO479</f>
        <v>446</v>
      </c>
      <c r="CF479" s="72">
        <f t="shared" ref="CF479:CF486" si="4430">AS479</f>
        <v>514</v>
      </c>
      <c r="CG479" s="71">
        <f t="shared" ref="CG479:CG486" si="4431">AW479</f>
        <v>538</v>
      </c>
      <c r="CH479" s="75">
        <f t="shared" ref="CH479:CH486" si="4432">G479</f>
        <v>255</v>
      </c>
      <c r="CI479" s="71">
        <f t="shared" ref="CI479:CI486" si="4433">K479</f>
        <v>260</v>
      </c>
      <c r="CJ479" s="72">
        <f t="shared" ref="CJ479:CJ486" si="4434">O479</f>
        <v>285</v>
      </c>
      <c r="CK479" s="72" t="str">
        <f t="shared" ref="CK479:CK486" si="4435">S479</f>
        <v>-</v>
      </c>
      <c r="CL479" s="72">
        <f t="shared" ref="CL479:CL486" si="4436">W479</f>
        <v>342</v>
      </c>
      <c r="CM479" s="72" t="str">
        <f t="shared" ref="CM479:CM486" si="4437">AA479</f>
        <v>-</v>
      </c>
      <c r="CN479" s="72">
        <f t="shared" ref="CN479:CN486" si="4438">AE479</f>
        <v>378</v>
      </c>
      <c r="CO479" s="72">
        <f t="shared" ref="CO479:CO486" si="4439">AI479</f>
        <v>392</v>
      </c>
      <c r="CP479" s="72">
        <f t="shared" ref="CP479:CP486" si="4440">AM479</f>
        <v>429</v>
      </c>
      <c r="CQ479" s="72">
        <f t="shared" ref="CQ479:CQ486" si="4441">AQ479</f>
        <v>493</v>
      </c>
      <c r="CR479" s="72">
        <f t="shared" ref="CR479:CR486" si="4442">AU479</f>
        <v>537</v>
      </c>
      <c r="CS479" s="72">
        <f t="shared" ref="CS479:CS486" si="4443">AY479</f>
        <v>553</v>
      </c>
      <c r="CT479" s="23">
        <f t="shared" ref="CT479:CT486" si="4444">M479-K479</f>
        <v>1</v>
      </c>
    </row>
    <row r="480" spans="1:1030" x14ac:dyDescent="0.2">
      <c r="A480" s="3" t="str">
        <f t="shared" si="4417"/>
        <v>smo_human_5V57</v>
      </c>
      <c r="B480" s="3" t="s">
        <v>33</v>
      </c>
      <c r="C480" s="3" t="s">
        <v>1474</v>
      </c>
      <c r="D480" s="3" t="str">
        <f>IFERROR(MID(VLOOKUP($B480,Seqs!$A:$B,2,0),E480,1),"")</f>
        <v>T</v>
      </c>
      <c r="E480" s="3">
        <v>223</v>
      </c>
      <c r="F480" s="3" t="str">
        <f>IFERROR(MID(VLOOKUP($B480,Seqs!$A:$B,2,0),G480,1),"")</f>
        <v>D</v>
      </c>
      <c r="G480" s="3">
        <v>255</v>
      </c>
      <c r="H480" s="3" t="str">
        <f>IFERROR(MID(VLOOKUP($B480,Seqs!$A:$B,2,0),I480,1),"")</f>
        <v>W</v>
      </c>
      <c r="I480" s="23">
        <v>256</v>
      </c>
      <c r="J480" s="3" t="str">
        <f>IFERROR(MID(VLOOKUP($B480,Seqs!$A:$B,2,0),K480,1),"")</f>
        <v>N</v>
      </c>
      <c r="K480" s="23">
        <v>260</v>
      </c>
      <c r="L480" s="3" t="str">
        <f>IFERROR(MID(VLOOKUP($B480,Seqs!$A:$B,2,0),M480,1),"")</f>
        <v>R</v>
      </c>
      <c r="M480" s="3">
        <v>261</v>
      </c>
      <c r="N480" s="3" t="str">
        <f>IFERROR(MID(VLOOKUP($B480,Seqs!$A:$B,2,0),O480,1),"")</f>
        <v>F</v>
      </c>
      <c r="O480" s="3">
        <v>285</v>
      </c>
      <c r="P480" s="3" t="str">
        <f>IFERROR(MID(VLOOKUP($B480,Seqs!$A:$B,2,0),Q480,1),"")</f>
        <v/>
      </c>
      <c r="Q480" s="3" t="s">
        <v>23</v>
      </c>
      <c r="R480" s="3" t="str">
        <f>IFERROR(MID(VLOOKUP($B480,Seqs!$A:$B,2,0),S480,1),"")</f>
        <v/>
      </c>
      <c r="S480" s="3" t="s">
        <v>23</v>
      </c>
      <c r="T480" s="3" t="str">
        <f>IFERROR(MID(VLOOKUP($B480,Seqs!$A:$B,2,0),U480,1),"")</f>
        <v>L</v>
      </c>
      <c r="U480" s="3">
        <v>312</v>
      </c>
      <c r="V480" s="3" t="str">
        <f>IFERROR(MID(VLOOKUP($B480,Seqs!$A:$B,2,0),W480,1),"")</f>
        <v>S</v>
      </c>
      <c r="W480" s="3">
        <v>342</v>
      </c>
      <c r="X480" s="3" t="str">
        <f>IFERROR(MID(VLOOKUP($B480,Seqs!$A:$B,2,0),Y480,1),"")</f>
        <v/>
      </c>
      <c r="Y480" s="3" t="s">
        <v>23</v>
      </c>
      <c r="Z480" s="3" t="str">
        <f>IFERROR(MID(VLOOKUP($B480,Seqs!$A:$B,2,0),AA480,1),"")</f>
        <v/>
      </c>
      <c r="AA480" s="3" t="s">
        <v>23</v>
      </c>
      <c r="AB480" s="3" t="str">
        <f>IFERROR(MID(VLOOKUP($B480,Seqs!$A:$B,2,0),AC480,1),"")</f>
        <v>T</v>
      </c>
      <c r="AC480" s="3">
        <v>357</v>
      </c>
      <c r="AD480" s="3" t="str">
        <f>IFERROR(MID(VLOOKUP($B480,Seqs!$A:$B,2,0),AE480,1),"")</f>
        <v>V</v>
      </c>
      <c r="AE480" s="3">
        <v>378</v>
      </c>
      <c r="AF480" s="3" t="str">
        <f>IFERROR(MID(VLOOKUP($B480,Seqs!$A:$B,2,0),AG480,1),"")</f>
        <v>C</v>
      </c>
      <c r="AG480" s="3">
        <v>390</v>
      </c>
      <c r="AH480" s="3" t="str">
        <f>IFERROR(MID(VLOOKUP($B480,Seqs!$A:$B,2,0),AI480,1),"")</f>
        <v>V</v>
      </c>
      <c r="AI480" s="3">
        <v>392</v>
      </c>
      <c r="AJ480" s="3" t="str">
        <f>IFERROR(MID(VLOOKUP($B480,Seqs!$A:$B,2,0),AK480,1),"")</f>
        <v>N</v>
      </c>
      <c r="AK480" s="3">
        <v>396</v>
      </c>
      <c r="AL480" s="3" t="str">
        <f>IFERROR(MID(VLOOKUP($B480,Seqs!$A:$B,2,0),AM480,1),"")</f>
        <v>N</v>
      </c>
      <c r="AM480" s="3">
        <v>432</v>
      </c>
      <c r="AN480" s="3" t="str">
        <f>IFERROR(MID(VLOOKUP($B480,Seqs!$A:$B,2,0),AO480,1),"")</f>
        <v>E</v>
      </c>
      <c r="AO480" s="3">
        <v>447</v>
      </c>
      <c r="AP480" s="3" t="str">
        <f>IFERROR(MID(VLOOKUP($B480,Seqs!$A:$B,2,0),AQ480,1),"")</f>
        <v>N</v>
      </c>
      <c r="AQ480" s="3">
        <v>493</v>
      </c>
      <c r="AR480" s="3" t="str">
        <f>IFERROR(MID(VLOOKUP($B480,Seqs!$A:$B,2,0),AS480,1),"")</f>
        <v>S</v>
      </c>
      <c r="AS480" s="3">
        <v>514</v>
      </c>
      <c r="AT480" s="3" t="str">
        <f>IFERROR(MID(VLOOKUP($B480,Seqs!$A:$B,2,0),AU480,1),"")</f>
        <v>W</v>
      </c>
      <c r="AU480" s="3">
        <v>537</v>
      </c>
      <c r="AV480" s="3" t="str">
        <f>IFERROR(MID(VLOOKUP($B480,Seqs!$A:$B,2,0),AW480,1),"")</f>
        <v>T</v>
      </c>
      <c r="AW480" s="3">
        <v>538</v>
      </c>
      <c r="AX480" s="3" t="str">
        <f>IFERROR(MID(VLOOKUP($B480,Seqs!$A:$B,2,0),AY480,1),"")</f>
        <v>G</v>
      </c>
      <c r="AY480" s="3">
        <v>554</v>
      </c>
      <c r="AZ480" s="78" t="str">
        <f>VLOOKUP(B480,Classification!A:D,2,0)</f>
        <v>F</v>
      </c>
      <c r="BA480" s="94" t="str">
        <f>VLOOKUP(B480,Classification!A:D,4,0)</f>
        <v>Frizzled</v>
      </c>
      <c r="BB480" s="92" t="b">
        <f t="shared" si="4418"/>
        <v>1</v>
      </c>
      <c r="BC480" s="23">
        <f t="shared" si="4419"/>
        <v>246</v>
      </c>
      <c r="BD480" s="74" t="s">
        <v>23</v>
      </c>
      <c r="BE480" s="3" t="s">
        <v>1370</v>
      </c>
      <c r="BF480" s="118">
        <v>3</v>
      </c>
      <c r="BG480" s="49" t="s">
        <v>1</v>
      </c>
      <c r="BH480" s="49" t="s">
        <v>1</v>
      </c>
      <c r="BJ480" s="75" t="s">
        <v>1283</v>
      </c>
      <c r="BK480" s="57" t="s">
        <v>1283</v>
      </c>
      <c r="BL480" s="57" t="s">
        <v>1283</v>
      </c>
      <c r="BM480" s="57" t="s">
        <v>1283</v>
      </c>
      <c r="BN480" s="57" t="s">
        <v>1283</v>
      </c>
      <c r="BO480" s="57" t="s">
        <v>1283</v>
      </c>
      <c r="BP480" s="57" t="s">
        <v>1283</v>
      </c>
      <c r="BQ480" s="57" t="s">
        <v>1283</v>
      </c>
      <c r="BR480" s="57" t="s">
        <v>1283</v>
      </c>
      <c r="BS480" s="57" t="s">
        <v>1283</v>
      </c>
      <c r="BT480" s="57" t="s">
        <v>1283</v>
      </c>
      <c r="BU480" s="57" t="s">
        <v>1283</v>
      </c>
      <c r="BV480" s="75">
        <f t="shared" si="4420"/>
        <v>223</v>
      </c>
      <c r="BW480" s="71">
        <f t="shared" si="4421"/>
        <v>256</v>
      </c>
      <c r="BX480" s="72">
        <f t="shared" si="4422"/>
        <v>261</v>
      </c>
      <c r="BY480" s="71" t="str">
        <f t="shared" si="4423"/>
        <v>-</v>
      </c>
      <c r="BZ480" s="72">
        <f t="shared" si="4424"/>
        <v>312</v>
      </c>
      <c r="CA480" s="71" t="str">
        <f t="shared" si="4425"/>
        <v>-</v>
      </c>
      <c r="CB480" s="72">
        <f t="shared" si="4426"/>
        <v>357</v>
      </c>
      <c r="CC480" s="71">
        <f t="shared" si="4427"/>
        <v>390</v>
      </c>
      <c r="CD480" s="72">
        <f t="shared" si="4428"/>
        <v>396</v>
      </c>
      <c r="CE480" s="71">
        <f t="shared" si="4429"/>
        <v>447</v>
      </c>
      <c r="CF480" s="72">
        <f t="shared" si="4430"/>
        <v>514</v>
      </c>
      <c r="CG480" s="71">
        <f t="shared" si="4431"/>
        <v>538</v>
      </c>
      <c r="CH480" s="75">
        <f t="shared" si="4432"/>
        <v>255</v>
      </c>
      <c r="CI480" s="71">
        <f t="shared" si="4433"/>
        <v>260</v>
      </c>
      <c r="CJ480" s="72">
        <f t="shared" si="4434"/>
        <v>285</v>
      </c>
      <c r="CK480" s="72" t="str">
        <f t="shared" si="4435"/>
        <v>-</v>
      </c>
      <c r="CL480" s="72">
        <f t="shared" si="4436"/>
        <v>342</v>
      </c>
      <c r="CM480" s="72" t="str">
        <f t="shared" si="4437"/>
        <v>-</v>
      </c>
      <c r="CN480" s="72">
        <f t="shared" si="4438"/>
        <v>378</v>
      </c>
      <c r="CO480" s="72">
        <f t="shared" si="4439"/>
        <v>392</v>
      </c>
      <c r="CP480" s="72">
        <f t="shared" si="4440"/>
        <v>432</v>
      </c>
      <c r="CQ480" s="72">
        <f t="shared" si="4441"/>
        <v>493</v>
      </c>
      <c r="CR480" s="72">
        <f t="shared" si="4442"/>
        <v>537</v>
      </c>
      <c r="CS480" s="72">
        <f t="shared" si="4443"/>
        <v>554</v>
      </c>
      <c r="CT480" s="23">
        <f t="shared" si="4444"/>
        <v>1</v>
      </c>
    </row>
    <row r="481" spans="1:98" x14ac:dyDescent="0.2">
      <c r="A481" s="3" t="str">
        <f t="shared" si="4417"/>
        <v>smo_human_6OT0</v>
      </c>
      <c r="B481" s="3" t="s">
        <v>33</v>
      </c>
      <c r="C481" s="3" t="s">
        <v>1576</v>
      </c>
      <c r="D481" s="3" t="str">
        <f>IFERROR(MID(VLOOKUP($B481,Seqs!$A:$B,2,0),E481,1),"")</f>
        <v>T</v>
      </c>
      <c r="E481" s="3">
        <v>223</v>
      </c>
      <c r="F481" s="3" t="str">
        <f>IFERROR(MID(VLOOKUP($B481,Seqs!$A:$B,2,0),G481,1),"")</f>
        <v>D</v>
      </c>
      <c r="G481" s="3">
        <v>255</v>
      </c>
      <c r="H481" s="3" t="str">
        <f>IFERROR(MID(VLOOKUP($B481,Seqs!$A:$B,2,0),I481,1),"")</f>
        <v>W</v>
      </c>
      <c r="I481" s="23">
        <v>256</v>
      </c>
      <c r="J481" s="3" t="str">
        <f>IFERROR(MID(VLOOKUP($B481,Seqs!$A:$B,2,0),K481,1),"")</f>
        <v>N</v>
      </c>
      <c r="K481" s="23">
        <v>260</v>
      </c>
      <c r="L481" s="3" t="str">
        <f>IFERROR(MID(VLOOKUP($B481,Seqs!$A:$B,2,0),M481,1),"")</f>
        <v>P</v>
      </c>
      <c r="M481" s="3">
        <v>263</v>
      </c>
      <c r="N481" s="3" t="str">
        <f>IFERROR(MID(VLOOKUP($B481,Seqs!$A:$B,2,0),O481,1),"")</f>
        <v>A</v>
      </c>
      <c r="O481" s="3">
        <v>283</v>
      </c>
      <c r="P481" s="3" t="str">
        <f>IFERROR(MID(VLOOKUP($B481,Seqs!$A:$B,2,0),Q481,1),"")</f>
        <v/>
      </c>
      <c r="Q481" s="3" t="s">
        <v>23</v>
      </c>
      <c r="R481" s="3" t="str">
        <f>IFERROR(MID(VLOOKUP($B481,Seqs!$A:$B,2,0),S481,1),"")</f>
        <v/>
      </c>
      <c r="S481" s="3" t="s">
        <v>23</v>
      </c>
      <c r="T481" s="3" t="str">
        <f>IFERROR(MID(VLOOKUP($B481,Seqs!$A:$B,2,0),U481,1),"")</f>
        <v>C</v>
      </c>
      <c r="U481" s="3">
        <v>314</v>
      </c>
      <c r="V481" s="3" t="str">
        <f>IFERROR(MID(VLOOKUP($B481,Seqs!$A:$B,2,0),W481,1),"")</f>
        <v>A</v>
      </c>
      <c r="W481" s="3">
        <v>345</v>
      </c>
      <c r="X481" s="3" t="str">
        <f>IFERROR(MID(VLOOKUP($B481,Seqs!$A:$B,2,0),Y481,1),"")</f>
        <v/>
      </c>
      <c r="Y481" s="3" t="s">
        <v>23</v>
      </c>
      <c r="Z481" s="3" t="str">
        <f>IFERROR(MID(VLOOKUP($B481,Seqs!$A:$B,2,0),AA481,1),"")</f>
        <v/>
      </c>
      <c r="AA481" s="3" t="s">
        <v>23</v>
      </c>
      <c r="AB481" s="3" t="str">
        <f>IFERROR(MID(VLOOKUP($B481,Seqs!$A:$B,2,0),AC481,1),"")</f>
        <v>K</v>
      </c>
      <c r="AC481" s="3">
        <v>356</v>
      </c>
      <c r="AD481" s="3" t="str">
        <f>IFERROR(MID(VLOOKUP($B481,Seqs!$A:$B,2,0),AE481,1),"")</f>
        <v>L</v>
      </c>
      <c r="AE481" s="3">
        <v>376</v>
      </c>
      <c r="AF481" s="3" t="str">
        <f>IFERROR(MID(VLOOKUP($B481,Seqs!$A:$B,2,0),AG481,1),"")</f>
        <v>C</v>
      </c>
      <c r="AG481" s="3">
        <v>390</v>
      </c>
      <c r="AH481" s="3" t="str">
        <f>IFERROR(MID(VLOOKUP($B481,Seqs!$A:$B,2,0),AI481,1),"")</f>
        <v>V</v>
      </c>
      <c r="AI481" s="3">
        <v>392</v>
      </c>
      <c r="AJ481" s="3" t="str">
        <f>IFERROR(MID(VLOOKUP($B481,Seqs!$A:$B,2,0),AK481,1),"")</f>
        <v>A</v>
      </c>
      <c r="AK481" s="3">
        <v>406</v>
      </c>
      <c r="AL481" s="3" t="str">
        <f>IFERROR(MID(VLOOKUP($B481,Seqs!$A:$B,2,0),AM481,1),"")</f>
        <v>S</v>
      </c>
      <c r="AM481" s="3">
        <v>428</v>
      </c>
      <c r="AN481" s="3" t="str">
        <f>IFERROR(MID(VLOOKUP($B481,Seqs!$A:$B,2,0),AO481,1),"")</f>
        <v>S</v>
      </c>
      <c r="AO481" s="3">
        <v>438</v>
      </c>
      <c r="AP481" s="3" t="str">
        <f>IFERROR(MID(VLOOKUP($B481,Seqs!$A:$B,2,0),AQ481,1),"")</f>
        <v>V</v>
      </c>
      <c r="AQ481" s="3">
        <v>494</v>
      </c>
      <c r="AR481" s="3" t="str">
        <f>IFERROR(MID(VLOOKUP($B481,Seqs!$A:$B,2,0),AS481,1),"")</f>
        <v>L</v>
      </c>
      <c r="AS481" s="3">
        <v>516</v>
      </c>
      <c r="AT481" s="3" t="str">
        <f>IFERROR(MID(VLOOKUP($B481,Seqs!$A:$B,2,0),AU481,1),"")</f>
        <v>W</v>
      </c>
      <c r="AU481" s="3">
        <v>537</v>
      </c>
      <c r="AV481" s="3" t="str">
        <f>IFERROR(MID(VLOOKUP($B481,Seqs!$A:$B,2,0),AW481,1),"")</f>
        <v>A</v>
      </c>
      <c r="AW481" s="3">
        <v>540</v>
      </c>
      <c r="AX481" s="3" t="str">
        <f>IFERROR(MID(VLOOKUP($B481,Seqs!$A:$B,2,0),AY481,1),"")</f>
        <v>L</v>
      </c>
      <c r="AY481" s="3">
        <v>552</v>
      </c>
      <c r="AZ481" s="78" t="str">
        <f>VLOOKUP(B481,Classification!A:D,2,0)</f>
        <v>F</v>
      </c>
      <c r="BA481" s="94" t="str">
        <f>VLOOKUP(B481,Classification!A:D,4,0)</f>
        <v>Frizzled</v>
      </c>
      <c r="BB481" s="92" t="b">
        <f t="shared" si="4418"/>
        <v>1</v>
      </c>
      <c r="BC481" s="23">
        <f t="shared" si="4419"/>
        <v>232</v>
      </c>
      <c r="BD481" s="74" t="s">
        <v>1371</v>
      </c>
      <c r="BE481" s="3" t="s">
        <v>1287</v>
      </c>
      <c r="BF481" s="118">
        <v>3.84</v>
      </c>
      <c r="BG481" s="49" t="s">
        <v>1418</v>
      </c>
      <c r="BH481" s="49" t="s">
        <v>1418</v>
      </c>
      <c r="BJ481" s="75" t="s">
        <v>1283</v>
      </c>
      <c r="BK481" s="57" t="s">
        <v>1283</v>
      </c>
      <c r="BL481" s="57" t="s">
        <v>1283</v>
      </c>
      <c r="BM481" s="57" t="s">
        <v>1283</v>
      </c>
      <c r="BN481" s="57" t="s">
        <v>1283</v>
      </c>
      <c r="BO481" s="57" t="s">
        <v>1283</v>
      </c>
      <c r="BP481" s="57" t="s">
        <v>1283</v>
      </c>
      <c r="BQ481" s="57" t="s">
        <v>1283</v>
      </c>
      <c r="BR481" s="57" t="s">
        <v>1283</v>
      </c>
      <c r="BS481" s="57" t="s">
        <v>1283</v>
      </c>
      <c r="BT481" s="57" t="s">
        <v>1283</v>
      </c>
      <c r="BU481" s="57" t="s">
        <v>1283</v>
      </c>
      <c r="BV481" s="75">
        <f t="shared" si="4420"/>
        <v>223</v>
      </c>
      <c r="BW481" s="71">
        <f t="shared" si="4421"/>
        <v>256</v>
      </c>
      <c r="BX481" s="72">
        <f t="shared" si="4422"/>
        <v>263</v>
      </c>
      <c r="BY481" s="71" t="str">
        <f t="shared" si="4423"/>
        <v>-</v>
      </c>
      <c r="BZ481" s="72">
        <f t="shared" si="4424"/>
        <v>314</v>
      </c>
      <c r="CA481" s="71" t="str">
        <f t="shared" si="4425"/>
        <v>-</v>
      </c>
      <c r="CB481" s="72">
        <f t="shared" si="4426"/>
        <v>356</v>
      </c>
      <c r="CC481" s="71">
        <f t="shared" si="4427"/>
        <v>390</v>
      </c>
      <c r="CD481" s="72">
        <f t="shared" si="4428"/>
        <v>406</v>
      </c>
      <c r="CE481" s="71">
        <f t="shared" si="4429"/>
        <v>438</v>
      </c>
      <c r="CF481" s="72">
        <f t="shared" si="4430"/>
        <v>516</v>
      </c>
      <c r="CG481" s="71">
        <f t="shared" si="4431"/>
        <v>540</v>
      </c>
      <c r="CH481" s="75">
        <f t="shared" si="4432"/>
        <v>255</v>
      </c>
      <c r="CI481" s="71">
        <f t="shared" si="4433"/>
        <v>260</v>
      </c>
      <c r="CJ481" s="72">
        <f t="shared" si="4434"/>
        <v>283</v>
      </c>
      <c r="CK481" s="72" t="str">
        <f t="shared" si="4435"/>
        <v>-</v>
      </c>
      <c r="CL481" s="72">
        <f t="shared" si="4436"/>
        <v>345</v>
      </c>
      <c r="CM481" s="72" t="str">
        <f t="shared" si="4437"/>
        <v>-</v>
      </c>
      <c r="CN481" s="72">
        <f t="shared" si="4438"/>
        <v>376</v>
      </c>
      <c r="CO481" s="72">
        <f t="shared" si="4439"/>
        <v>392</v>
      </c>
      <c r="CP481" s="72">
        <f t="shared" si="4440"/>
        <v>428</v>
      </c>
      <c r="CQ481" s="72">
        <f t="shared" si="4441"/>
        <v>494</v>
      </c>
      <c r="CR481" s="72">
        <f t="shared" si="4442"/>
        <v>537</v>
      </c>
      <c r="CS481" s="72">
        <f t="shared" si="4443"/>
        <v>552</v>
      </c>
      <c r="CT481" s="23">
        <f t="shared" si="4444"/>
        <v>3</v>
      </c>
    </row>
    <row r="482" spans="1:98" x14ac:dyDescent="0.2">
      <c r="A482" s="3" t="str">
        <f t="shared" ref="A482:A483" si="4445">CONCATENATE(B482,"_",C482)</f>
        <v>smo_mouse__wt</v>
      </c>
      <c r="B482" s="3" t="s">
        <v>1590</v>
      </c>
      <c r="C482" s="3" t="s">
        <v>100</v>
      </c>
      <c r="D482" s="3" t="str">
        <f>IFERROR(MID(VLOOKUP($B482,Seqs!$A:$B,2,0),E482,1),"")</f>
        <v>T</v>
      </c>
      <c r="E482" s="3">
        <v>227</v>
      </c>
      <c r="F482" s="3" t="str">
        <f>IFERROR(MID(VLOOKUP($B482,Seqs!$A:$B,2,0),G482,1),"")</f>
        <v>D</v>
      </c>
      <c r="G482" s="3">
        <v>259</v>
      </c>
      <c r="H482" s="3" t="str">
        <f>IFERROR(MID(VLOOKUP($B482,Seqs!$A:$B,2,0),I482,1),"")</f>
        <v>W</v>
      </c>
      <c r="I482" s="23">
        <v>260</v>
      </c>
      <c r="J482" s="3" t="str">
        <f>IFERROR(MID(VLOOKUP($B482,Seqs!$A:$B,2,0),K482,1),"")</f>
        <v>N</v>
      </c>
      <c r="K482" s="23">
        <v>264</v>
      </c>
      <c r="L482" s="3" t="str">
        <f>IFERROR(MID(VLOOKUP($B482,Seqs!$A:$B,2,0),M482,1),"")</f>
        <v>R</v>
      </c>
      <c r="M482" s="3">
        <v>265</v>
      </c>
      <c r="N482" s="3" t="str">
        <f>IFERROR(MID(VLOOKUP($B482,Seqs!$A:$B,2,0),O482,1),"")</f>
        <v>F</v>
      </c>
      <c r="O482" s="3">
        <v>289</v>
      </c>
      <c r="P482" s="3" t="str">
        <f>IFERROR(MID(VLOOKUP($B482,Seqs!$A:$B,2,0),Q482,1),"")</f>
        <v/>
      </c>
      <c r="Q482" s="3" t="s">
        <v>23</v>
      </c>
      <c r="R482" s="3" t="str">
        <f>IFERROR(MID(VLOOKUP($B482,Seqs!$A:$B,2,0),S482,1),"")</f>
        <v/>
      </c>
      <c r="S482" s="3" t="s">
        <v>23</v>
      </c>
      <c r="T482" s="3" t="str">
        <f>IFERROR(MID(VLOOKUP($B482,Seqs!$A:$B,2,0),U482,1),"")</f>
        <v>L</v>
      </c>
      <c r="U482" s="3">
        <v>316</v>
      </c>
      <c r="V482" s="3" t="str">
        <f>IFERROR(MID(VLOOKUP($B482,Seqs!$A:$B,2,0),W482,1),"")</f>
        <v>A</v>
      </c>
      <c r="W482" s="3">
        <v>349</v>
      </c>
      <c r="X482" s="3" t="str">
        <f>IFERROR(MID(VLOOKUP($B482,Seqs!$A:$B,2,0),Y482,1),"")</f>
        <v/>
      </c>
      <c r="Y482" s="3" t="s">
        <v>23</v>
      </c>
      <c r="Z482" s="3" t="str">
        <f>IFERROR(MID(VLOOKUP($B482,Seqs!$A:$B,2,0),AA482,1),"")</f>
        <v/>
      </c>
      <c r="AA482" s="3" t="s">
        <v>23</v>
      </c>
      <c r="AB482" s="3" t="str">
        <f>IFERROR(MID(VLOOKUP($B482,Seqs!$A:$B,2,0),AC482,1),"")</f>
        <v>K</v>
      </c>
      <c r="AC482" s="3">
        <v>360</v>
      </c>
      <c r="AD482" s="3" t="str">
        <f>IFERROR(MID(VLOOKUP($B482,Seqs!$A:$B,2,0),AE482,1),"")</f>
        <v>A</v>
      </c>
      <c r="AE482" s="3">
        <v>383</v>
      </c>
      <c r="AF482" s="3" t="str">
        <f>IFERROR(MID(VLOOKUP($B482,Seqs!$A:$B,2,0),AG482,1),"")</f>
        <v>C</v>
      </c>
      <c r="AG482" s="3">
        <v>394</v>
      </c>
      <c r="AH482" s="3" t="str">
        <f>IFERROR(MID(VLOOKUP($B482,Seqs!$A:$B,2,0),AI482,1),"")</f>
        <v>V</v>
      </c>
      <c r="AI482" s="3">
        <v>396</v>
      </c>
      <c r="AJ482" s="3" t="str">
        <f>IFERROR(MID(VLOOKUP($B482,Seqs!$A:$B,2,0),AK482,1),"")</f>
        <v>N</v>
      </c>
      <c r="AK482" s="3">
        <v>400</v>
      </c>
      <c r="AL482" s="3" t="str">
        <f>IFERROR(MID(VLOOKUP($B482,Seqs!$A:$B,2,0),AM482,1),"")</f>
        <v>H</v>
      </c>
      <c r="AM482" s="3">
        <v>437</v>
      </c>
      <c r="AN482" s="3" t="str">
        <f>IFERROR(MID(VLOOKUP($B482,Seqs!$A:$B,2,0),AO482,1),"")</f>
        <v>S</v>
      </c>
      <c r="AO482" s="3">
        <v>442</v>
      </c>
      <c r="AP482" s="3" t="str">
        <f>IFERROR(MID(VLOOKUP($B482,Seqs!$A:$B,2,0),AQ482,1),"")</f>
        <v>I</v>
      </c>
      <c r="AQ482" s="3">
        <v>500</v>
      </c>
      <c r="AR482" s="3" t="str">
        <f>IFERROR(MID(VLOOKUP($B482,Seqs!$A:$B,2,0),AS482,1),"")</f>
        <v>S</v>
      </c>
      <c r="AS482" s="3">
        <v>518</v>
      </c>
      <c r="AT482" s="3" t="str">
        <f>IFERROR(MID(VLOOKUP($B482,Seqs!$A:$B,2,0),AU482,1),"")</f>
        <v>W</v>
      </c>
      <c r="AU482" s="3">
        <v>541</v>
      </c>
      <c r="AV482" s="3" t="str">
        <f>IFERROR(MID(VLOOKUP($B482,Seqs!$A:$B,2,0),AW482,1),"")</f>
        <v>T</v>
      </c>
      <c r="AW482" s="3">
        <v>542</v>
      </c>
      <c r="AX482" s="3" t="str">
        <f>IFERROR(MID(VLOOKUP($B482,Seqs!$A:$B,2,0),AY482,1),"")</f>
        <v>T</v>
      </c>
      <c r="AY482" s="3">
        <v>557</v>
      </c>
      <c r="AZ482" s="78" t="str">
        <f>VLOOKUP(B482,Classification!A:D,2,0)</f>
        <v>F</v>
      </c>
      <c r="BA482" s="94" t="str">
        <f>VLOOKUP(B482,Classification!A:D,4,0)</f>
        <v>Frizzled</v>
      </c>
      <c r="BB482" s="92" t="b">
        <f t="shared" ref="BB482:BB483" si="4446">AND(E482&lt;G482,OR(G482&lt;I482,I482="-"),OR(I482&lt;K482,I482="-"),OR(K482&lt;M482,K482="-"),M482&lt;O482,OR(O482&lt;Q482,Q482="-"),OR(Q482&lt;S482,Q482="-"),OR(S482&lt;U482,S482="-"),U482&lt;W482,OR(W482&lt;Y482,Y482="-"),OR(Y482&lt;AA482,Y482="-"),OR(AA482&lt;AC482,AA482="-"),AC482&lt;AE482,OR(AE482&lt;AG482,AG482="-"),OR(AG482&lt;AI482,AG482="-"),OR(AI482&lt;AK482,AI482="-"),AK482&lt;AM482,AM482&lt;AO482,AO482&lt;AQ482,AQ482&lt;AS482,AS482&lt;AU482,OR(AU482&lt;AW482,AW482="-"),OR(AW482&lt;AY482,AW482="-"))</f>
        <v>1</v>
      </c>
      <c r="BC482" s="23">
        <f t="shared" ref="BC482:BC483" si="4447">_xlfn.AGGREGATE(9,6,CH482:CS482)-_xlfn.AGGREGATE(9,6,BV482:CG482)+12</f>
        <v>263</v>
      </c>
      <c r="BD482" s="74" t="s">
        <v>23</v>
      </c>
      <c r="BE482" s="3" t="s">
        <v>1287</v>
      </c>
      <c r="BF482" s="118">
        <v>4.84</v>
      </c>
      <c r="BG482" s="49" t="s">
        <v>1418</v>
      </c>
      <c r="BH482" s="49" t="s">
        <v>1418</v>
      </c>
      <c r="BJ482" s="75" t="s">
        <v>1283</v>
      </c>
      <c r="BK482" s="57" t="s">
        <v>1283</v>
      </c>
      <c r="BL482" s="57" t="s">
        <v>1283</v>
      </c>
      <c r="BM482" s="57" t="s">
        <v>1283</v>
      </c>
      <c r="BN482" s="57" t="s">
        <v>1283</v>
      </c>
      <c r="BO482" s="57" t="s">
        <v>1283</v>
      </c>
      <c r="BP482" s="57" t="s">
        <v>1283</v>
      </c>
      <c r="BQ482" s="57" t="s">
        <v>1283</v>
      </c>
      <c r="BR482" s="57" t="s">
        <v>1283</v>
      </c>
      <c r="BS482" s="57" t="s">
        <v>1283</v>
      </c>
      <c r="BT482" s="57" t="s">
        <v>1283</v>
      </c>
      <c r="BU482" s="57" t="s">
        <v>1283</v>
      </c>
      <c r="BV482" s="75">
        <f t="shared" ref="BV482:BV483" si="4448">E482</f>
        <v>227</v>
      </c>
      <c r="BW482" s="71">
        <f t="shared" ref="BW482:BW483" si="4449">I482</f>
        <v>260</v>
      </c>
      <c r="BX482" s="72">
        <f t="shared" ref="BX482:BX483" si="4450">M482</f>
        <v>265</v>
      </c>
      <c r="BY482" s="71" t="str">
        <f t="shared" ref="BY482:BY483" si="4451">Q482</f>
        <v>-</v>
      </c>
      <c r="BZ482" s="72">
        <f t="shared" ref="BZ482:BZ483" si="4452">U482</f>
        <v>316</v>
      </c>
      <c r="CA482" s="71" t="str">
        <f t="shared" ref="CA482:CA483" si="4453">Y482</f>
        <v>-</v>
      </c>
      <c r="CB482" s="72">
        <f t="shared" ref="CB482:CB483" si="4454">AC482</f>
        <v>360</v>
      </c>
      <c r="CC482" s="71">
        <f t="shared" ref="CC482:CC483" si="4455">AG482</f>
        <v>394</v>
      </c>
      <c r="CD482" s="72">
        <f t="shared" ref="CD482:CD483" si="4456">AK482</f>
        <v>400</v>
      </c>
      <c r="CE482" s="71">
        <f t="shared" ref="CE482:CE483" si="4457">AO482</f>
        <v>442</v>
      </c>
      <c r="CF482" s="72">
        <f t="shared" ref="CF482:CF483" si="4458">AS482</f>
        <v>518</v>
      </c>
      <c r="CG482" s="71">
        <f t="shared" ref="CG482:CG483" si="4459">AW482</f>
        <v>542</v>
      </c>
      <c r="CH482" s="75">
        <f t="shared" ref="CH482:CH483" si="4460">G482</f>
        <v>259</v>
      </c>
      <c r="CI482" s="71">
        <f t="shared" ref="CI482:CI483" si="4461">K482</f>
        <v>264</v>
      </c>
      <c r="CJ482" s="72">
        <f t="shared" ref="CJ482:CJ483" si="4462">O482</f>
        <v>289</v>
      </c>
      <c r="CK482" s="72" t="str">
        <f t="shared" ref="CK482:CK483" si="4463">S482</f>
        <v>-</v>
      </c>
      <c r="CL482" s="72">
        <f t="shared" ref="CL482:CL483" si="4464">W482</f>
        <v>349</v>
      </c>
      <c r="CM482" s="72" t="str">
        <f t="shared" ref="CM482:CM483" si="4465">AA482</f>
        <v>-</v>
      </c>
      <c r="CN482" s="72">
        <f t="shared" ref="CN482:CN483" si="4466">AE482</f>
        <v>383</v>
      </c>
      <c r="CO482" s="72">
        <f t="shared" ref="CO482:CO483" si="4467">AI482</f>
        <v>396</v>
      </c>
      <c r="CP482" s="72">
        <f t="shared" ref="CP482:CP483" si="4468">AM482</f>
        <v>437</v>
      </c>
      <c r="CQ482" s="72">
        <f t="shared" ref="CQ482:CQ483" si="4469">AQ482</f>
        <v>500</v>
      </c>
      <c r="CR482" s="72">
        <f t="shared" ref="CR482:CR483" si="4470">AU482</f>
        <v>541</v>
      </c>
      <c r="CS482" s="72">
        <f t="shared" ref="CS482:CS483" si="4471">AY482</f>
        <v>557</v>
      </c>
      <c r="CT482" s="23">
        <f t="shared" ref="CT482:CT483" si="4472">M482-K482</f>
        <v>1</v>
      </c>
    </row>
    <row r="483" spans="1:98" x14ac:dyDescent="0.2">
      <c r="A483" s="3" t="str">
        <f t="shared" si="4445"/>
        <v>smo_mouse_6O3C</v>
      </c>
      <c r="B483" s="3" t="s">
        <v>1590</v>
      </c>
      <c r="C483" s="3" t="s">
        <v>1591</v>
      </c>
      <c r="D483" s="3" t="str">
        <f>IFERROR(MID(VLOOKUP($B483,Seqs!$A:$B,2,0),E483,1),"")</f>
        <v>T</v>
      </c>
      <c r="E483" s="3">
        <v>227</v>
      </c>
      <c r="F483" s="3" t="str">
        <f>IFERROR(MID(VLOOKUP($B483,Seqs!$A:$B,2,0),G483,1),"")</f>
        <v>D</v>
      </c>
      <c r="G483" s="3">
        <v>259</v>
      </c>
      <c r="H483" s="3" t="str">
        <f>IFERROR(MID(VLOOKUP($B483,Seqs!$A:$B,2,0),I483,1),"")</f>
        <v>W</v>
      </c>
      <c r="I483" s="23">
        <v>260</v>
      </c>
      <c r="J483" s="3" t="str">
        <f>IFERROR(MID(VLOOKUP($B483,Seqs!$A:$B,2,0),K483,1),"")</f>
        <v>N</v>
      </c>
      <c r="K483" s="23">
        <v>264</v>
      </c>
      <c r="L483" s="3" t="str">
        <f>IFERROR(MID(VLOOKUP($B483,Seqs!$A:$B,2,0),M483,1),"")</f>
        <v>R</v>
      </c>
      <c r="M483" s="3">
        <v>265</v>
      </c>
      <c r="N483" s="3" t="str">
        <f>IFERROR(MID(VLOOKUP($B483,Seqs!$A:$B,2,0),O483,1),"")</f>
        <v>F</v>
      </c>
      <c r="O483" s="3">
        <v>289</v>
      </c>
      <c r="P483" s="3" t="str">
        <f>IFERROR(MID(VLOOKUP($B483,Seqs!$A:$B,2,0),Q483,1),"")</f>
        <v/>
      </c>
      <c r="Q483" s="3" t="s">
        <v>23</v>
      </c>
      <c r="R483" s="3" t="str">
        <f>IFERROR(MID(VLOOKUP($B483,Seqs!$A:$B,2,0),S483,1),"")</f>
        <v/>
      </c>
      <c r="S483" s="3" t="s">
        <v>23</v>
      </c>
      <c r="T483" s="3" t="str">
        <f>IFERROR(MID(VLOOKUP($B483,Seqs!$A:$B,2,0),U483,1),"")</f>
        <v>L</v>
      </c>
      <c r="U483" s="3">
        <v>316</v>
      </c>
      <c r="V483" s="3" t="str">
        <f>IFERROR(MID(VLOOKUP($B483,Seqs!$A:$B,2,0),W483,1),"")</f>
        <v>A</v>
      </c>
      <c r="W483" s="3">
        <v>349</v>
      </c>
      <c r="X483" s="3" t="str">
        <f>IFERROR(MID(VLOOKUP($B483,Seqs!$A:$B,2,0),Y483,1),"")</f>
        <v/>
      </c>
      <c r="Y483" s="3" t="s">
        <v>23</v>
      </c>
      <c r="Z483" s="3" t="str">
        <f>IFERROR(MID(VLOOKUP($B483,Seqs!$A:$B,2,0),AA483,1),"")</f>
        <v/>
      </c>
      <c r="AA483" s="3" t="s">
        <v>23</v>
      </c>
      <c r="AB483" s="3" t="str">
        <f>IFERROR(MID(VLOOKUP($B483,Seqs!$A:$B,2,0),AC483,1),"")</f>
        <v>K</v>
      </c>
      <c r="AC483" s="3">
        <v>360</v>
      </c>
      <c r="AD483" s="3" t="str">
        <f>IFERROR(MID(VLOOKUP($B483,Seqs!$A:$B,2,0),AE483,1),"")</f>
        <v>A</v>
      </c>
      <c r="AE483" s="3">
        <v>383</v>
      </c>
      <c r="AF483" s="3" t="str">
        <f>IFERROR(MID(VLOOKUP($B483,Seqs!$A:$B,2,0),AG483,1),"")</f>
        <v>C</v>
      </c>
      <c r="AG483" s="3">
        <v>394</v>
      </c>
      <c r="AH483" s="3" t="str">
        <f>IFERROR(MID(VLOOKUP($B483,Seqs!$A:$B,2,0),AI483,1),"")</f>
        <v>V</v>
      </c>
      <c r="AI483" s="3">
        <v>396</v>
      </c>
      <c r="AJ483" s="3" t="str">
        <f>IFERROR(MID(VLOOKUP($B483,Seqs!$A:$B,2,0),AK483,1),"")</f>
        <v>N</v>
      </c>
      <c r="AK483" s="3">
        <v>400</v>
      </c>
      <c r="AL483" s="3" t="str">
        <f>IFERROR(MID(VLOOKUP($B483,Seqs!$A:$B,2,0),AM483,1),"")</f>
        <v>H</v>
      </c>
      <c r="AM483" s="3">
        <v>437</v>
      </c>
      <c r="AN483" s="3" t="str">
        <f>IFERROR(MID(VLOOKUP($B483,Seqs!$A:$B,2,0),AO483,1),"")</f>
        <v>S</v>
      </c>
      <c r="AO483" s="3">
        <v>442</v>
      </c>
      <c r="AP483" s="3" t="str">
        <f>IFERROR(MID(VLOOKUP($B483,Seqs!$A:$B,2,0),AQ483,1),"")</f>
        <v>T</v>
      </c>
      <c r="AQ483" s="3">
        <v>499</v>
      </c>
      <c r="AR483" s="3" t="str">
        <f>IFERROR(MID(VLOOKUP($B483,Seqs!$A:$B,2,0),AS483,1),"")</f>
        <v>S</v>
      </c>
      <c r="AS483" s="3">
        <v>518</v>
      </c>
      <c r="AT483" s="3" t="str">
        <f>IFERROR(MID(VLOOKUP($B483,Seqs!$A:$B,2,0),AU483,1),"")</f>
        <v>W</v>
      </c>
      <c r="AU483" s="3">
        <v>541</v>
      </c>
      <c r="AV483" s="3" t="str">
        <f>IFERROR(MID(VLOOKUP($B483,Seqs!$A:$B,2,0),AW483,1),"")</f>
        <v>T</v>
      </c>
      <c r="AW483" s="3">
        <v>542</v>
      </c>
      <c r="AX483" s="3" t="str">
        <f>IFERROR(MID(VLOOKUP($B483,Seqs!$A:$B,2,0),AY483,1),"")</f>
        <v>R</v>
      </c>
      <c r="AY483" s="3">
        <v>555</v>
      </c>
      <c r="AZ483" s="78" t="str">
        <f>VLOOKUP(B483,Classification!A:D,2,0)</f>
        <v>F</v>
      </c>
      <c r="BA483" s="94" t="str">
        <f>VLOOKUP(B483,Classification!A:D,4,0)</f>
        <v>Frizzled</v>
      </c>
      <c r="BB483" s="92" t="b">
        <f t="shared" si="4446"/>
        <v>1</v>
      </c>
      <c r="BC483" s="23">
        <f t="shared" si="4447"/>
        <v>260</v>
      </c>
      <c r="BD483" s="74" t="s">
        <v>23</v>
      </c>
      <c r="BE483" s="3" t="s">
        <v>1287</v>
      </c>
      <c r="BF483" s="118">
        <v>5.84</v>
      </c>
      <c r="BG483" s="49" t="s">
        <v>1418</v>
      </c>
      <c r="BH483" s="49" t="s">
        <v>1418</v>
      </c>
      <c r="BJ483" s="75" t="s">
        <v>1283</v>
      </c>
      <c r="BK483" s="57" t="s">
        <v>1283</v>
      </c>
      <c r="BL483" s="57" t="s">
        <v>1283</v>
      </c>
      <c r="BM483" s="57" t="s">
        <v>1283</v>
      </c>
      <c r="BN483" s="57" t="s">
        <v>1283</v>
      </c>
      <c r="BO483" s="57" t="s">
        <v>1283</v>
      </c>
      <c r="BP483" s="57" t="s">
        <v>1283</v>
      </c>
      <c r="BQ483" s="57" t="s">
        <v>1283</v>
      </c>
      <c r="BR483" s="57" t="s">
        <v>1283</v>
      </c>
      <c r="BS483" s="57" t="s">
        <v>1283</v>
      </c>
      <c r="BT483" s="57" t="s">
        <v>1283</v>
      </c>
      <c r="BU483" s="57" t="s">
        <v>1283</v>
      </c>
      <c r="BV483" s="75">
        <f t="shared" si="4448"/>
        <v>227</v>
      </c>
      <c r="BW483" s="71">
        <f t="shared" si="4449"/>
        <v>260</v>
      </c>
      <c r="BX483" s="72">
        <f t="shared" si="4450"/>
        <v>265</v>
      </c>
      <c r="BY483" s="71" t="str">
        <f t="shared" si="4451"/>
        <v>-</v>
      </c>
      <c r="BZ483" s="72">
        <f t="shared" si="4452"/>
        <v>316</v>
      </c>
      <c r="CA483" s="71" t="str">
        <f t="shared" si="4453"/>
        <v>-</v>
      </c>
      <c r="CB483" s="72">
        <f t="shared" si="4454"/>
        <v>360</v>
      </c>
      <c r="CC483" s="71">
        <f t="shared" si="4455"/>
        <v>394</v>
      </c>
      <c r="CD483" s="72">
        <f t="shared" si="4456"/>
        <v>400</v>
      </c>
      <c r="CE483" s="71">
        <f t="shared" si="4457"/>
        <v>442</v>
      </c>
      <c r="CF483" s="72">
        <f t="shared" si="4458"/>
        <v>518</v>
      </c>
      <c r="CG483" s="71">
        <f t="shared" si="4459"/>
        <v>542</v>
      </c>
      <c r="CH483" s="75">
        <f t="shared" si="4460"/>
        <v>259</v>
      </c>
      <c r="CI483" s="71">
        <f t="shared" si="4461"/>
        <v>264</v>
      </c>
      <c r="CJ483" s="72">
        <f t="shared" si="4462"/>
        <v>289</v>
      </c>
      <c r="CK483" s="72" t="str">
        <f t="shared" si="4463"/>
        <v>-</v>
      </c>
      <c r="CL483" s="72">
        <f t="shared" si="4464"/>
        <v>349</v>
      </c>
      <c r="CM483" s="72" t="str">
        <f t="shared" si="4465"/>
        <v>-</v>
      </c>
      <c r="CN483" s="72">
        <f t="shared" si="4466"/>
        <v>383</v>
      </c>
      <c r="CO483" s="72">
        <f t="shared" si="4467"/>
        <v>396</v>
      </c>
      <c r="CP483" s="72">
        <f t="shared" si="4468"/>
        <v>437</v>
      </c>
      <c r="CQ483" s="72">
        <f t="shared" si="4469"/>
        <v>499</v>
      </c>
      <c r="CR483" s="72">
        <f t="shared" si="4470"/>
        <v>541</v>
      </c>
      <c r="CS483" s="72">
        <f t="shared" si="4471"/>
        <v>555</v>
      </c>
      <c r="CT483" s="23">
        <f t="shared" si="4472"/>
        <v>1</v>
      </c>
    </row>
    <row r="484" spans="1:98" x14ac:dyDescent="0.2">
      <c r="A484" s="3" t="str">
        <f t="shared" si="4417"/>
        <v>q98sw5_xenla__wt</v>
      </c>
      <c r="B484" s="3" t="s">
        <v>1491</v>
      </c>
      <c r="C484" s="3" t="s">
        <v>100</v>
      </c>
      <c r="D484" s="3" t="str">
        <f>IFERROR(MID(VLOOKUP($B484,Seqs!$A:$B,2,0),E484,1),"")</f>
        <v>T</v>
      </c>
      <c r="E484" s="3">
        <v>196</v>
      </c>
      <c r="F484" s="3" t="str">
        <f>IFERROR(MID(VLOOKUP($B484,Seqs!$A:$B,2,0),G484,1),"")</f>
        <v>D</v>
      </c>
      <c r="G484" s="3">
        <v>228</v>
      </c>
      <c r="H484" s="3" t="str">
        <f>IFERROR(MID(VLOOKUP($B484,Seqs!$A:$B,2,0),I484,1),"")</f>
        <v>W</v>
      </c>
      <c r="I484" s="23">
        <v>229</v>
      </c>
      <c r="J484" s="3" t="str">
        <f>IFERROR(MID(VLOOKUP($B484,Seqs!$A:$B,2,0),K484,1),"")</f>
        <v>N</v>
      </c>
      <c r="K484" s="23">
        <v>233</v>
      </c>
      <c r="L484" s="3" t="str">
        <f>IFERROR(MID(VLOOKUP($B484,Seqs!$A:$B,2,0),M484,1),"")</f>
        <v>R</v>
      </c>
      <c r="M484" s="3">
        <v>234</v>
      </c>
      <c r="N484" s="3" t="str">
        <f>IFERROR(MID(VLOOKUP($B484,Seqs!$A:$B,2,0),O484,1),"")</f>
        <v>A</v>
      </c>
      <c r="O484" s="3">
        <v>256</v>
      </c>
      <c r="P484" s="3" t="str">
        <f>IFERROR(MID(VLOOKUP($B484,Seqs!$A:$B,2,0),Q484,1),"")</f>
        <v/>
      </c>
      <c r="Q484" s="3" t="s">
        <v>23</v>
      </c>
      <c r="R484" s="3" t="str">
        <f>IFERROR(MID(VLOOKUP($B484,Seqs!$A:$B,2,0),S484,1),"")</f>
        <v/>
      </c>
      <c r="S484" s="3" t="s">
        <v>23</v>
      </c>
      <c r="T484" s="3" t="str">
        <f>IFERROR(MID(VLOOKUP($B484,Seqs!$A:$B,2,0),U484,1),"")</f>
        <v>L</v>
      </c>
      <c r="U484" s="3">
        <v>285</v>
      </c>
      <c r="V484" s="3" t="str">
        <f>IFERROR(MID(VLOOKUP($B484,Seqs!$A:$B,2,0),W484,1),"")</f>
        <v>T</v>
      </c>
      <c r="W484" s="3">
        <v>321</v>
      </c>
      <c r="X484" s="3" t="str">
        <f>IFERROR(MID(VLOOKUP($B484,Seqs!$A:$B,2,0),Y484,1),"")</f>
        <v/>
      </c>
      <c r="Y484" s="3" t="s">
        <v>23</v>
      </c>
      <c r="Z484" s="3" t="str">
        <f>IFERROR(MID(VLOOKUP($B484,Seqs!$A:$B,2,0),AA484,1),"")</f>
        <v/>
      </c>
      <c r="AA484" s="3" t="s">
        <v>23</v>
      </c>
      <c r="AB484" s="3" t="str">
        <f>IFERROR(MID(VLOOKUP($B484,Seqs!$A:$B,2,0),AC484,1),"")</f>
        <v>L</v>
      </c>
      <c r="AC484" s="3">
        <v>326</v>
      </c>
      <c r="AD484" s="3" t="str">
        <f>IFERROR(MID(VLOOKUP($B484,Seqs!$A:$B,2,0),AE484,1),"")</f>
        <v>V</v>
      </c>
      <c r="AE484" s="3">
        <v>351</v>
      </c>
      <c r="AF484" s="3" t="str">
        <f>IFERROR(MID(VLOOKUP($B484,Seqs!$A:$B,2,0),AG484,1),"")</f>
        <v>C</v>
      </c>
      <c r="AG484" s="3">
        <v>363</v>
      </c>
      <c r="AH484" s="3" t="str">
        <f>IFERROR(MID(VLOOKUP($B484,Seqs!$A:$B,2,0),AI484,1),"")</f>
        <v>V</v>
      </c>
      <c r="AI484" s="3">
        <v>365</v>
      </c>
      <c r="AJ484" s="3" t="str">
        <f>IFERROR(MID(VLOOKUP($B484,Seqs!$A:$B,2,0),AK484,1),"")</f>
        <v>N</v>
      </c>
      <c r="AK484" s="3">
        <v>369</v>
      </c>
      <c r="AL484" s="3" t="str">
        <f>IFERROR(MID(VLOOKUP($B484,Seqs!$A:$B,2,0),AM484,1),"")</f>
        <v>H</v>
      </c>
      <c r="AM484" s="3">
        <v>406</v>
      </c>
      <c r="AN484" s="3" t="str">
        <f>IFERROR(MID(VLOOKUP($B484,Seqs!$A:$B,2,0),AO484,1),"")</f>
        <v>A</v>
      </c>
      <c r="AO484" s="3">
        <v>415</v>
      </c>
      <c r="AP484" s="3" t="str">
        <f>IFERROR(MID(VLOOKUP($B484,Seqs!$A:$B,2,0),AQ484,1),"")</f>
        <v>Q</v>
      </c>
      <c r="AQ484" s="3">
        <v>472</v>
      </c>
      <c r="AR484" s="3" t="str">
        <f>IFERROR(MID(VLOOKUP($B484,Seqs!$A:$B,2,0),AS484,1),"")</f>
        <v>S</v>
      </c>
      <c r="AS484" s="3">
        <v>487</v>
      </c>
      <c r="AT484" s="3" t="str">
        <f>IFERROR(MID(VLOOKUP($B484,Seqs!$A:$B,2,0),AU484,1),"")</f>
        <v>W</v>
      </c>
      <c r="AU484" s="3">
        <v>510</v>
      </c>
      <c r="AV484" s="3" t="str">
        <f>IFERROR(MID(VLOOKUP($B484,Seqs!$A:$B,2,0),AW484,1),"")</f>
        <v>T</v>
      </c>
      <c r="AW484" s="3">
        <v>511</v>
      </c>
      <c r="AX484" s="3" t="str">
        <f>IFERROR(MID(VLOOKUP($B484,Seqs!$A:$B,2,0),AY484,1),"")</f>
        <v>L</v>
      </c>
      <c r="AY484" s="3">
        <v>526</v>
      </c>
      <c r="AZ484" s="78" t="str">
        <f>VLOOKUP(B484,Classification!A:D,2,0)</f>
        <v>F</v>
      </c>
      <c r="BA484" s="94" t="str">
        <f>VLOOKUP(B484,Classification!A:D,4,0)</f>
        <v>Frizzled</v>
      </c>
      <c r="BB484" s="92" t="b">
        <f t="shared" si="4418"/>
        <v>1</v>
      </c>
      <c r="BC484" s="23">
        <f t="shared" si="4419"/>
        <v>265</v>
      </c>
      <c r="BD484" s="74" t="s">
        <v>23</v>
      </c>
      <c r="BE484" s="3" t="s">
        <v>1370</v>
      </c>
      <c r="BF484" s="118" t="s">
        <v>23</v>
      </c>
      <c r="BG484" s="49" t="s">
        <v>1</v>
      </c>
      <c r="BH484" s="49" t="s">
        <v>1</v>
      </c>
      <c r="BJ484" s="75" t="s">
        <v>1283</v>
      </c>
      <c r="BK484" s="57" t="s">
        <v>1283</v>
      </c>
      <c r="BL484" s="57" t="s">
        <v>1283</v>
      </c>
      <c r="BM484" s="57" t="s">
        <v>1283</v>
      </c>
      <c r="BN484" s="57" t="s">
        <v>1283</v>
      </c>
      <c r="BO484" s="57" t="s">
        <v>1283</v>
      </c>
      <c r="BP484" s="57" t="s">
        <v>1283</v>
      </c>
      <c r="BQ484" s="57" t="s">
        <v>1283</v>
      </c>
      <c r="BR484" s="57" t="s">
        <v>1283</v>
      </c>
      <c r="BS484" s="57" t="s">
        <v>1283</v>
      </c>
      <c r="BT484" s="57" t="s">
        <v>1283</v>
      </c>
      <c r="BU484" s="57" t="s">
        <v>1283</v>
      </c>
      <c r="BV484" s="75">
        <f t="shared" si="4420"/>
        <v>196</v>
      </c>
      <c r="BW484" s="71">
        <f t="shared" si="4421"/>
        <v>229</v>
      </c>
      <c r="BX484" s="72">
        <f t="shared" si="4422"/>
        <v>234</v>
      </c>
      <c r="BY484" s="71" t="str">
        <f t="shared" si="4423"/>
        <v>-</v>
      </c>
      <c r="BZ484" s="72">
        <f t="shared" si="4424"/>
        <v>285</v>
      </c>
      <c r="CA484" s="71" t="str">
        <f t="shared" si="4425"/>
        <v>-</v>
      </c>
      <c r="CB484" s="72">
        <f t="shared" si="4426"/>
        <v>326</v>
      </c>
      <c r="CC484" s="71">
        <f t="shared" si="4427"/>
        <v>363</v>
      </c>
      <c r="CD484" s="72">
        <f t="shared" si="4428"/>
        <v>369</v>
      </c>
      <c r="CE484" s="71">
        <f t="shared" si="4429"/>
        <v>415</v>
      </c>
      <c r="CF484" s="72">
        <f t="shared" si="4430"/>
        <v>487</v>
      </c>
      <c r="CG484" s="71">
        <f t="shared" si="4431"/>
        <v>511</v>
      </c>
      <c r="CH484" s="75">
        <f t="shared" si="4432"/>
        <v>228</v>
      </c>
      <c r="CI484" s="71">
        <f t="shared" si="4433"/>
        <v>233</v>
      </c>
      <c r="CJ484" s="72">
        <f t="shared" si="4434"/>
        <v>256</v>
      </c>
      <c r="CK484" s="72" t="str">
        <f t="shared" si="4435"/>
        <v>-</v>
      </c>
      <c r="CL484" s="72">
        <f t="shared" si="4436"/>
        <v>321</v>
      </c>
      <c r="CM484" s="72" t="str">
        <f t="shared" si="4437"/>
        <v>-</v>
      </c>
      <c r="CN484" s="72">
        <f t="shared" si="4438"/>
        <v>351</v>
      </c>
      <c r="CO484" s="72">
        <f t="shared" si="4439"/>
        <v>365</v>
      </c>
      <c r="CP484" s="72">
        <f t="shared" si="4440"/>
        <v>406</v>
      </c>
      <c r="CQ484" s="72">
        <f t="shared" si="4441"/>
        <v>472</v>
      </c>
      <c r="CR484" s="72">
        <f t="shared" si="4442"/>
        <v>510</v>
      </c>
      <c r="CS484" s="72">
        <f t="shared" si="4443"/>
        <v>526</v>
      </c>
      <c r="CT484" s="23">
        <f t="shared" si="4444"/>
        <v>1</v>
      </c>
    </row>
    <row r="485" spans="1:98" x14ac:dyDescent="0.2">
      <c r="A485" s="3" t="str">
        <f t="shared" si="4417"/>
        <v>q98sw5_xenla_6D32</v>
      </c>
      <c r="B485" s="3" t="s">
        <v>1491</v>
      </c>
      <c r="C485" s="3" t="s">
        <v>1490</v>
      </c>
      <c r="D485" s="3" t="str">
        <f>IFERROR(MID(VLOOKUP($B485,Seqs!$A:$B,2,0),E485,1),"")</f>
        <v>T</v>
      </c>
      <c r="E485" s="3">
        <v>196</v>
      </c>
      <c r="F485" s="3" t="str">
        <f>IFERROR(MID(VLOOKUP($B485,Seqs!$A:$B,2,0),G485,1),"")</f>
        <v>D</v>
      </c>
      <c r="G485" s="3">
        <v>228</v>
      </c>
      <c r="H485" s="3" t="str">
        <f>IFERROR(MID(VLOOKUP($B485,Seqs!$A:$B,2,0),I485,1),"")</f>
        <v>W</v>
      </c>
      <c r="I485" s="23">
        <v>229</v>
      </c>
      <c r="J485" s="3" t="str">
        <f>IFERROR(MID(VLOOKUP($B485,Seqs!$A:$B,2,0),K485,1),"")</f>
        <v>N</v>
      </c>
      <c r="K485" s="23">
        <v>233</v>
      </c>
      <c r="L485" s="3" t="str">
        <f>IFERROR(MID(VLOOKUP($B485,Seqs!$A:$B,2,0),M485,1),"")</f>
        <v>R</v>
      </c>
      <c r="M485" s="3">
        <v>234</v>
      </c>
      <c r="N485" s="3" t="str">
        <f>IFERROR(MID(VLOOKUP($B485,Seqs!$A:$B,2,0),O485,1),"")</f>
        <v>A</v>
      </c>
      <c r="O485" s="3">
        <v>256</v>
      </c>
      <c r="P485" s="3" t="str">
        <f>IFERROR(MID(VLOOKUP($B485,Seqs!$A:$B,2,0),Q485,1),"")</f>
        <v/>
      </c>
      <c r="Q485" s="3" t="s">
        <v>23</v>
      </c>
      <c r="R485" s="3" t="str">
        <f>IFERROR(MID(VLOOKUP($B485,Seqs!$A:$B,2,0),S485,1),"")</f>
        <v/>
      </c>
      <c r="S485" s="3" t="s">
        <v>23</v>
      </c>
      <c r="T485" s="3" t="str">
        <f>IFERROR(MID(VLOOKUP($B485,Seqs!$A:$B,2,0),U485,1),"")</f>
        <v>L</v>
      </c>
      <c r="U485" s="3">
        <v>285</v>
      </c>
      <c r="V485" s="3" t="str">
        <f>IFERROR(MID(VLOOKUP($B485,Seqs!$A:$B,2,0),W485,1),"")</f>
        <v>K</v>
      </c>
      <c r="W485" s="3">
        <v>317</v>
      </c>
      <c r="X485" s="3" t="str">
        <f>IFERROR(MID(VLOOKUP($B485,Seqs!$A:$B,2,0),Y485,1),"")</f>
        <v/>
      </c>
      <c r="Y485" s="3" t="s">
        <v>23</v>
      </c>
      <c r="Z485" s="3" t="str">
        <f>IFERROR(MID(VLOOKUP($B485,Seqs!$A:$B,2,0),AA485,1),"")</f>
        <v/>
      </c>
      <c r="AA485" s="3" t="s">
        <v>23</v>
      </c>
      <c r="AB485" s="3" t="str">
        <f>IFERROR(MID(VLOOKUP($B485,Seqs!$A:$B,2,0),AC485,1),"")</f>
        <v>K</v>
      </c>
      <c r="AC485" s="3">
        <v>329</v>
      </c>
      <c r="AD485" s="3" t="str">
        <f>IFERROR(MID(VLOOKUP($B485,Seqs!$A:$B,2,0),AE485,1),"")</f>
        <v>V</v>
      </c>
      <c r="AE485" s="3">
        <v>351</v>
      </c>
      <c r="AF485" s="3" t="str">
        <f>IFERROR(MID(VLOOKUP($B485,Seqs!$A:$B,2,0),AG485,1),"")</f>
        <v>C</v>
      </c>
      <c r="AG485" s="3">
        <v>363</v>
      </c>
      <c r="AH485" s="3" t="str">
        <f>IFERROR(MID(VLOOKUP($B485,Seqs!$A:$B,2,0),AI485,1),"")</f>
        <v>V</v>
      </c>
      <c r="AI485" s="3">
        <v>365</v>
      </c>
      <c r="AJ485" s="3" t="str">
        <f>IFERROR(MID(VLOOKUP($B485,Seqs!$A:$B,2,0),AK485,1),"")</f>
        <v>N</v>
      </c>
      <c r="AK485" s="3">
        <v>369</v>
      </c>
      <c r="AL485" s="3" t="str">
        <f>IFERROR(MID(VLOOKUP($B485,Seqs!$A:$B,2,0),AM485,1),"")</f>
        <v>S</v>
      </c>
      <c r="AM485" s="3">
        <v>401</v>
      </c>
      <c r="AN485" s="3" t="str">
        <f>IFERROR(MID(VLOOKUP($B485,Seqs!$A:$B,2,0),AO485,1),"")</f>
        <v>S</v>
      </c>
      <c r="AO485" s="3">
        <v>416</v>
      </c>
      <c r="AP485" s="3" t="str">
        <f>IFERROR(MID(VLOOKUP($B485,Seqs!$A:$B,2,0),AQ485,1),"")</f>
        <v>Q</v>
      </c>
      <c r="AQ485" s="3">
        <v>472</v>
      </c>
      <c r="AR485" s="3" t="str">
        <f>IFERROR(MID(VLOOKUP($B485,Seqs!$A:$B,2,0),AS485,1),"")</f>
        <v>S</v>
      </c>
      <c r="AS485" s="3">
        <v>487</v>
      </c>
      <c r="AT485" s="3" t="str">
        <f>IFERROR(MID(VLOOKUP($B485,Seqs!$A:$B,2,0),AU485,1),"")</f>
        <v>W</v>
      </c>
      <c r="AU485" s="3">
        <v>510</v>
      </c>
      <c r="AV485" s="3" t="str">
        <f>IFERROR(MID(VLOOKUP($B485,Seqs!$A:$B,2,0),AW485,1),"")</f>
        <v>T</v>
      </c>
      <c r="AW485" s="3">
        <v>511</v>
      </c>
      <c r="AX485" s="3" t="str">
        <f>IFERROR(MID(VLOOKUP($B485,Seqs!$A:$B,2,0),AY485,1),"")</f>
        <v>R</v>
      </c>
      <c r="AY485" s="3">
        <v>520</v>
      </c>
      <c r="AZ485" s="78" t="str">
        <f>VLOOKUP(B485,Classification!A:D,2,0)</f>
        <v>F</v>
      </c>
      <c r="BA485" s="94" t="str">
        <f>VLOOKUP(B485,Classification!A:D,4,0)</f>
        <v>Frizzled</v>
      </c>
      <c r="BB485" s="92" t="b">
        <f t="shared" si="4418"/>
        <v>1</v>
      </c>
      <c r="BC485" s="23">
        <f t="shared" si="4419"/>
        <v>246</v>
      </c>
      <c r="BD485" s="74" t="s">
        <v>23</v>
      </c>
      <c r="BE485" s="3" t="s">
        <v>1370</v>
      </c>
      <c r="BF485" s="118">
        <v>3.7509999999999999</v>
      </c>
      <c r="BG485" s="49" t="s">
        <v>1</v>
      </c>
      <c r="BH485" s="49" t="s">
        <v>1</v>
      </c>
      <c r="BJ485" s="75" t="s">
        <v>1283</v>
      </c>
      <c r="BK485" s="57" t="s">
        <v>1283</v>
      </c>
      <c r="BL485" s="57" t="s">
        <v>1283</v>
      </c>
      <c r="BM485" s="57" t="s">
        <v>1283</v>
      </c>
      <c r="BN485" s="57" t="s">
        <v>1283</v>
      </c>
      <c r="BO485" s="57" t="s">
        <v>1283</v>
      </c>
      <c r="BP485" s="57" t="s">
        <v>1283</v>
      </c>
      <c r="BQ485" s="57" t="s">
        <v>1283</v>
      </c>
      <c r="BR485" s="57" t="s">
        <v>1283</v>
      </c>
      <c r="BS485" s="57" t="s">
        <v>1283</v>
      </c>
      <c r="BT485" s="57" t="s">
        <v>1283</v>
      </c>
      <c r="BU485" s="57" t="s">
        <v>1283</v>
      </c>
      <c r="BV485" s="75">
        <f t="shared" si="4420"/>
        <v>196</v>
      </c>
      <c r="BW485" s="71">
        <f t="shared" si="4421"/>
        <v>229</v>
      </c>
      <c r="BX485" s="72">
        <f t="shared" si="4422"/>
        <v>234</v>
      </c>
      <c r="BY485" s="71" t="str">
        <f t="shared" si="4423"/>
        <v>-</v>
      </c>
      <c r="BZ485" s="72">
        <f t="shared" si="4424"/>
        <v>285</v>
      </c>
      <c r="CA485" s="71" t="str">
        <f t="shared" si="4425"/>
        <v>-</v>
      </c>
      <c r="CB485" s="72">
        <f t="shared" si="4426"/>
        <v>329</v>
      </c>
      <c r="CC485" s="71">
        <f t="shared" si="4427"/>
        <v>363</v>
      </c>
      <c r="CD485" s="72">
        <f t="shared" si="4428"/>
        <v>369</v>
      </c>
      <c r="CE485" s="71">
        <f t="shared" si="4429"/>
        <v>416</v>
      </c>
      <c r="CF485" s="72">
        <f t="shared" si="4430"/>
        <v>487</v>
      </c>
      <c r="CG485" s="71">
        <f t="shared" si="4431"/>
        <v>511</v>
      </c>
      <c r="CH485" s="75">
        <f t="shared" si="4432"/>
        <v>228</v>
      </c>
      <c r="CI485" s="71">
        <f t="shared" si="4433"/>
        <v>233</v>
      </c>
      <c r="CJ485" s="72">
        <f t="shared" si="4434"/>
        <v>256</v>
      </c>
      <c r="CK485" s="72" t="str">
        <f t="shared" si="4435"/>
        <v>-</v>
      </c>
      <c r="CL485" s="72">
        <f t="shared" si="4436"/>
        <v>317</v>
      </c>
      <c r="CM485" s="72" t="str">
        <f t="shared" si="4437"/>
        <v>-</v>
      </c>
      <c r="CN485" s="72">
        <f t="shared" si="4438"/>
        <v>351</v>
      </c>
      <c r="CO485" s="72">
        <f t="shared" si="4439"/>
        <v>365</v>
      </c>
      <c r="CP485" s="72">
        <f t="shared" si="4440"/>
        <v>401</v>
      </c>
      <c r="CQ485" s="72">
        <f t="shared" si="4441"/>
        <v>472</v>
      </c>
      <c r="CR485" s="72">
        <f t="shared" si="4442"/>
        <v>510</v>
      </c>
      <c r="CS485" s="72">
        <f t="shared" si="4443"/>
        <v>520</v>
      </c>
      <c r="CT485" s="23">
        <f t="shared" si="4444"/>
        <v>1</v>
      </c>
    </row>
    <row r="486" spans="1:98" x14ac:dyDescent="0.2">
      <c r="A486" s="3" t="str">
        <f t="shared" si="4417"/>
        <v>q98sw5_xenla_6D35</v>
      </c>
      <c r="B486" s="3" t="s">
        <v>1491</v>
      </c>
      <c r="C486" s="3" t="s">
        <v>1493</v>
      </c>
      <c r="D486" s="3" t="str">
        <f>IFERROR(MID(VLOOKUP($B486,Seqs!$A:$B,2,0),E486,1),"")</f>
        <v>T</v>
      </c>
      <c r="E486" s="3">
        <v>196</v>
      </c>
      <c r="F486" s="3" t="str">
        <f>IFERROR(MID(VLOOKUP($B486,Seqs!$A:$B,2,0),G486,1),"")</f>
        <v>D</v>
      </c>
      <c r="G486" s="3">
        <v>228</v>
      </c>
      <c r="H486" s="3" t="str">
        <f>IFERROR(MID(VLOOKUP($B486,Seqs!$A:$B,2,0),I486,1),"")</f>
        <v>W</v>
      </c>
      <c r="I486" s="23">
        <v>229</v>
      </c>
      <c r="J486" s="3" t="str">
        <f>IFERROR(MID(VLOOKUP($B486,Seqs!$A:$B,2,0),K486,1),"")</f>
        <v>N</v>
      </c>
      <c r="K486" s="23">
        <v>233</v>
      </c>
      <c r="L486" s="3" t="str">
        <f>IFERROR(MID(VLOOKUP($B486,Seqs!$A:$B,2,0),M486,1),"")</f>
        <v>R</v>
      </c>
      <c r="M486" s="3">
        <v>234</v>
      </c>
      <c r="N486" s="3" t="str">
        <f>IFERROR(MID(VLOOKUP($B486,Seqs!$A:$B,2,0),O486,1),"")</f>
        <v>A</v>
      </c>
      <c r="O486" s="3">
        <v>256</v>
      </c>
      <c r="P486" s="3" t="str">
        <f>IFERROR(MID(VLOOKUP($B486,Seqs!$A:$B,2,0),Q486,1),"")</f>
        <v/>
      </c>
      <c r="Q486" s="3" t="s">
        <v>23</v>
      </c>
      <c r="R486" s="3" t="str">
        <f>IFERROR(MID(VLOOKUP($B486,Seqs!$A:$B,2,0),S486,1),"")</f>
        <v/>
      </c>
      <c r="S486" s="3" t="s">
        <v>23</v>
      </c>
      <c r="T486" s="3" t="str">
        <f>IFERROR(MID(VLOOKUP($B486,Seqs!$A:$B,2,0),U486,1),"")</f>
        <v>L</v>
      </c>
      <c r="U486" s="3">
        <v>285</v>
      </c>
      <c r="V486" s="3" t="str">
        <f>IFERROR(MID(VLOOKUP($B486,Seqs!$A:$B,2,0),W486,1),"")</f>
        <v>K</v>
      </c>
      <c r="W486" s="3">
        <v>317</v>
      </c>
      <c r="X486" s="3" t="str">
        <f>IFERROR(MID(VLOOKUP($B486,Seqs!$A:$B,2,0),Y486,1),"")</f>
        <v/>
      </c>
      <c r="Y486" s="3" t="s">
        <v>23</v>
      </c>
      <c r="Z486" s="3" t="str">
        <f>IFERROR(MID(VLOOKUP($B486,Seqs!$A:$B,2,0),AA486,1),"")</f>
        <v/>
      </c>
      <c r="AA486" s="3" t="s">
        <v>23</v>
      </c>
      <c r="AB486" s="3" t="str">
        <f>IFERROR(MID(VLOOKUP($B486,Seqs!$A:$B,2,0),AC486,1),"")</f>
        <v>K</v>
      </c>
      <c r="AC486" s="3">
        <v>329</v>
      </c>
      <c r="AD486" s="3" t="str">
        <f>IFERROR(MID(VLOOKUP($B486,Seqs!$A:$B,2,0),AE486,1),"")</f>
        <v>V</v>
      </c>
      <c r="AE486" s="3">
        <v>351</v>
      </c>
      <c r="AF486" s="3" t="str">
        <f>IFERROR(MID(VLOOKUP($B486,Seqs!$A:$B,2,0),AG486,1),"")</f>
        <v>C</v>
      </c>
      <c r="AG486" s="3">
        <v>363</v>
      </c>
      <c r="AH486" s="3" t="str">
        <f>IFERROR(MID(VLOOKUP($B486,Seqs!$A:$B,2,0),AI486,1),"")</f>
        <v>V</v>
      </c>
      <c r="AI486" s="3">
        <v>365</v>
      </c>
      <c r="AJ486" s="3" t="str">
        <f>IFERROR(MID(VLOOKUP($B486,Seqs!$A:$B,2,0),AK486,1),"")</f>
        <v>N</v>
      </c>
      <c r="AK486" s="3">
        <v>369</v>
      </c>
      <c r="AL486" s="3" t="str">
        <f>IFERROR(MID(VLOOKUP($B486,Seqs!$A:$B,2,0),AM486,1),"")</f>
        <v>S</v>
      </c>
      <c r="AM486" s="3">
        <v>401</v>
      </c>
      <c r="AN486" s="3" t="str">
        <f>IFERROR(MID(VLOOKUP($B486,Seqs!$A:$B,2,0),AO486,1),"")</f>
        <v>S</v>
      </c>
      <c r="AO486" s="3">
        <v>416</v>
      </c>
      <c r="AP486" s="3" t="str">
        <f>IFERROR(MID(VLOOKUP($B486,Seqs!$A:$B,2,0),AQ486,1),"")</f>
        <v>Q</v>
      </c>
      <c r="AQ486" s="3">
        <v>472</v>
      </c>
      <c r="AR486" s="3" t="str">
        <f>IFERROR(MID(VLOOKUP($B486,Seqs!$A:$B,2,0),AS486,1),"")</f>
        <v>S</v>
      </c>
      <c r="AS486" s="3">
        <v>487</v>
      </c>
      <c r="AT486" s="3" t="str">
        <f>IFERROR(MID(VLOOKUP($B486,Seqs!$A:$B,2,0),AU486,1),"")</f>
        <v>W</v>
      </c>
      <c r="AU486" s="3">
        <v>510</v>
      </c>
      <c r="AV486" s="3" t="str">
        <f>IFERROR(MID(VLOOKUP($B486,Seqs!$A:$B,2,0),AW486,1),"")</f>
        <v>T</v>
      </c>
      <c r="AW486" s="3">
        <v>511</v>
      </c>
      <c r="AX486" s="3" t="str">
        <f>IFERROR(MID(VLOOKUP($B486,Seqs!$A:$B,2,0),AY486,1),"")</f>
        <v>R</v>
      </c>
      <c r="AY486" s="3">
        <v>520</v>
      </c>
      <c r="AZ486" s="78" t="str">
        <f>VLOOKUP(B486,Classification!A:D,2,0)</f>
        <v>F</v>
      </c>
      <c r="BA486" s="94" t="str">
        <f>VLOOKUP(B486,Classification!A:D,4,0)</f>
        <v>Frizzled</v>
      </c>
      <c r="BB486" s="92" t="b">
        <f t="shared" si="4418"/>
        <v>1</v>
      </c>
      <c r="BC486" s="23">
        <f t="shared" si="4419"/>
        <v>246</v>
      </c>
      <c r="BD486" s="74" t="s">
        <v>23</v>
      </c>
      <c r="BE486" s="3" t="s">
        <v>1370</v>
      </c>
      <c r="BF486" s="118">
        <v>3.9</v>
      </c>
      <c r="BG486" s="49" t="s">
        <v>1</v>
      </c>
      <c r="BH486" s="49" t="s">
        <v>1</v>
      </c>
      <c r="BJ486" s="75" t="s">
        <v>1283</v>
      </c>
      <c r="BK486" s="57" t="s">
        <v>1283</v>
      </c>
      <c r="BL486" s="57" t="s">
        <v>1283</v>
      </c>
      <c r="BM486" s="57" t="s">
        <v>1283</v>
      </c>
      <c r="BN486" s="57" t="s">
        <v>1283</v>
      </c>
      <c r="BO486" s="57" t="s">
        <v>1283</v>
      </c>
      <c r="BP486" s="57" t="s">
        <v>1283</v>
      </c>
      <c r="BQ486" s="57" t="s">
        <v>1283</v>
      </c>
      <c r="BR486" s="57" t="s">
        <v>1283</v>
      </c>
      <c r="BS486" s="57" t="s">
        <v>1283</v>
      </c>
      <c r="BT486" s="57" t="s">
        <v>1283</v>
      </c>
      <c r="BU486" s="57" t="s">
        <v>1283</v>
      </c>
      <c r="BV486" s="75">
        <f t="shared" si="4420"/>
        <v>196</v>
      </c>
      <c r="BW486" s="71">
        <f t="shared" si="4421"/>
        <v>229</v>
      </c>
      <c r="BX486" s="72">
        <f t="shared" si="4422"/>
        <v>234</v>
      </c>
      <c r="BY486" s="71" t="str">
        <f t="shared" si="4423"/>
        <v>-</v>
      </c>
      <c r="BZ486" s="72">
        <f t="shared" si="4424"/>
        <v>285</v>
      </c>
      <c r="CA486" s="71" t="str">
        <f t="shared" si="4425"/>
        <v>-</v>
      </c>
      <c r="CB486" s="72">
        <f t="shared" si="4426"/>
        <v>329</v>
      </c>
      <c r="CC486" s="71">
        <f t="shared" si="4427"/>
        <v>363</v>
      </c>
      <c r="CD486" s="72">
        <f t="shared" si="4428"/>
        <v>369</v>
      </c>
      <c r="CE486" s="71">
        <f t="shared" si="4429"/>
        <v>416</v>
      </c>
      <c r="CF486" s="72">
        <f t="shared" si="4430"/>
        <v>487</v>
      </c>
      <c r="CG486" s="71">
        <f t="shared" si="4431"/>
        <v>511</v>
      </c>
      <c r="CH486" s="75">
        <f t="shared" si="4432"/>
        <v>228</v>
      </c>
      <c r="CI486" s="71">
        <f t="shared" si="4433"/>
        <v>233</v>
      </c>
      <c r="CJ486" s="72">
        <f t="shared" si="4434"/>
        <v>256</v>
      </c>
      <c r="CK486" s="72" t="str">
        <f t="shared" si="4435"/>
        <v>-</v>
      </c>
      <c r="CL486" s="72">
        <f t="shared" si="4436"/>
        <v>317</v>
      </c>
      <c r="CM486" s="72" t="str">
        <f t="shared" si="4437"/>
        <v>-</v>
      </c>
      <c r="CN486" s="72">
        <f t="shared" si="4438"/>
        <v>351</v>
      </c>
      <c r="CO486" s="72">
        <f t="shared" si="4439"/>
        <v>365</v>
      </c>
      <c r="CP486" s="72">
        <f t="shared" si="4440"/>
        <v>401</v>
      </c>
      <c r="CQ486" s="72">
        <f t="shared" si="4441"/>
        <v>472</v>
      </c>
      <c r="CR486" s="72">
        <f t="shared" si="4442"/>
        <v>510</v>
      </c>
      <c r="CS486" s="72">
        <f t="shared" si="4443"/>
        <v>520</v>
      </c>
      <c r="CT486" s="23">
        <f t="shared" si="4444"/>
        <v>1</v>
      </c>
    </row>
    <row r="560" spans="52:86" x14ac:dyDescent="0.2">
      <c r="AZ560" s="77"/>
      <c r="BA560" s="28"/>
      <c r="BB560" s="16"/>
      <c r="BD560" s="2"/>
      <c r="BJ560" s="70"/>
      <c r="BV560" s="70"/>
      <c r="CH560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59 BB75 BB29:BB33 BB36:BB40">
    <cfRule type="cellIs" dxfId="70" priority="10" operator="equal">
      <formula>0</formula>
    </cfRule>
  </conditionalFormatting>
  <conditionalFormatting sqref="BB377:BB378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402">
    <cfRule type="cellIs" dxfId="67" priority="13" operator="equal">
      <formula>0</formula>
    </cfRule>
  </conditionalFormatting>
  <conditionalFormatting sqref="E402 AW402 AU402 AS402 AQ402 AO402 AM402 AK402 AI402 AG402 AE402 AC402 AA402 Y402 W402 U402 S402 Q402 O402 M402 K402 I402 G402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76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BE2:BE560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79"/>
  <sheetViews>
    <sheetView workbookViewId="0">
      <pane ySplit="1" topLeftCell="A48" activePane="bottomLeft" state="frozenSplit"/>
      <selection pane="bottomLeft" activeCell="C88" sqref="C88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1072</v>
      </c>
      <c r="B1" s="30" t="s">
        <v>31</v>
      </c>
      <c r="C1" s="30" t="s">
        <v>1056</v>
      </c>
      <c r="D1" s="30" t="s">
        <v>1057</v>
      </c>
      <c r="E1" s="30" t="s">
        <v>1073</v>
      </c>
      <c r="F1" s="30" t="s">
        <v>1074</v>
      </c>
      <c r="G1" s="30" t="s">
        <v>1058</v>
      </c>
      <c r="H1" s="30" t="s">
        <v>1059</v>
      </c>
      <c r="I1" s="30" t="s">
        <v>1075</v>
      </c>
      <c r="J1" s="30" t="s">
        <v>1076</v>
      </c>
      <c r="K1" s="30" t="s">
        <v>1060</v>
      </c>
      <c r="L1" s="30" t="s">
        <v>1061</v>
      </c>
      <c r="M1" s="30" t="s">
        <v>1088</v>
      </c>
      <c r="N1" s="30" t="s">
        <v>1089</v>
      </c>
      <c r="O1" s="30" t="s">
        <v>1062</v>
      </c>
      <c r="P1" s="30" t="s">
        <v>1063</v>
      </c>
      <c r="Q1" s="30" t="s">
        <v>1091</v>
      </c>
      <c r="R1" s="30" t="s">
        <v>1092</v>
      </c>
      <c r="S1" s="30" t="s">
        <v>1064</v>
      </c>
      <c r="T1" s="30" t="s">
        <v>1065</v>
      </c>
      <c r="U1" s="30" t="s">
        <v>1066</v>
      </c>
      <c r="V1" s="30" t="s">
        <v>1067</v>
      </c>
      <c r="W1" s="30" t="s">
        <v>1068</v>
      </c>
      <c r="X1" s="30" t="s">
        <v>1069</v>
      </c>
      <c r="Y1" s="30" t="s">
        <v>1070</v>
      </c>
      <c r="Z1" s="30" t="s">
        <v>1071</v>
      </c>
      <c r="AA1" s="30" t="s">
        <v>99</v>
      </c>
      <c r="AB1" s="95" t="s">
        <v>1376</v>
      </c>
      <c r="AC1" s="30" t="s">
        <v>1285</v>
      </c>
      <c r="AD1" s="30" t="s">
        <v>1284</v>
      </c>
      <c r="AE1" s="30" t="s">
        <v>1278</v>
      </c>
      <c r="AF1" s="30" t="s">
        <v>1226</v>
      </c>
      <c r="AG1" s="30" t="s">
        <v>1279</v>
      </c>
      <c r="AH1" s="30" t="s">
        <v>1237</v>
      </c>
      <c r="AI1" s="30" t="s">
        <v>1281</v>
      </c>
      <c r="AJ1" s="30" t="s">
        <v>1271</v>
      </c>
      <c r="AK1" s="30" t="s">
        <v>1280</v>
      </c>
      <c r="AL1" s="30" t="s">
        <v>1286</v>
      </c>
      <c r="AM1" s="30" t="s">
        <v>1235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1363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1375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1460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1251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1441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68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2</v>
      </c>
      <c r="AG6" s="49">
        <f>VLOOKUP(B6,'SegEnds_NonXtal_Prot#'!A:AL,13,FALSE)-VLOOKUP(B6,'SegEnds_NonXtal_Prot#'!A:AL,11,FALSE)</f>
        <v>3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35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1239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1240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1464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1245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1242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60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1244</v>
      </c>
      <c r="B12" s="2" t="s">
        <v>905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1243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1386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1241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1273</v>
      </c>
    </row>
    <row r="16" spans="1:64" s="2" customFormat="1" x14ac:dyDescent="0.2">
      <c r="A16" s="2" t="s">
        <v>1247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68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1</v>
      </c>
      <c r="AG16" s="49">
        <f>VLOOKUP(B16,'SegEnds_NonXtal_Prot#'!A:AL,13,FALSE)-VLOOKUP(B16,'SegEnds_NonXtal_Prot#'!A:AL,11,FALSE)</f>
        <v>2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34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1246</v>
      </c>
      <c r="B17" s="2" t="s">
        <v>907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68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1</v>
      </c>
      <c r="AG17" s="49">
        <f>VLOOKUP(B17,'SegEnds_NonXtal_Prot#'!A:AL,13,FALSE)-VLOOKUP(B17,'SegEnds_NonXtal_Prot#'!A:AL,11,FALSE)</f>
        <v>2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34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1248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1389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1411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1358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1250</v>
      </c>
      <c r="B22" s="2" t="s">
        <v>1167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1270</v>
      </c>
      <c r="B23" s="2" t="s">
        <v>919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1249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1252</v>
      </c>
      <c r="B26" s="2" t="s">
        <v>1168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1253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1254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1269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1255</v>
      </c>
      <c r="B30" s="2" t="s">
        <v>909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1257</v>
      </c>
      <c r="B31" s="2" t="s">
        <v>911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1258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1260</v>
      </c>
      <c r="B33" s="2" t="s">
        <v>1169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1259</v>
      </c>
      <c r="B34" s="2" t="s">
        <v>913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1256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1261</v>
      </c>
      <c r="B36" s="2" t="s">
        <v>915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1274</v>
      </c>
      <c r="AP36" s="2" t="s">
        <v>1276</v>
      </c>
    </row>
    <row r="37" spans="1:64" s="2" customFormat="1" x14ac:dyDescent="0.2">
      <c r="A37" s="2" t="s">
        <v>1263</v>
      </c>
      <c r="B37" s="2" t="s">
        <v>917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3</v>
      </c>
      <c r="AG37" s="49">
        <f>VLOOKUP(B37,'SegEnds_NonXtal_Prot#'!A:AL,13,FALSE)-VLOOKUP(B37,'SegEnds_NonXtal_Prot#'!A:AL,11,FALSE)</f>
        <v>4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36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1262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1265</v>
      </c>
      <c r="B39" s="2" t="s">
        <v>1171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1264</v>
      </c>
      <c r="B40" s="2" t="s">
        <v>1170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1266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1267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1268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40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1416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1491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1436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1447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1503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469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446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1590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39" x14ac:dyDescent="0.2">
      <c r="A75" s="2" t="str">
        <f t="shared" si="1"/>
        <v>sucr1_rat__wt</v>
      </c>
      <c r="B75" s="2" t="s">
        <v>1593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2" t="str">
        <f t="shared" ref="A83" si="8">CONCATENATE(B83,"__wt",)</f>
        <v>ada2a_human__wt</v>
      </c>
      <c r="B83" s="2" t="s">
        <v>155</v>
      </c>
      <c r="C83" s="2">
        <f>IFERROR(50+VLOOKUP($A83,'SegEnds_Xtal_Prot#'!$A:$AY,5,FALSE)-VLOOKUP($B83,'SegEnds_NonXtal_Prot#'!$A:$AL,4,FALSE),"-")</f>
        <v>32</v>
      </c>
      <c r="D83" s="2">
        <f>IFERROR(50+VLOOKUP($A83,'SegEnds_Xtal_Prot#'!$A:$AY,7,FALSE)-VLOOKUP($B83,'SegEnds_NonXtal_Prot#'!$A:$AL,4,FALSE),"-")</f>
        <v>60</v>
      </c>
      <c r="E83" s="2">
        <f>IFERROR(50+VLOOKUP($A83,'SegEnds_Xtal_Prot#'!$A:$AY,9,FALSE)-VLOOKUP($B83,'SegEnds_NonXtal_Prot#'!$A:$AL,7,FALSE),"-")</f>
        <v>48</v>
      </c>
      <c r="F83" s="2">
        <f>IFERROR(50+VLOOKUP($A83,'SegEnds_Xtal_Prot#'!$A:$AY,11,FALSE)-VLOOKUP($B83,'SegEnds_NonXtal_Prot#'!$A:$AL,7,FALSE),"-")</f>
        <v>51</v>
      </c>
      <c r="G83" s="2">
        <f>IFERROR(50+VLOOKUP($A83,'SegEnds_Xtal_Prot#'!$A:$AY,13,FALSE)-VLOOKUP($B83,'SegEnds_NonXtal_Prot#'!$A:$AL,10,FALSE),"-")</f>
        <v>37</v>
      </c>
      <c r="H83" s="2">
        <f>IFERROR(50+VLOOKUP($A83,'SegEnds_Xtal_Prot#'!$A:$AY,15,FALSE)-VLOOKUP($B83,'SegEnds_NonXtal_Prot#'!$A:$AL,10,FALSE),"-")</f>
        <v>68</v>
      </c>
      <c r="I83" s="2">
        <f>IFERROR(50+VLOOKUP($A83,'SegEnds_Xtal_Prot#'!$A:$AY,17,FALSE)-VLOOKUP($B83,'SegEnds_NonXtal_Prot#'!$A:$AL,13,FALSE),"-")</f>
        <v>49</v>
      </c>
      <c r="J83" s="2">
        <f>IFERROR(50+VLOOKUP($A83,'SegEnds_Xtal_Prot#'!$A:$AY,19,FALSE)-VLOOKUP($B83,'SegEnds_NonXtal_Prot#'!$A:$AL,13,FALSE),"-")</f>
        <v>52</v>
      </c>
      <c r="K83" s="2">
        <f>IFERROR(50+VLOOKUP($A83,'SegEnds_Xtal_Prot#'!$A:$AY,21,FALSE)-VLOOKUP($B83,'SegEnds_NonXtal_Prot#'!$A:$AL,16,FALSE),"-")</f>
        <v>21</v>
      </c>
      <c r="L83" s="2">
        <f>IFERROR(50+VLOOKUP($A83,'SegEnds_Xtal_Prot#'!$A:$AY,23,FALSE)-VLOOKUP($B83,'SegEnds_NonXtal_Prot#'!$A:$AL,16,FALSE),"-")</f>
        <v>56</v>
      </c>
      <c r="M83" s="2">
        <f>IFERROR(50+VLOOKUP($A83,'SegEnds_Xtal_Prot#'!$A:$AY,25,FALSE)-VLOOKUP($B83,'SegEnds_NonXtal_Prot#'!$A:$AL,19,FALSE),"-")</f>
        <v>50</v>
      </c>
      <c r="N83" s="2">
        <f>IFERROR(50+VLOOKUP($A83,'SegEnds_Xtal_Prot#'!$A:$AY,27,FALSE)-VLOOKUP($B83,'SegEnds_NonXtal_Prot#'!$A:$AL,19,FALSE),"-")</f>
        <v>57</v>
      </c>
      <c r="O83" s="2">
        <f>IFERROR(50+VLOOKUP($A83,'SegEnds_Xtal_Prot#'!$A:$AY,29,FALSE)-VLOOKUP($B83,'SegEnds_NonXtal_Prot#'!$A:$AL,22,FALSE),"-")</f>
        <v>38</v>
      </c>
      <c r="P83" s="2">
        <f>IFERROR(50+VLOOKUP($A83,'SegEnds_Xtal_Prot#'!$A:$AY,31,FALSE)-VLOOKUP($B83,'SegEnds_NonXtal_Prot#'!$A:$AL,22,FALSE),"-")</f>
        <v>62</v>
      </c>
      <c r="Q83" s="2">
        <f>IFERROR(50+VLOOKUP($A83,'SegEnds_Xtal_Prot#'!$A:$AY,33,FALSE)-VLOOKUP($B83,'SegEnds_NonXtal_Prot#'!$A:$AL,25,FALSE),"-")</f>
        <v>50</v>
      </c>
      <c r="R83" s="2">
        <f>IFERROR(50+VLOOKUP($A83,'SegEnds_Xtal_Prot#'!$A:$AY,35,FALSE)-VLOOKUP($B83,'SegEnds_NonXtal_Prot#'!$A:$AL,25,FALSE),"-")</f>
        <v>52</v>
      </c>
      <c r="S83" s="2">
        <f>IFERROR(50+VLOOKUP($A83,'SegEnds_Xtal_Prot#'!$A:$AY,37,FALSE)-VLOOKUP($B83,'SegEnds_NonXtal_Prot#'!$A:$AL,28,FALSE),"-")</f>
        <v>35</v>
      </c>
      <c r="T83" s="2">
        <f>IFERROR(50+VLOOKUP($A83,'SegEnds_Xtal_Prot#'!$A:$AY,39,FALSE)-VLOOKUP($B83,'SegEnds_NonXtal_Prot#'!$A:$AL,28,FALSE),"-")</f>
        <v>75</v>
      </c>
      <c r="U83" s="2">
        <f>IFERROR(50+VLOOKUP($A83,'SegEnds_Xtal_Prot#'!$A:$AY,41,FALSE)-VLOOKUP($B83,'SegEnds_NonXtal_Prot#'!$A:$AL,31,FALSE),"-")</f>
        <v>24</v>
      </c>
      <c r="V83" s="2">
        <f>IFERROR(50+VLOOKUP($A83,'SegEnds_Xtal_Prot#'!$A:$AY,43,FALSE)-VLOOKUP($B83,'SegEnds_NonXtal_Prot#'!$A:$AL,31,FALSE),"-")</f>
        <v>61</v>
      </c>
      <c r="W83" s="2">
        <f>IFERROR(50+VLOOKUP($A83,'SegEnds_Xtal_Prot#'!$A:$AY,45,FALSE)-VLOOKUP($B83,'SegEnds_NonXtal_Prot#'!$A:$AL,34,FALSE),"-")</f>
        <v>31</v>
      </c>
      <c r="X83" s="2">
        <f>IFERROR(50+VLOOKUP($A83,'SegEnds_Xtal_Prot#'!$A:$AY,47,FALSE)-VLOOKUP($B83,'SegEnds_NonXtal_Prot#'!$A:$AL,34,FALSE),"-")</f>
        <v>56</v>
      </c>
      <c r="Y83" s="2">
        <f>IFERROR(50+VLOOKUP($A83,'SegEnds_Xtal_Prot#'!$A:$AY,49,FALSE)-VLOOKUP($B83,'SegEnds_NonXtal_Prot#'!$A:$AL,37,FALSE),"-")</f>
        <v>47</v>
      </c>
      <c r="Z83" s="2">
        <f>IFERROR(50+VLOOKUP($A83,'SegEnds_Xtal_Prot#'!$A:$AY,51,FALSE)-VLOOKUP($B83,'SegEnds_NonXtal_Prot#'!$A:$AL,37,FALSE),"-")</f>
        <v>60</v>
      </c>
      <c r="AA83" s="49" t="str">
        <f>VLOOKUP(B83,Classification!A:D,2,FALSE)</f>
        <v>A</v>
      </c>
      <c r="AB83" s="94" t="str">
        <f>VLOOKUP(B83,Classification!A:D,4,0)</f>
        <v>Adrenoceptors</v>
      </c>
      <c r="AC83" s="49">
        <f>VLOOKUP(B83,'SegEnds_NonXtal_Prot#'!A:AL,6,FALSE)-VLOOKUP(B83,'SegEnds_NonXtal_Prot#'!A:AL,5,FALSE)</f>
        <v>1</v>
      </c>
      <c r="AD83" s="49">
        <f>VLOOKUP(B83,'SegEnds_NonXtal_Prot#'!A:AL,9,FALSE)-VLOOKUP(B83,'SegEnds_NonXtal_Prot#'!A:AL,8,FALSE)</f>
        <v>1</v>
      </c>
      <c r="AE83" s="49">
        <f>VLOOKUP(B83,'SegEnds_NonXtal_Prot#'!A:AL,13,FALSE)-VLOOKUP(B83,'SegEnds_NonXtal_Prot#'!A:AL,10,FALSE)</f>
        <v>20</v>
      </c>
      <c r="AF83" s="49">
        <f>VLOOKUP(B83,'SegEnds_NonXtal_Prot#'!A:AL,12,FALSE)-VLOOKUP(B83,'SegEnds_NonXtal_Prot#'!A:AL,11,FALSE)</f>
        <v>1</v>
      </c>
      <c r="AG83" s="49">
        <f>VLOOKUP(B83,'SegEnds_NonXtal_Prot#'!A:AL,13,FALSE)-VLOOKUP(B83,'SegEnds_NonXtal_Prot#'!A:AL,11,FALSE)</f>
        <v>2</v>
      </c>
      <c r="AH83" s="49">
        <f>VLOOKUP(B83,'SegEnds_NonXtal_Prot#'!A:AL,16,FALSE)-VLOOKUP(B83,'SegEnds_NonXtal_Prot#'!A:AL,10,FALSE)</f>
        <v>52</v>
      </c>
      <c r="AI83" s="49">
        <f>VLOOKUP(B83,'SegEnds_NonXtal_Prot#'!A:AL,16,FALSE)-VLOOKUP(B83,'SegEnds_NonXtal_Prot#'!A:AL,11,FALSE)</f>
        <v>34</v>
      </c>
      <c r="AJ83" s="49">
        <f>VLOOKUP(B83,'SegEnds_NonXtal_Prot#'!A:AL,22,FALSE)-VLOOKUP(B83,'SegEnds_NonXtal_Prot#'!A:AL,19,FALSE)</f>
        <v>20</v>
      </c>
      <c r="AK83" s="49">
        <f>VLOOKUP(B83,'SegEnds_NonXtal_Prot#'!A:AL,15,FALSE)-VLOOKUP(B83,'SegEnds_NonXtal_Prot#'!A:AL,14,FALSE)</f>
        <v>1</v>
      </c>
      <c r="AL83" s="49">
        <f>VLOOKUP(B83,'SegEnds_NonXtal_Prot#'!A:AL,18,FALSE)-VLOOKUP(B83,'SegEnds_NonXtal_Prot#'!A:AL,17,FALSE)</f>
        <v>1</v>
      </c>
      <c r="AM83" s="2">
        <f>VLOOKUP(B83,'SegEnds_NonXtal_Prot#'!A:AL,34,FALSE)-VLOOKUP(B83,'SegEnds_NonXtal_Prot#'!A:AL,31,FALSE)</f>
        <v>34</v>
      </c>
    </row>
    <row r="84" spans="1:64" x14ac:dyDescent="0.2">
      <c r="A84" s="2" t="str">
        <f t="shared" ref="A84" si="9">CONCATENATE(B84,"__wt",)</f>
        <v>ada2b_human__wt</v>
      </c>
      <c r="B84" s="2" t="s">
        <v>156</v>
      </c>
      <c r="C84" s="2">
        <f>IFERROR(50+VLOOKUP($A84,'SegEnds_Xtal_Prot#'!$A:$AY,5,FALSE)-VLOOKUP($B84,'SegEnds_NonXtal_Prot#'!$A:$AL,4,FALSE),"-")</f>
        <v>31</v>
      </c>
      <c r="D84" s="2">
        <f>IFERROR(50+VLOOKUP($A84,'SegEnds_Xtal_Prot#'!$A:$AY,7,FALSE)-VLOOKUP($B84,'SegEnds_NonXtal_Prot#'!$A:$AL,4,FALSE),"-")</f>
        <v>60</v>
      </c>
      <c r="E84" s="2">
        <f>IFERROR(50+VLOOKUP($A84,'SegEnds_Xtal_Prot#'!$A:$AY,9,FALSE)-VLOOKUP($B84,'SegEnds_NonXtal_Prot#'!$A:$AL,7,FALSE),"-")</f>
        <v>48</v>
      </c>
      <c r="F84" s="2">
        <f>IFERROR(50+VLOOKUP($A84,'SegEnds_Xtal_Prot#'!$A:$AY,11,FALSE)-VLOOKUP($B84,'SegEnds_NonXtal_Prot#'!$A:$AL,7,FALSE),"-")</f>
        <v>51</v>
      </c>
      <c r="G84" s="2">
        <f>IFERROR(50+VLOOKUP($A84,'SegEnds_Xtal_Prot#'!$A:$AY,13,FALSE)-VLOOKUP($B84,'SegEnds_NonXtal_Prot#'!$A:$AL,10,FALSE),"-")</f>
        <v>37</v>
      </c>
      <c r="H84" s="2">
        <f>IFERROR(50+VLOOKUP($A84,'SegEnds_Xtal_Prot#'!$A:$AY,15,FALSE)-VLOOKUP($B84,'SegEnds_NonXtal_Prot#'!$A:$AL,10,FALSE),"-")</f>
        <v>68</v>
      </c>
      <c r="I84" s="2">
        <f>IFERROR(50+VLOOKUP($A84,'SegEnds_Xtal_Prot#'!$A:$AY,17,FALSE)-VLOOKUP($B84,'SegEnds_NonXtal_Prot#'!$A:$AL,13,FALSE),"-")</f>
        <v>49</v>
      </c>
      <c r="J84" s="2">
        <f>IFERROR(50+VLOOKUP($A84,'SegEnds_Xtal_Prot#'!$A:$AY,19,FALSE)-VLOOKUP($B84,'SegEnds_NonXtal_Prot#'!$A:$AL,13,FALSE),"-")</f>
        <v>52</v>
      </c>
      <c r="K84" s="2">
        <f>IFERROR(50+VLOOKUP($A84,'SegEnds_Xtal_Prot#'!$A:$AY,21,FALSE)-VLOOKUP($B84,'SegEnds_NonXtal_Prot#'!$A:$AL,16,FALSE),"-")</f>
        <v>21</v>
      </c>
      <c r="L84" s="2">
        <f>IFERROR(50+VLOOKUP($A84,'SegEnds_Xtal_Prot#'!$A:$AY,23,FALSE)-VLOOKUP($B84,'SegEnds_NonXtal_Prot#'!$A:$AL,16,FALSE),"-")</f>
        <v>56</v>
      </c>
      <c r="M84" s="2">
        <f>IFERROR(50+VLOOKUP($A84,'SegEnds_Xtal_Prot#'!$A:$AY,25,FALSE)-VLOOKUP($B84,'SegEnds_NonXtal_Prot#'!$A:$AL,19,FALSE),"-")</f>
        <v>50</v>
      </c>
      <c r="N84" s="2">
        <f>IFERROR(50+VLOOKUP($A84,'SegEnds_Xtal_Prot#'!$A:$AY,27,FALSE)-VLOOKUP($B84,'SegEnds_NonXtal_Prot#'!$A:$AL,19,FALSE),"-")</f>
        <v>57</v>
      </c>
      <c r="O84" s="2">
        <f>IFERROR(50+VLOOKUP($A84,'SegEnds_Xtal_Prot#'!$A:$AY,29,FALSE)-VLOOKUP($B84,'SegEnds_NonXtal_Prot#'!$A:$AL,22,FALSE),"-")</f>
        <v>38</v>
      </c>
      <c r="P84" s="2">
        <f>IFERROR(50+VLOOKUP($A84,'SegEnds_Xtal_Prot#'!$A:$AY,31,FALSE)-VLOOKUP($B84,'SegEnds_NonXtal_Prot#'!$A:$AL,22,FALSE),"-")</f>
        <v>62</v>
      </c>
      <c r="Q84" s="2">
        <f>IFERROR(50+VLOOKUP($A84,'SegEnds_Xtal_Prot#'!$A:$AY,33,FALSE)-VLOOKUP($B84,'SegEnds_NonXtal_Prot#'!$A:$AL,25,FALSE),"-")</f>
        <v>50</v>
      </c>
      <c r="R84" s="2">
        <f>IFERROR(50+VLOOKUP($A84,'SegEnds_Xtal_Prot#'!$A:$AY,35,FALSE)-VLOOKUP($B84,'SegEnds_NonXtal_Prot#'!$A:$AL,25,FALSE),"-")</f>
        <v>52</v>
      </c>
      <c r="S84" s="2">
        <f>IFERROR(50+VLOOKUP($A84,'SegEnds_Xtal_Prot#'!$A:$AY,37,FALSE)-VLOOKUP($B84,'SegEnds_NonXtal_Prot#'!$A:$AL,28,FALSE),"-")</f>
        <v>35</v>
      </c>
      <c r="T84" s="2">
        <f>IFERROR(50+VLOOKUP($A84,'SegEnds_Xtal_Prot#'!$A:$AY,39,FALSE)-VLOOKUP($B84,'SegEnds_NonXtal_Prot#'!$A:$AL,28,FALSE),"-")</f>
        <v>75</v>
      </c>
      <c r="U84" s="2">
        <f>IFERROR(50+VLOOKUP($A84,'SegEnds_Xtal_Prot#'!$A:$AY,41,FALSE)-VLOOKUP($B84,'SegEnds_NonXtal_Prot#'!$A:$AL,31,FALSE),"-")</f>
        <v>24</v>
      </c>
      <c r="V84" s="2">
        <f>IFERROR(50+VLOOKUP($A84,'SegEnds_Xtal_Prot#'!$A:$AY,43,FALSE)-VLOOKUP($B84,'SegEnds_NonXtal_Prot#'!$A:$AL,31,FALSE),"-")</f>
        <v>61</v>
      </c>
      <c r="W84" s="2">
        <f>IFERROR(50+VLOOKUP($A84,'SegEnds_Xtal_Prot#'!$A:$AY,45,FALSE)-VLOOKUP($B84,'SegEnds_NonXtal_Prot#'!$A:$AL,34,FALSE),"-")</f>
        <v>31</v>
      </c>
      <c r="X84" s="2">
        <f>IFERROR(50+VLOOKUP($A84,'SegEnds_Xtal_Prot#'!$A:$AY,47,FALSE)-VLOOKUP($B84,'SegEnds_NonXtal_Prot#'!$A:$AL,34,FALSE),"-")</f>
        <v>56</v>
      </c>
      <c r="Y84" s="2">
        <f>IFERROR(50+VLOOKUP($A84,'SegEnds_Xtal_Prot#'!$A:$AY,49,FALSE)-VLOOKUP($B84,'SegEnds_NonXtal_Prot#'!$A:$AL,37,FALSE),"-")</f>
        <v>47</v>
      </c>
      <c r="Z84" s="2">
        <f>IFERROR(50+VLOOKUP($A84,'SegEnds_Xtal_Prot#'!$A:$AY,51,FALSE)-VLOOKUP($B84,'SegEnds_NonXtal_Prot#'!$A:$AL,37,FALSE),"-")</f>
        <v>59</v>
      </c>
      <c r="AA84" s="49" t="str">
        <f>VLOOKUP(B84,Classification!A:D,2,FALSE)</f>
        <v>A</v>
      </c>
      <c r="AB84" s="94" t="str">
        <f>VLOOKUP(B84,Classification!A:D,4,0)</f>
        <v>Adrenoceptors</v>
      </c>
      <c r="AC84" s="49">
        <f>VLOOKUP(B84,'SegEnds_NonXtal_Prot#'!A:AL,6,FALSE)-VLOOKUP(B84,'SegEnds_NonXtal_Prot#'!A:AL,5,FALSE)</f>
        <v>1</v>
      </c>
      <c r="AD84" s="49">
        <f>VLOOKUP(B84,'SegEnds_NonXtal_Prot#'!A:AL,9,FALSE)-VLOOKUP(B84,'SegEnds_NonXtal_Prot#'!A:AL,8,FALSE)</f>
        <v>1</v>
      </c>
      <c r="AE84" s="49">
        <f>VLOOKUP(B84,'SegEnds_NonXtal_Prot#'!A:AL,13,FALSE)-VLOOKUP(B84,'SegEnds_NonXtal_Prot#'!A:AL,10,FALSE)</f>
        <v>20</v>
      </c>
      <c r="AF84" s="49">
        <f>VLOOKUP(B84,'SegEnds_NonXtal_Prot#'!A:AL,12,FALSE)-VLOOKUP(B84,'SegEnds_NonXtal_Prot#'!A:AL,11,FALSE)</f>
        <v>1</v>
      </c>
      <c r="AG84" s="49">
        <f>VLOOKUP(B84,'SegEnds_NonXtal_Prot#'!A:AL,13,FALSE)-VLOOKUP(B84,'SegEnds_NonXtal_Prot#'!A:AL,11,FALSE)</f>
        <v>2</v>
      </c>
      <c r="AH84" s="49">
        <f>VLOOKUP(B84,'SegEnds_NonXtal_Prot#'!A:AL,16,FALSE)-VLOOKUP(B84,'SegEnds_NonXtal_Prot#'!A:AL,10,FALSE)</f>
        <v>52</v>
      </c>
      <c r="AI84" s="49">
        <f>VLOOKUP(B84,'SegEnds_NonXtal_Prot#'!A:AL,16,FALSE)-VLOOKUP(B84,'SegEnds_NonXtal_Prot#'!A:AL,11,FALSE)</f>
        <v>34</v>
      </c>
      <c r="AJ84" s="49">
        <f>VLOOKUP(B84,'SegEnds_NonXtal_Prot#'!A:AL,22,FALSE)-VLOOKUP(B84,'SegEnds_NonXtal_Prot#'!A:AL,19,FALSE)</f>
        <v>20</v>
      </c>
      <c r="AK84" s="49">
        <f>VLOOKUP(B84,'SegEnds_NonXtal_Prot#'!A:AL,15,FALSE)-VLOOKUP(B84,'SegEnds_NonXtal_Prot#'!A:AL,14,FALSE)</f>
        <v>1</v>
      </c>
      <c r="AL84" s="49">
        <f>VLOOKUP(B84,'SegEnds_NonXtal_Prot#'!A:AL,18,FALSE)-VLOOKUP(B84,'SegEnds_NonXtal_Prot#'!A:AL,17,FALSE)</f>
        <v>1</v>
      </c>
      <c r="AM84" s="2">
        <f>VLOOKUP(B84,'SegEnds_NonXtal_Prot#'!A:AL,34,FALSE)-VLOOKUP(B84,'SegEnds_NonXtal_Prot#'!A:AL,31,FALSE)</f>
        <v>37</v>
      </c>
    </row>
    <row r="85" spans="1:64" x14ac:dyDescent="0.2">
      <c r="A85" s="2" t="str">
        <f t="shared" ref="A85" si="10">CONCATENATE(B85,"__wt",)</f>
        <v>ada2c_human__wt</v>
      </c>
      <c r="B85" s="2" t="s">
        <v>157</v>
      </c>
      <c r="C85" s="2">
        <f>IFERROR(50+VLOOKUP($A85,'SegEnds_Xtal_Prot#'!$A:$AY,5,FALSE)-VLOOKUP($B85,'SegEnds_NonXtal_Prot#'!$A:$AL,4,FALSE),"-")</f>
        <v>28</v>
      </c>
      <c r="D85" s="2">
        <f>IFERROR(50+VLOOKUP($A85,'SegEnds_Xtal_Prot#'!$A:$AY,7,FALSE)-VLOOKUP($B85,'SegEnds_NonXtal_Prot#'!$A:$AL,4,FALSE),"-")</f>
        <v>60</v>
      </c>
      <c r="E85" s="2">
        <f>IFERROR(50+VLOOKUP($A85,'SegEnds_Xtal_Prot#'!$A:$AY,9,FALSE)-VLOOKUP($B85,'SegEnds_NonXtal_Prot#'!$A:$AL,7,FALSE),"-")</f>
        <v>48</v>
      </c>
      <c r="F85" s="2">
        <f>IFERROR(50+VLOOKUP($A85,'SegEnds_Xtal_Prot#'!$A:$AY,11,FALSE)-VLOOKUP($B85,'SegEnds_NonXtal_Prot#'!$A:$AL,7,FALSE),"-")</f>
        <v>51</v>
      </c>
      <c r="G85" s="2">
        <f>IFERROR(50+VLOOKUP($A85,'SegEnds_Xtal_Prot#'!$A:$AY,13,FALSE)-VLOOKUP($B85,'SegEnds_NonXtal_Prot#'!$A:$AL,10,FALSE),"-")</f>
        <v>37</v>
      </c>
      <c r="H85" s="2">
        <f>IFERROR(50+VLOOKUP($A85,'SegEnds_Xtal_Prot#'!$A:$AY,15,FALSE)-VLOOKUP($B85,'SegEnds_NonXtal_Prot#'!$A:$AL,10,FALSE),"-")</f>
        <v>68</v>
      </c>
      <c r="I85" s="2">
        <f>IFERROR(50+VLOOKUP($A85,'SegEnds_Xtal_Prot#'!$A:$AY,17,FALSE)-VLOOKUP($B85,'SegEnds_NonXtal_Prot#'!$A:$AL,13,FALSE),"-")</f>
        <v>49</v>
      </c>
      <c r="J85" s="2">
        <f>IFERROR(50+VLOOKUP($A85,'SegEnds_Xtal_Prot#'!$A:$AY,19,FALSE)-VLOOKUP($B85,'SegEnds_NonXtal_Prot#'!$A:$AL,13,FALSE),"-")</f>
        <v>52</v>
      </c>
      <c r="K85" s="2">
        <f>IFERROR(50+VLOOKUP($A85,'SegEnds_Xtal_Prot#'!$A:$AY,21,FALSE)-VLOOKUP($B85,'SegEnds_NonXtal_Prot#'!$A:$AL,16,FALSE),"-")</f>
        <v>21</v>
      </c>
      <c r="L85" s="2">
        <f>IFERROR(50+VLOOKUP($A85,'SegEnds_Xtal_Prot#'!$A:$AY,23,FALSE)-VLOOKUP($B85,'SegEnds_NonXtal_Prot#'!$A:$AL,16,FALSE),"-")</f>
        <v>56</v>
      </c>
      <c r="M85" s="2">
        <f>IFERROR(50+VLOOKUP($A85,'SegEnds_Xtal_Prot#'!$A:$AY,25,FALSE)-VLOOKUP($B85,'SegEnds_NonXtal_Prot#'!$A:$AL,19,FALSE),"-")</f>
        <v>50</v>
      </c>
      <c r="N85" s="2">
        <f>IFERROR(50+VLOOKUP($A85,'SegEnds_Xtal_Prot#'!$A:$AY,27,FALSE)-VLOOKUP($B85,'SegEnds_NonXtal_Prot#'!$A:$AL,19,FALSE),"-")</f>
        <v>57</v>
      </c>
      <c r="O85" s="2">
        <f>IFERROR(50+VLOOKUP($A85,'SegEnds_Xtal_Prot#'!$A:$AY,29,FALSE)-VLOOKUP($B85,'SegEnds_NonXtal_Prot#'!$A:$AL,22,FALSE),"-")</f>
        <v>38</v>
      </c>
      <c r="P85" s="2">
        <f>IFERROR(50+VLOOKUP($A85,'SegEnds_Xtal_Prot#'!$A:$AY,31,FALSE)-VLOOKUP($B85,'SegEnds_NonXtal_Prot#'!$A:$AL,22,FALSE),"-")</f>
        <v>62</v>
      </c>
      <c r="Q85" s="2">
        <f>IFERROR(50+VLOOKUP($A85,'SegEnds_Xtal_Prot#'!$A:$AY,33,FALSE)-VLOOKUP($B85,'SegEnds_NonXtal_Prot#'!$A:$AL,25,FALSE),"-")</f>
        <v>50</v>
      </c>
      <c r="R85" s="2">
        <f>IFERROR(50+VLOOKUP($A85,'SegEnds_Xtal_Prot#'!$A:$AY,35,FALSE)-VLOOKUP($B85,'SegEnds_NonXtal_Prot#'!$A:$AL,25,FALSE),"-")</f>
        <v>52</v>
      </c>
      <c r="S85" s="2">
        <f>IFERROR(50+VLOOKUP($A85,'SegEnds_Xtal_Prot#'!$A:$AY,37,FALSE)-VLOOKUP($B85,'SegEnds_NonXtal_Prot#'!$A:$AL,28,FALSE),"-")</f>
        <v>35</v>
      </c>
      <c r="T85" s="2">
        <f>IFERROR(50+VLOOKUP($A85,'SegEnds_Xtal_Prot#'!$A:$AY,39,FALSE)-VLOOKUP($B85,'SegEnds_NonXtal_Prot#'!$A:$AL,28,FALSE),"-")</f>
        <v>75</v>
      </c>
      <c r="U85" s="2">
        <f>IFERROR(50+VLOOKUP($A85,'SegEnds_Xtal_Prot#'!$A:$AY,41,FALSE)-VLOOKUP($B85,'SegEnds_NonXtal_Prot#'!$A:$AL,31,FALSE),"-")</f>
        <v>24</v>
      </c>
      <c r="V85" s="2">
        <f>IFERROR(50+VLOOKUP($A85,'SegEnds_Xtal_Prot#'!$A:$AY,43,FALSE)-VLOOKUP($B85,'SegEnds_NonXtal_Prot#'!$A:$AL,31,FALSE),"-")</f>
        <v>62</v>
      </c>
      <c r="W85" s="2">
        <f>IFERROR(50+VLOOKUP($A85,'SegEnds_Xtal_Prot#'!$A:$AY,45,FALSE)-VLOOKUP($B85,'SegEnds_NonXtal_Prot#'!$A:$AL,34,FALSE),"-")</f>
        <v>31</v>
      </c>
      <c r="X85" s="2">
        <f>IFERROR(50+VLOOKUP($A85,'SegEnds_Xtal_Prot#'!$A:$AY,47,FALSE)-VLOOKUP($B85,'SegEnds_NonXtal_Prot#'!$A:$AL,34,FALSE),"-")</f>
        <v>56</v>
      </c>
      <c r="Y85" s="2">
        <f>IFERROR(50+VLOOKUP($A85,'SegEnds_Xtal_Prot#'!$A:$AY,49,FALSE)-VLOOKUP($B85,'SegEnds_NonXtal_Prot#'!$A:$AL,37,FALSE),"-")</f>
        <v>47</v>
      </c>
      <c r="Z85" s="2">
        <f>IFERROR(50+VLOOKUP($A85,'SegEnds_Xtal_Prot#'!$A:$AY,51,FALSE)-VLOOKUP($B85,'SegEnds_NonXtal_Prot#'!$A:$AL,37,FALSE),"-")</f>
        <v>59</v>
      </c>
      <c r="AA85" s="49" t="str">
        <f>VLOOKUP(B85,Classification!A:D,2,FALSE)</f>
        <v>A</v>
      </c>
      <c r="AB85" s="94" t="str">
        <f>VLOOKUP(B85,Classification!A:D,4,0)</f>
        <v>Adrenoceptors</v>
      </c>
      <c r="AC85" s="49">
        <f>VLOOKUP(B85,'SegEnds_NonXtal_Prot#'!A:AL,6,FALSE)-VLOOKUP(B85,'SegEnds_NonXtal_Prot#'!A:AL,5,FALSE)</f>
        <v>1</v>
      </c>
      <c r="AD85" s="49">
        <f>VLOOKUP(B85,'SegEnds_NonXtal_Prot#'!A:AL,9,FALSE)-VLOOKUP(B85,'SegEnds_NonXtal_Prot#'!A:AL,8,FALSE)</f>
        <v>1</v>
      </c>
      <c r="AE85" s="49">
        <f>VLOOKUP(B85,'SegEnds_NonXtal_Prot#'!A:AL,13,FALSE)-VLOOKUP(B85,'SegEnds_NonXtal_Prot#'!A:AL,10,FALSE)</f>
        <v>20</v>
      </c>
      <c r="AF85" s="49">
        <f>VLOOKUP(B85,'SegEnds_NonXtal_Prot#'!A:AL,12,FALSE)-VLOOKUP(B85,'SegEnds_NonXtal_Prot#'!A:AL,11,FALSE)</f>
        <v>1</v>
      </c>
      <c r="AG85" s="49">
        <f>VLOOKUP(B85,'SegEnds_NonXtal_Prot#'!A:AL,13,FALSE)-VLOOKUP(B85,'SegEnds_NonXtal_Prot#'!A:AL,11,FALSE)</f>
        <v>2</v>
      </c>
      <c r="AH85" s="49">
        <f>VLOOKUP(B85,'SegEnds_NonXtal_Prot#'!A:AL,16,FALSE)-VLOOKUP(B85,'SegEnds_NonXtal_Prot#'!A:AL,10,FALSE)</f>
        <v>52</v>
      </c>
      <c r="AI85" s="49">
        <f>VLOOKUP(B85,'SegEnds_NonXtal_Prot#'!A:AL,16,FALSE)-VLOOKUP(B85,'SegEnds_NonXtal_Prot#'!A:AL,11,FALSE)</f>
        <v>34</v>
      </c>
      <c r="AJ85" s="49">
        <f>VLOOKUP(B85,'SegEnds_NonXtal_Prot#'!A:AL,22,FALSE)-VLOOKUP(B85,'SegEnds_NonXtal_Prot#'!A:AL,19,FALSE)</f>
        <v>20</v>
      </c>
      <c r="AK85" s="49">
        <f>VLOOKUP(B85,'SegEnds_NonXtal_Prot#'!A:AL,15,FALSE)-VLOOKUP(B85,'SegEnds_NonXtal_Prot#'!A:AL,14,FALSE)</f>
        <v>1</v>
      </c>
      <c r="AL85" s="49">
        <f>VLOOKUP(B85,'SegEnds_NonXtal_Prot#'!A:AL,18,FALSE)-VLOOKUP(B85,'SegEnds_NonXtal_Prot#'!A:AL,17,FALSE)</f>
        <v>1</v>
      </c>
      <c r="AM85" s="2">
        <f>VLOOKUP(B85,'SegEnds_NonXtal_Prot#'!A:AL,34,FALSE)-VLOOKUP(B85,'SegEnds_NonXtal_Prot#'!A:AL,31,FALSE)</f>
        <v>37</v>
      </c>
    </row>
    <row r="86" spans="1:64" x14ac:dyDescent="0.2">
      <c r="A86" s="2" t="str">
        <f t="shared" ref="A86" si="11">CONCATENATE(B86,"__wt",)</f>
        <v>mc4r_human__wt</v>
      </c>
      <c r="B86" s="2" t="s">
        <v>296</v>
      </c>
      <c r="C86" s="2">
        <f>IFERROR(50+VLOOKUP($A86,'SegEnds_Xtal_Prot#'!$A:$AY,5,FALSE)-VLOOKUP($B86,'SegEnds_NonXtal_Prot#'!$A:$AL,4,FALSE),"-")</f>
        <v>35</v>
      </c>
      <c r="D86" s="2">
        <f>IFERROR(50+VLOOKUP($A86,'SegEnds_Xtal_Prot#'!$A:$AY,7,FALSE)-VLOOKUP($B86,'SegEnds_NonXtal_Prot#'!$A:$AL,4,FALSE),"-")</f>
        <v>60</v>
      </c>
      <c r="E86" s="2">
        <f>IFERROR(50+VLOOKUP($A86,'SegEnds_Xtal_Prot#'!$A:$AY,9,FALSE)-VLOOKUP($B86,'SegEnds_NonXtal_Prot#'!$A:$AL,7,FALSE),"-")</f>
        <v>48</v>
      </c>
      <c r="F86" s="2">
        <f>IFERROR(50+VLOOKUP($A86,'SegEnds_Xtal_Prot#'!$A:$AY,11,FALSE)-VLOOKUP($B86,'SegEnds_NonXtal_Prot#'!$A:$AL,7,FALSE),"-")</f>
        <v>51</v>
      </c>
      <c r="G86" s="2">
        <f>IFERROR(50+VLOOKUP($A86,'SegEnds_Xtal_Prot#'!$A:$AY,13,FALSE)-VLOOKUP($B86,'SegEnds_NonXtal_Prot#'!$A:$AL,10,FALSE),"-")</f>
        <v>37</v>
      </c>
      <c r="H86" s="2">
        <f>IFERROR(50+VLOOKUP($A86,'SegEnds_Xtal_Prot#'!$A:$AY,15,FALSE)-VLOOKUP($B86,'SegEnds_NonXtal_Prot#'!$A:$AL,10,FALSE),"-")</f>
        <v>67</v>
      </c>
      <c r="I86" s="2" t="str">
        <f>IFERROR(50+VLOOKUP($A86,'SegEnds_Xtal_Prot#'!$A:$AY,17,FALSE)-VLOOKUP($B86,'SegEnds_NonXtal_Prot#'!$A:$AL,13,FALSE),"-")</f>
        <v>-</v>
      </c>
      <c r="J86" s="2" t="str">
        <f>IFERROR(50+VLOOKUP($A86,'SegEnds_Xtal_Prot#'!$A:$AY,19,FALSE)-VLOOKUP($B86,'SegEnds_NonXtal_Prot#'!$A:$AL,13,FALSE),"-")</f>
        <v>-</v>
      </c>
      <c r="K86" s="2">
        <f>IFERROR(50+VLOOKUP($A86,'SegEnds_Xtal_Prot#'!$A:$AY,21,FALSE)-VLOOKUP($B86,'SegEnds_NonXtal_Prot#'!$A:$AL,16,FALSE),"-")</f>
        <v>18</v>
      </c>
      <c r="L86" s="2">
        <f>IFERROR(50+VLOOKUP($A86,'SegEnds_Xtal_Prot#'!$A:$AY,23,FALSE)-VLOOKUP($B86,'SegEnds_NonXtal_Prot#'!$A:$AL,16,FALSE),"-")</f>
        <v>56</v>
      </c>
      <c r="M86" s="2">
        <f>IFERROR(50+VLOOKUP($A86,'SegEnds_Xtal_Prot#'!$A:$AY,25,FALSE)-VLOOKUP($B86,'SegEnds_NonXtal_Prot#'!$A:$AL,19,FALSE),"-")</f>
        <v>50</v>
      </c>
      <c r="N86" s="2">
        <f>IFERROR(50+VLOOKUP($A86,'SegEnds_Xtal_Prot#'!$A:$AY,27,FALSE)-VLOOKUP($B86,'SegEnds_NonXtal_Prot#'!$A:$AL,19,FALSE),"-")</f>
        <v>57</v>
      </c>
      <c r="O86" s="2">
        <f>IFERROR(50+VLOOKUP($A86,'SegEnds_Xtal_Prot#'!$A:$AY,29,FALSE)-VLOOKUP($B86,'SegEnds_NonXtal_Prot#'!$A:$AL,22,FALSE),"-")</f>
        <v>38</v>
      </c>
      <c r="P86" s="2">
        <f>IFERROR(50+VLOOKUP($A86,'SegEnds_Xtal_Prot#'!$A:$AY,31,FALSE)-VLOOKUP($B86,'SegEnds_NonXtal_Prot#'!$A:$AL,22,FALSE),"-")</f>
        <v>64</v>
      </c>
      <c r="Q86" s="2" t="str">
        <f>IFERROR(50+VLOOKUP($A86,'SegEnds_Xtal_Prot#'!$A:$AY,33,FALSE)-VLOOKUP($B86,'SegEnds_NonXtal_Prot#'!$A:$AL,25,FALSE),"-")</f>
        <v>-</v>
      </c>
      <c r="R86" s="2" t="str">
        <f>IFERROR(50+VLOOKUP($A86,'SegEnds_Xtal_Prot#'!$A:$AY,35,FALSE)-VLOOKUP($B86,'SegEnds_NonXtal_Prot#'!$A:$AL,25,FALSE),"-")</f>
        <v>-</v>
      </c>
      <c r="S86" s="2">
        <f>IFERROR(50+VLOOKUP($A86,'SegEnds_Xtal_Prot#'!$A:$AY,37,FALSE)-VLOOKUP($B86,'SegEnds_NonXtal_Prot#'!$A:$AL,28,FALSE),"-")</f>
        <v>36</v>
      </c>
      <c r="T86" s="2">
        <f>IFERROR(50+VLOOKUP($A86,'SegEnds_Xtal_Prot#'!$A:$AY,39,FALSE)-VLOOKUP($B86,'SegEnds_NonXtal_Prot#'!$A:$AL,28,FALSE),"-")</f>
        <v>73</v>
      </c>
      <c r="U86" s="2">
        <f>IFERROR(50+VLOOKUP($A86,'SegEnds_Xtal_Prot#'!$A:$AY,41,FALSE)-VLOOKUP($B86,'SegEnds_NonXtal_Prot#'!$A:$AL,31,FALSE),"-")</f>
        <v>27</v>
      </c>
      <c r="V86" s="2">
        <f>IFERROR(50+VLOOKUP($A86,'SegEnds_Xtal_Prot#'!$A:$AY,43,FALSE)-VLOOKUP($B86,'SegEnds_NonXtal_Prot#'!$A:$AL,31,FALSE),"-")</f>
        <v>61</v>
      </c>
      <c r="W86" s="2">
        <f>IFERROR(50+VLOOKUP($A86,'SegEnds_Xtal_Prot#'!$A:$AY,45,FALSE)-VLOOKUP($B86,'SegEnds_NonXtal_Prot#'!$A:$AL,34,FALSE),"-")</f>
        <v>34</v>
      </c>
      <c r="X86" s="2">
        <f>IFERROR(50+VLOOKUP($A86,'SegEnds_Xtal_Prot#'!$A:$AY,47,FALSE)-VLOOKUP($B86,'SegEnds_NonXtal_Prot#'!$A:$AL,34,FALSE),"-")</f>
        <v>56</v>
      </c>
      <c r="Y86" s="2">
        <f>IFERROR(50+VLOOKUP($A86,'SegEnds_Xtal_Prot#'!$A:$AY,49,FALSE)-VLOOKUP($B86,'SegEnds_NonXtal_Prot#'!$A:$AL,37,FALSE),"-")</f>
        <v>47</v>
      </c>
      <c r="Z86" s="2">
        <f>IFERROR(50+VLOOKUP($A86,'SegEnds_Xtal_Prot#'!$A:$AY,51,FALSE)-VLOOKUP($B86,'SegEnds_NonXtal_Prot#'!$A:$AL,37,FALSE),"-")</f>
        <v>61</v>
      </c>
      <c r="AA86" s="49" t="str">
        <f>VLOOKUP(B86,Classification!A:D,2,FALSE)</f>
        <v>A</v>
      </c>
      <c r="AB86" s="94" t="str">
        <f>VLOOKUP(B86,Classification!A:D,4,0)</f>
        <v>Melanocortin</v>
      </c>
      <c r="AC86" s="49">
        <f>VLOOKUP(B86,'SegEnds_NonXtal_Prot#'!A:AL,6,FALSE)-VLOOKUP(B86,'SegEnds_NonXtal_Prot#'!A:AL,5,FALSE)</f>
        <v>1</v>
      </c>
      <c r="AD86" s="49">
        <f>VLOOKUP(B86,'SegEnds_NonXtal_Prot#'!A:AL,9,FALSE)-VLOOKUP(B86,'SegEnds_NonXtal_Prot#'!A:AL,8,FALSE)</f>
        <v>1</v>
      </c>
      <c r="AE86" s="49" t="e">
        <f>VLOOKUP(B86,'SegEnds_NonXtal_Prot#'!A:AL,13,FALSE)-VLOOKUP(B86,'SegEnds_NonXtal_Prot#'!A:AL,10,FALSE)</f>
        <v>#VALUE!</v>
      </c>
      <c r="AF86" s="49" t="e">
        <f>VLOOKUP(B86,'SegEnds_NonXtal_Prot#'!A:AL,12,FALSE)-VLOOKUP(B86,'SegEnds_NonXtal_Prot#'!A:AL,11,FALSE)</f>
        <v>#VALUE!</v>
      </c>
      <c r="AG86" s="49" t="e">
        <f>VLOOKUP(B86,'SegEnds_NonXtal_Prot#'!A:AL,13,FALSE)-VLOOKUP(B86,'SegEnds_NonXtal_Prot#'!A:AL,11,FALSE)</f>
        <v>#VALUE!</v>
      </c>
      <c r="AH86" s="49">
        <f>VLOOKUP(B86,'SegEnds_NonXtal_Prot#'!A:AL,16,FALSE)-VLOOKUP(B86,'SegEnds_NonXtal_Prot#'!A:AL,10,FALSE)</f>
        <v>57</v>
      </c>
      <c r="AI86" s="49">
        <f>VLOOKUP(B86,'SegEnds_NonXtal_Prot#'!A:AL,16,FALSE)-VLOOKUP(B86,'SegEnds_NonXtal_Prot#'!A:AL,11,FALSE)</f>
        <v>40</v>
      </c>
      <c r="AJ86" s="49">
        <f>VLOOKUP(B86,'SegEnds_NonXtal_Prot#'!A:AL,22,FALSE)-VLOOKUP(B86,'SegEnds_NonXtal_Prot#'!A:AL,19,FALSE)</f>
        <v>20</v>
      </c>
      <c r="AK86" s="49" t="e">
        <f>VLOOKUP(B86,'SegEnds_NonXtal_Prot#'!A:AL,15,FALSE)-VLOOKUP(B86,'SegEnds_NonXtal_Prot#'!A:AL,14,FALSE)</f>
        <v>#VALUE!</v>
      </c>
      <c r="AL86" s="49">
        <f>VLOOKUP(B86,'SegEnds_NonXtal_Prot#'!A:AL,18,FALSE)-VLOOKUP(B86,'SegEnds_NonXtal_Prot#'!A:AL,17,FALSE)</f>
        <v>1</v>
      </c>
      <c r="AM86" s="2">
        <f>VLOOKUP(B86,'SegEnds_NonXtal_Prot#'!A:AL,34,FALSE)-VLOOKUP(B86,'SegEnds_NonXtal_Prot#'!A:AL,31,FALSE)</f>
        <v>39</v>
      </c>
    </row>
    <row r="87" spans="1:64" x14ac:dyDescent="0.2">
      <c r="A87" s="2" t="str">
        <f t="shared" ref="A87" si="12">CONCATENATE(B87,"__wt",)</f>
        <v>ccr6_human__wt</v>
      </c>
      <c r="B87" s="2" t="s">
        <v>174</v>
      </c>
      <c r="C87" s="2">
        <f>IFERROR(50+VLOOKUP($A87,'SegEnds_Xtal_Prot#'!$A:$AY,5,FALSE)-VLOOKUP($B87,'SegEnds_NonXtal_Prot#'!$A:$AL,4,FALSE),"-")</f>
        <v>25</v>
      </c>
      <c r="D87" s="2">
        <f>IFERROR(50+VLOOKUP($A87,'SegEnds_Xtal_Prot#'!$A:$AY,7,FALSE)-VLOOKUP($B87,'SegEnds_NonXtal_Prot#'!$A:$AL,4,FALSE),"-")</f>
        <v>60</v>
      </c>
      <c r="E87" s="2">
        <f>IFERROR(50+VLOOKUP($A87,'SegEnds_Xtal_Prot#'!$A:$AY,9,FALSE)-VLOOKUP($B87,'SegEnds_NonXtal_Prot#'!$A:$AL,7,FALSE),"-")</f>
        <v>48</v>
      </c>
      <c r="F87" s="2">
        <f>IFERROR(50+VLOOKUP($A87,'SegEnds_Xtal_Prot#'!$A:$AY,11,FALSE)-VLOOKUP($B87,'SegEnds_NonXtal_Prot#'!$A:$AL,7,FALSE),"-")</f>
        <v>51</v>
      </c>
      <c r="G87" s="2">
        <f>IFERROR(50+VLOOKUP($A87,'SegEnds_Xtal_Prot#'!$A:$AY,13,FALSE)-VLOOKUP($B87,'SegEnds_NonXtal_Prot#'!$A:$AL,10,FALSE),"-")</f>
        <v>37</v>
      </c>
      <c r="H87" s="2">
        <f>IFERROR(50+VLOOKUP($A87,'SegEnds_Xtal_Prot#'!$A:$AY,15,FALSE)-VLOOKUP($B87,'SegEnds_NonXtal_Prot#'!$A:$AL,10,FALSE),"-")</f>
        <v>67</v>
      </c>
      <c r="I87" s="2">
        <f>IFERROR(50+VLOOKUP($A87,'SegEnds_Xtal_Prot#'!$A:$AY,17,FALSE)-VLOOKUP($B87,'SegEnds_NonXtal_Prot#'!$A:$AL,13,FALSE),"-")</f>
        <v>49</v>
      </c>
      <c r="J87" s="2">
        <f>IFERROR(50+VLOOKUP($A87,'SegEnds_Xtal_Prot#'!$A:$AY,19,FALSE)-VLOOKUP($B87,'SegEnds_NonXtal_Prot#'!$A:$AL,13,FALSE),"-")</f>
        <v>52</v>
      </c>
      <c r="K87" s="2">
        <f>IFERROR(50+VLOOKUP($A87,'SegEnds_Xtal_Prot#'!$A:$AY,21,FALSE)-VLOOKUP($B87,'SegEnds_NonXtal_Prot#'!$A:$AL,16,FALSE),"-")</f>
        <v>21</v>
      </c>
      <c r="L87" s="2">
        <f>IFERROR(50+VLOOKUP($A87,'SegEnds_Xtal_Prot#'!$A:$AY,23,FALSE)-VLOOKUP($B87,'SegEnds_NonXtal_Prot#'!$A:$AL,16,FALSE),"-")</f>
        <v>56</v>
      </c>
      <c r="M87" s="2">
        <f>IFERROR(50+VLOOKUP($A87,'SegEnds_Xtal_Prot#'!$A:$AY,25,FALSE)-VLOOKUP($B87,'SegEnds_NonXtal_Prot#'!$A:$AL,19,FALSE),"-")</f>
        <v>50</v>
      </c>
      <c r="N87" s="2">
        <f>IFERROR(50+VLOOKUP($A87,'SegEnds_Xtal_Prot#'!$A:$AY,27,FALSE)-VLOOKUP($B87,'SegEnds_NonXtal_Prot#'!$A:$AL,19,FALSE),"-")</f>
        <v>56</v>
      </c>
      <c r="O87" s="2">
        <f>IFERROR(50+VLOOKUP($A87,'SegEnds_Xtal_Prot#'!$A:$AY,29,FALSE)-VLOOKUP($B87,'SegEnds_NonXtal_Prot#'!$A:$AL,22,FALSE),"-")</f>
        <v>38</v>
      </c>
      <c r="P87" s="2">
        <f>IFERROR(50+VLOOKUP($A87,'SegEnds_Xtal_Prot#'!$A:$AY,31,FALSE)-VLOOKUP($B87,'SegEnds_NonXtal_Prot#'!$A:$AL,22,FALSE),"-")</f>
        <v>64</v>
      </c>
      <c r="Q87" s="2">
        <f>IFERROR(50+VLOOKUP($A87,'SegEnds_Xtal_Prot#'!$A:$AY,33,FALSE)-VLOOKUP($B87,'SegEnds_NonXtal_Prot#'!$A:$AL,25,FALSE),"-")</f>
        <v>50</v>
      </c>
      <c r="R87" s="2">
        <f>IFERROR(50+VLOOKUP($A87,'SegEnds_Xtal_Prot#'!$A:$AY,35,FALSE)-VLOOKUP($B87,'SegEnds_NonXtal_Prot#'!$A:$AL,25,FALSE),"-")</f>
        <v>52</v>
      </c>
      <c r="S87" s="2">
        <f>IFERROR(50+VLOOKUP($A87,'SegEnds_Xtal_Prot#'!$A:$AY,37,FALSE)-VLOOKUP($B87,'SegEnds_NonXtal_Prot#'!$A:$AL,28,FALSE),"-")</f>
        <v>31</v>
      </c>
      <c r="T87" s="2">
        <f>IFERROR(50+VLOOKUP($A87,'SegEnds_Xtal_Prot#'!$A:$AY,39,FALSE)-VLOOKUP($B87,'SegEnds_NonXtal_Prot#'!$A:$AL,28,FALSE),"-")</f>
        <v>49</v>
      </c>
      <c r="U87" s="2">
        <f>IFERROR(50+VLOOKUP($A87,'SegEnds_Xtal_Prot#'!$A:$AY,41,FALSE)-VLOOKUP($B87,'SegEnds_NonXtal_Prot#'!$A:$AL,31,FALSE),"-")</f>
        <v>30</v>
      </c>
      <c r="V87" s="2">
        <f>IFERROR(50+VLOOKUP($A87,'SegEnds_Xtal_Prot#'!$A:$AY,43,FALSE)-VLOOKUP($B87,'SegEnds_NonXtal_Prot#'!$A:$AL,31,FALSE),"-")</f>
        <v>60</v>
      </c>
      <c r="W87" s="2">
        <f>IFERROR(50+VLOOKUP($A87,'SegEnds_Xtal_Prot#'!$A:$AY,45,FALSE)-VLOOKUP($B87,'SegEnds_NonXtal_Prot#'!$A:$AL,34,FALSE),"-")</f>
        <v>24</v>
      </c>
      <c r="X87" s="2">
        <f>IFERROR(50+VLOOKUP($A87,'SegEnds_Xtal_Prot#'!$A:$AY,47,FALSE)-VLOOKUP($B87,'SegEnds_NonXtal_Prot#'!$A:$AL,34,FALSE),"-")</f>
        <v>56</v>
      </c>
      <c r="Y87" s="2">
        <f>IFERROR(50+VLOOKUP($A87,'SegEnds_Xtal_Prot#'!$A:$AY,49,FALSE)-VLOOKUP($B87,'SegEnds_NonXtal_Prot#'!$A:$AL,37,FALSE),"-")</f>
        <v>47</v>
      </c>
      <c r="Z87" s="2">
        <f>IFERROR(50+VLOOKUP($A87,'SegEnds_Xtal_Prot#'!$A:$AY,51,FALSE)-VLOOKUP($B87,'SegEnds_NonXtal_Prot#'!$A:$AL,37,FALSE),"-")</f>
        <v>62</v>
      </c>
      <c r="AA87" s="49" t="str">
        <f>VLOOKUP(B87,Classification!A:D,2,FALSE)</f>
        <v>A</v>
      </c>
      <c r="AB87" s="94" t="str">
        <f>VLOOKUP(B87,Classification!A:D,4,0)</f>
        <v>Chemokine</v>
      </c>
      <c r="AC87" s="49">
        <f>VLOOKUP(B87,'SegEnds_NonXtal_Prot#'!A:AL,6,FALSE)-VLOOKUP(B87,'SegEnds_NonXtal_Prot#'!A:AL,5,FALSE)</f>
        <v>1</v>
      </c>
      <c r="AD87" s="49">
        <f>VLOOKUP(B87,'SegEnds_NonXtal_Prot#'!A:AL,9,FALSE)-VLOOKUP(B87,'SegEnds_NonXtal_Prot#'!A:AL,8,FALSE)</f>
        <v>1</v>
      </c>
      <c r="AE87" s="49">
        <f>VLOOKUP(B87,'SegEnds_NonXtal_Prot#'!A:AL,13,FALSE)-VLOOKUP(B87,'SegEnds_NonXtal_Prot#'!A:AL,10,FALSE)</f>
        <v>19</v>
      </c>
      <c r="AF87" s="49">
        <f>VLOOKUP(B87,'SegEnds_NonXtal_Prot#'!A:AL,12,FALSE)-VLOOKUP(B87,'SegEnds_NonXtal_Prot#'!A:AL,11,FALSE)</f>
        <v>1</v>
      </c>
      <c r="AG87" s="49">
        <f>VLOOKUP(B87,'SegEnds_NonXtal_Prot#'!A:AL,13,FALSE)-VLOOKUP(B87,'SegEnds_NonXtal_Prot#'!A:AL,11,FALSE)</f>
        <v>2</v>
      </c>
      <c r="AH87" s="49">
        <f>VLOOKUP(B87,'SegEnds_NonXtal_Prot#'!A:AL,16,FALSE)-VLOOKUP(B87,'SegEnds_NonXtal_Prot#'!A:AL,10,FALSE)</f>
        <v>51</v>
      </c>
      <c r="AI87" s="49">
        <f>VLOOKUP(B87,'SegEnds_NonXtal_Prot#'!A:AL,16,FALSE)-VLOOKUP(B87,'SegEnds_NonXtal_Prot#'!A:AL,11,FALSE)</f>
        <v>34</v>
      </c>
      <c r="AJ87" s="49">
        <f>VLOOKUP(B87,'SegEnds_NonXtal_Prot#'!A:AL,22,FALSE)-VLOOKUP(B87,'SegEnds_NonXtal_Prot#'!A:AL,19,FALSE)</f>
        <v>22</v>
      </c>
      <c r="AK87" s="49">
        <f>VLOOKUP(B87,'SegEnds_NonXtal_Prot#'!A:AL,15,FALSE)-VLOOKUP(B87,'SegEnds_NonXtal_Prot#'!A:AL,14,FALSE)</f>
        <v>1</v>
      </c>
      <c r="AL87" s="49">
        <f>VLOOKUP(B87,'SegEnds_NonXtal_Prot#'!A:AL,18,FALSE)-VLOOKUP(B87,'SegEnds_NonXtal_Prot#'!A:AL,17,FALSE)</f>
        <v>1</v>
      </c>
      <c r="AM87" s="2">
        <f>VLOOKUP(B87,'SegEnds_NonXtal_Prot#'!A:AL,34,FALSE)-VLOOKUP(B87,'SegEnds_NonXtal_Prot#'!A:AL,31,FALSE)</f>
        <v>44</v>
      </c>
    </row>
    <row r="88" spans="1:64" x14ac:dyDescent="0.2">
      <c r="A88" s="2" t="str">
        <f t="shared" ref="A88" si="13">CONCATENATE(B88,"__wt",)</f>
        <v>drd4_mouse__wt</v>
      </c>
      <c r="B88" s="2" t="s">
        <v>1690</v>
      </c>
      <c r="C88" s="2">
        <f>IFERROR(50+VLOOKUP($A88,'SegEnds_Xtal_Prot#'!$A:$AY,5,FALSE)-VLOOKUP($B88,'SegEnds_NonXtal_Prot#'!$A:$AL,4,FALSE),"-")</f>
        <v>29</v>
      </c>
      <c r="D88" s="2">
        <f>IFERROR(50+VLOOKUP($A88,'SegEnds_Xtal_Prot#'!$A:$AY,7,FALSE)-VLOOKUP($B88,'SegEnds_NonXtal_Prot#'!$A:$AL,4,FALSE),"-")</f>
        <v>60</v>
      </c>
      <c r="E88" s="2">
        <f>IFERROR(50+VLOOKUP($A88,'SegEnds_Xtal_Prot#'!$A:$AY,9,FALSE)-VLOOKUP($B88,'SegEnds_NonXtal_Prot#'!$A:$AL,7,FALSE),"-")</f>
        <v>48</v>
      </c>
      <c r="F88" s="2">
        <f>IFERROR(50+VLOOKUP($A88,'SegEnds_Xtal_Prot#'!$A:$AY,11,FALSE)-VLOOKUP($B88,'SegEnds_NonXtal_Prot#'!$A:$AL,7,FALSE),"-")</f>
        <v>51</v>
      </c>
      <c r="G88" s="2">
        <f>IFERROR(50+VLOOKUP($A88,'SegEnds_Xtal_Prot#'!$A:$AY,13,FALSE)-VLOOKUP($B88,'SegEnds_NonXtal_Prot#'!$A:$AL,10,FALSE),"-")</f>
        <v>37</v>
      </c>
      <c r="H88" s="2">
        <f>IFERROR(50+VLOOKUP($A88,'SegEnds_Xtal_Prot#'!$A:$AY,15,FALSE)-VLOOKUP($B88,'SegEnds_NonXtal_Prot#'!$A:$AL,10,FALSE),"-")</f>
        <v>68</v>
      </c>
      <c r="I88" s="2">
        <f>IFERROR(50+VLOOKUP($A88,'SegEnds_Xtal_Prot#'!$A:$AY,17,FALSE)-VLOOKUP($B88,'SegEnds_NonXtal_Prot#'!$A:$AL,13,FALSE),"-")</f>
        <v>49</v>
      </c>
      <c r="J88" s="2">
        <f>IFERROR(50+VLOOKUP($A88,'SegEnds_Xtal_Prot#'!$A:$AY,19,FALSE)-VLOOKUP($B88,'SegEnds_NonXtal_Prot#'!$A:$AL,13,FALSE),"-")</f>
        <v>52</v>
      </c>
      <c r="K88" s="2">
        <f>IFERROR(50+VLOOKUP($A88,'SegEnds_Xtal_Prot#'!$A:$AY,21,FALSE)-VLOOKUP($B88,'SegEnds_NonXtal_Prot#'!$A:$AL,16,FALSE),"-")</f>
        <v>21</v>
      </c>
      <c r="L88" s="2">
        <f>IFERROR(50+VLOOKUP($A88,'SegEnds_Xtal_Prot#'!$A:$AY,23,FALSE)-VLOOKUP($B88,'SegEnds_NonXtal_Prot#'!$A:$AL,16,FALSE),"-")</f>
        <v>56</v>
      </c>
      <c r="M88" s="2">
        <f>IFERROR(50+VLOOKUP($A88,'SegEnds_Xtal_Prot#'!$A:$AY,25,FALSE)-VLOOKUP($B88,'SegEnds_NonXtal_Prot#'!$A:$AL,19,FALSE),"-")</f>
        <v>50</v>
      </c>
      <c r="N88" s="2">
        <f>IFERROR(50+VLOOKUP($A88,'SegEnds_Xtal_Prot#'!$A:$AY,27,FALSE)-VLOOKUP($B88,'SegEnds_NonXtal_Prot#'!$A:$AL,19,FALSE),"-")</f>
        <v>53</v>
      </c>
      <c r="O88" s="2">
        <f>IFERROR(50+VLOOKUP($A88,'SegEnds_Xtal_Prot#'!$A:$AY,29,FALSE)-VLOOKUP($B88,'SegEnds_NonXtal_Prot#'!$A:$AL,22,FALSE),"-")</f>
        <v>36</v>
      </c>
      <c r="P88" s="2">
        <f>IFERROR(50+VLOOKUP($A88,'SegEnds_Xtal_Prot#'!$A:$AY,31,FALSE)-VLOOKUP($B88,'SegEnds_NonXtal_Prot#'!$A:$AL,22,FALSE),"-")</f>
        <v>63</v>
      </c>
      <c r="Q88" s="2">
        <f>IFERROR(50+VLOOKUP($A88,'SegEnds_Xtal_Prot#'!$A:$AY,33,FALSE)-VLOOKUP($B88,'SegEnds_NonXtal_Prot#'!$A:$AL,25,FALSE),"-")</f>
        <v>50</v>
      </c>
      <c r="R88" s="2">
        <f>IFERROR(50+VLOOKUP($A88,'SegEnds_Xtal_Prot#'!$A:$AY,35,FALSE)-VLOOKUP($B88,'SegEnds_NonXtal_Prot#'!$A:$AL,25,FALSE),"-")</f>
        <v>52</v>
      </c>
      <c r="S88" s="2">
        <f>IFERROR(50+VLOOKUP($A88,'SegEnds_Xtal_Prot#'!$A:$AY,37,FALSE)-VLOOKUP($B88,'SegEnds_NonXtal_Prot#'!$A:$AL,28,FALSE),"-")</f>
        <v>35</v>
      </c>
      <c r="T88" s="2">
        <f>IFERROR(50+VLOOKUP($A88,'SegEnds_Xtal_Prot#'!$A:$AY,39,FALSE)-VLOOKUP($B88,'SegEnds_NonXtal_Prot#'!$A:$AL,28,FALSE),"-")</f>
        <v>76</v>
      </c>
      <c r="U88" s="2">
        <f>IFERROR(50+VLOOKUP($A88,'SegEnds_Xtal_Prot#'!$A:$AY,41,FALSE)-VLOOKUP($B88,'SegEnds_NonXtal_Prot#'!$A:$AL,31,FALSE),"-")</f>
        <v>24</v>
      </c>
      <c r="V88" s="2">
        <f>IFERROR(50+VLOOKUP($A88,'SegEnds_Xtal_Prot#'!$A:$AY,43,FALSE)-VLOOKUP($B88,'SegEnds_NonXtal_Prot#'!$A:$AL,31,FALSE),"-")</f>
        <v>61</v>
      </c>
      <c r="W88" s="2">
        <f>IFERROR(50+VLOOKUP($A88,'SegEnds_Xtal_Prot#'!$A:$AY,45,FALSE)-VLOOKUP($B88,'SegEnds_NonXtal_Prot#'!$A:$AL,34,FALSE),"-")</f>
        <v>31</v>
      </c>
      <c r="X88" s="2">
        <f>IFERROR(50+VLOOKUP($A88,'SegEnds_Xtal_Prot#'!$A:$AY,47,FALSE)-VLOOKUP($B88,'SegEnds_NonXtal_Prot#'!$A:$AL,34,FALSE),"-")</f>
        <v>56</v>
      </c>
      <c r="Y88" s="2">
        <f>IFERROR(50+VLOOKUP($A88,'SegEnds_Xtal_Prot#'!$A:$AY,49,FALSE)-VLOOKUP($B88,'SegEnds_NonXtal_Prot#'!$A:$AL,37,FALSE),"-")</f>
        <v>47</v>
      </c>
      <c r="Z88" s="2">
        <f>IFERROR(50+VLOOKUP($A88,'SegEnds_Xtal_Prot#'!$A:$AY,51,FALSE)-VLOOKUP($B88,'SegEnds_NonXtal_Prot#'!$A:$AL,37,FALSE),"-")</f>
        <v>59</v>
      </c>
      <c r="AA88" s="49" t="str">
        <f>VLOOKUP(B88,Classification!A:D,2,FALSE)</f>
        <v>A</v>
      </c>
      <c r="AB88" s="94" t="str">
        <f>VLOOKUP(B88,Classification!A:D,4,0)</f>
        <v>Dopamine</v>
      </c>
      <c r="AC88" s="49">
        <f>VLOOKUP(B88,'SegEnds_NonXtal_Prot#'!A:AL,6,FALSE)-VLOOKUP(B88,'SegEnds_NonXtal_Prot#'!A:AL,5,FALSE)</f>
        <v>1</v>
      </c>
      <c r="AD88" s="49">
        <f>VLOOKUP(B88,'SegEnds_NonXtal_Prot#'!A:AL,9,FALSE)-VLOOKUP(B88,'SegEnds_NonXtal_Prot#'!A:AL,8,FALSE)</f>
        <v>1</v>
      </c>
      <c r="AE88" s="49">
        <f>VLOOKUP(B88,'SegEnds_NonXtal_Prot#'!A:AL,13,FALSE)-VLOOKUP(B88,'SegEnds_NonXtal_Prot#'!A:AL,10,FALSE)</f>
        <v>21</v>
      </c>
      <c r="AF88" s="49">
        <f>VLOOKUP(B88,'SegEnds_NonXtal_Prot#'!A:AL,12,FALSE)-VLOOKUP(B88,'SegEnds_NonXtal_Prot#'!A:AL,11,FALSE)</f>
        <v>2</v>
      </c>
      <c r="AG88" s="49">
        <f>VLOOKUP(B88,'SegEnds_NonXtal_Prot#'!A:AL,13,FALSE)-VLOOKUP(B88,'SegEnds_NonXtal_Prot#'!A:AL,11,FALSE)</f>
        <v>3</v>
      </c>
      <c r="AH88" s="49">
        <f>VLOOKUP(B88,'SegEnds_NonXtal_Prot#'!A:AL,16,FALSE)-VLOOKUP(B88,'SegEnds_NonXtal_Prot#'!A:AL,10,FALSE)</f>
        <v>53</v>
      </c>
      <c r="AI88" s="49">
        <f>VLOOKUP(B88,'SegEnds_NonXtal_Prot#'!A:AL,16,FALSE)-VLOOKUP(B88,'SegEnds_NonXtal_Prot#'!A:AL,11,FALSE)</f>
        <v>35</v>
      </c>
      <c r="AJ88" s="49">
        <f>VLOOKUP(B88,'SegEnds_NonXtal_Prot#'!A:AL,22,FALSE)-VLOOKUP(B88,'SegEnds_NonXtal_Prot#'!A:AL,19,FALSE)</f>
        <v>18</v>
      </c>
      <c r="AK88" s="49">
        <f>VLOOKUP(B88,'SegEnds_NonXtal_Prot#'!A:AL,15,FALSE)-VLOOKUP(B88,'SegEnds_NonXtal_Prot#'!A:AL,14,FALSE)</f>
        <v>1</v>
      </c>
      <c r="AL88" s="49">
        <f>VLOOKUP(B88,'SegEnds_NonXtal_Prot#'!A:AL,18,FALSE)-VLOOKUP(B88,'SegEnds_NonXtal_Prot#'!A:AL,17,FALSE)</f>
        <v>1</v>
      </c>
      <c r="AM88" s="2">
        <f>VLOOKUP(B88,'SegEnds_NonXtal_Prot#'!A:AL,34,FALSE)-VLOOKUP(B88,'SegEnds_NonXtal_Prot#'!A:AL,31,FALSE)</f>
        <v>36</v>
      </c>
    </row>
    <row r="89" spans="1:64" x14ac:dyDescent="0.2">
      <c r="A89" s="4"/>
      <c r="B89" s="4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49"/>
      <c r="AB89" s="96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2"/>
      <c r="AN89" s="38"/>
      <c r="AO89" s="30" t="s">
        <v>1056</v>
      </c>
      <c r="AP89" s="30" t="s">
        <v>1057</v>
      </c>
      <c r="AQ89" s="30" t="s">
        <v>1073</v>
      </c>
      <c r="AR89" s="30" t="s">
        <v>1074</v>
      </c>
      <c r="AS89" s="30" t="s">
        <v>1058</v>
      </c>
      <c r="AT89" s="30" t="s">
        <v>1059</v>
      </c>
      <c r="AU89" s="30" t="s">
        <v>1075</v>
      </c>
      <c r="AV89" s="30" t="s">
        <v>1076</v>
      </c>
      <c r="AW89" s="30" t="s">
        <v>1060</v>
      </c>
      <c r="AX89" s="30" t="s">
        <v>1061</v>
      </c>
      <c r="AY89" s="30" t="s">
        <v>1088</v>
      </c>
      <c r="AZ89" s="30" t="s">
        <v>1089</v>
      </c>
      <c r="BA89" s="30" t="s">
        <v>1062</v>
      </c>
      <c r="BB89" s="30" t="s">
        <v>1063</v>
      </c>
      <c r="BC89" s="30" t="s">
        <v>1091</v>
      </c>
      <c r="BD89" s="30" t="s">
        <v>1092</v>
      </c>
      <c r="BE89" s="30" t="s">
        <v>1064</v>
      </c>
      <c r="BF89" s="30" t="s">
        <v>1065</v>
      </c>
      <c r="BG89" s="30" t="s">
        <v>1066</v>
      </c>
      <c r="BH89" s="30" t="s">
        <v>1067</v>
      </c>
      <c r="BI89" s="30" t="s">
        <v>1068</v>
      </c>
      <c r="BJ89" s="30" t="s">
        <v>1069</v>
      </c>
      <c r="BK89" s="30" t="s">
        <v>1070</v>
      </c>
      <c r="BL89" s="30" t="s">
        <v>1071</v>
      </c>
    </row>
    <row r="90" spans="1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N90" s="38" t="s">
        <v>1</v>
      </c>
      <c r="AO90" s="4">
        <f t="shared" ref="AO90:BL90" si="14">MAX(C2:C42)</f>
        <v>34</v>
      </c>
      <c r="AP90" s="4">
        <f t="shared" si="14"/>
        <v>64</v>
      </c>
      <c r="AQ90" s="4">
        <f t="shared" si="14"/>
        <v>48</v>
      </c>
      <c r="AR90" s="4">
        <f t="shared" si="14"/>
        <v>52</v>
      </c>
      <c r="AS90" s="4">
        <f t="shared" si="14"/>
        <v>38</v>
      </c>
      <c r="AT90" s="4">
        <f t="shared" si="14"/>
        <v>69</v>
      </c>
      <c r="AU90" s="4">
        <f t="shared" si="14"/>
        <v>50</v>
      </c>
      <c r="AV90" s="4">
        <f t="shared" si="14"/>
        <v>53</v>
      </c>
      <c r="AW90" s="4">
        <f t="shared" si="14"/>
        <v>21</v>
      </c>
      <c r="AX90" s="4">
        <f t="shared" si="14"/>
        <v>56</v>
      </c>
      <c r="AY90" s="4">
        <f t="shared" si="14"/>
        <v>50</v>
      </c>
      <c r="AZ90" s="4">
        <f t="shared" si="14"/>
        <v>58</v>
      </c>
      <c r="BA90" s="4">
        <f t="shared" si="14"/>
        <v>38</v>
      </c>
      <c r="BB90" s="4">
        <f t="shared" si="14"/>
        <v>69</v>
      </c>
      <c r="BC90" s="4">
        <f t="shared" si="14"/>
        <v>50</v>
      </c>
      <c r="BD90" s="4">
        <f t="shared" si="14"/>
        <v>52</v>
      </c>
      <c r="BE90" s="4">
        <f t="shared" si="14"/>
        <v>36</v>
      </c>
      <c r="BF90" s="4">
        <f t="shared" si="14"/>
        <v>77</v>
      </c>
      <c r="BG90" s="4">
        <f t="shared" si="14"/>
        <v>30</v>
      </c>
      <c r="BH90" s="4">
        <f t="shared" si="14"/>
        <v>65</v>
      </c>
      <c r="BI90" s="4">
        <f t="shared" si="14"/>
        <v>32</v>
      </c>
      <c r="BJ90" s="4">
        <f t="shared" si="14"/>
        <v>56</v>
      </c>
      <c r="BK90" s="4">
        <f t="shared" si="14"/>
        <v>47</v>
      </c>
      <c r="BL90" s="4">
        <f t="shared" si="14"/>
        <v>69</v>
      </c>
    </row>
    <row r="91" spans="1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O91" s="4">
        <f t="shared" ref="AO91:BL91" si="15">MIN(C2:C42)</f>
        <v>22</v>
      </c>
      <c r="AP91" s="4">
        <f t="shared" si="15"/>
        <v>60</v>
      </c>
      <c r="AQ91" s="4">
        <f t="shared" si="15"/>
        <v>48</v>
      </c>
      <c r="AR91" s="4">
        <f t="shared" si="15"/>
        <v>51</v>
      </c>
      <c r="AS91" s="4">
        <f t="shared" si="15"/>
        <v>34</v>
      </c>
      <c r="AT91" s="4">
        <f t="shared" si="15"/>
        <v>63</v>
      </c>
      <c r="AU91" s="4">
        <f t="shared" si="15"/>
        <v>47</v>
      </c>
      <c r="AV91" s="4">
        <f t="shared" si="15"/>
        <v>52</v>
      </c>
      <c r="AW91" s="4">
        <f t="shared" si="15"/>
        <v>18</v>
      </c>
      <c r="AX91" s="4">
        <f t="shared" si="15"/>
        <v>55</v>
      </c>
      <c r="AY91" s="4">
        <f t="shared" si="15"/>
        <v>50</v>
      </c>
      <c r="AZ91" s="4">
        <f t="shared" si="15"/>
        <v>53</v>
      </c>
      <c r="BA91" s="4">
        <f t="shared" si="15"/>
        <v>35</v>
      </c>
      <c r="BB91" s="4">
        <f t="shared" si="15"/>
        <v>62</v>
      </c>
      <c r="BC91" s="4">
        <f t="shared" si="15"/>
        <v>50</v>
      </c>
      <c r="BD91" s="4">
        <f t="shared" si="15"/>
        <v>52</v>
      </c>
      <c r="BE91" s="4">
        <f t="shared" si="15"/>
        <v>28</v>
      </c>
      <c r="BF91" s="4">
        <f t="shared" si="15"/>
        <v>67</v>
      </c>
      <c r="BG91" s="4">
        <f t="shared" si="15"/>
        <v>18</v>
      </c>
      <c r="BH91" s="4">
        <f t="shared" si="15"/>
        <v>60</v>
      </c>
      <c r="BI91" s="4">
        <f t="shared" si="15"/>
        <v>24</v>
      </c>
      <c r="BJ91" s="4">
        <f t="shared" si="15"/>
        <v>55</v>
      </c>
      <c r="BK91" s="4">
        <f t="shared" si="15"/>
        <v>47</v>
      </c>
      <c r="BL91" s="4">
        <f t="shared" si="15"/>
        <v>57</v>
      </c>
    </row>
    <row r="92" spans="1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O92" s="4">
        <f t="shared" ref="AO92:BL92" si="16">AO90-AO91</f>
        <v>12</v>
      </c>
      <c r="AP92" s="4">
        <f t="shared" si="16"/>
        <v>4</v>
      </c>
      <c r="AQ92" s="4">
        <f t="shared" si="16"/>
        <v>0</v>
      </c>
      <c r="AR92" s="4">
        <f t="shared" si="16"/>
        <v>1</v>
      </c>
      <c r="AS92" s="4">
        <f t="shared" si="16"/>
        <v>4</v>
      </c>
      <c r="AT92" s="4">
        <f t="shared" si="16"/>
        <v>6</v>
      </c>
      <c r="AU92" s="4">
        <f t="shared" si="16"/>
        <v>3</v>
      </c>
      <c r="AV92" s="4">
        <f t="shared" si="16"/>
        <v>1</v>
      </c>
      <c r="AW92" s="4">
        <f t="shared" si="16"/>
        <v>3</v>
      </c>
      <c r="AX92" s="4">
        <f t="shared" si="16"/>
        <v>1</v>
      </c>
      <c r="AY92" s="4">
        <f t="shared" si="16"/>
        <v>0</v>
      </c>
      <c r="AZ92" s="4">
        <f t="shared" si="16"/>
        <v>5</v>
      </c>
      <c r="BA92" s="4">
        <f t="shared" si="16"/>
        <v>3</v>
      </c>
      <c r="BB92" s="4">
        <f t="shared" si="16"/>
        <v>7</v>
      </c>
      <c r="BC92" s="4">
        <f t="shared" si="16"/>
        <v>0</v>
      </c>
      <c r="BD92" s="4">
        <f t="shared" si="16"/>
        <v>0</v>
      </c>
      <c r="BE92" s="4">
        <f t="shared" si="16"/>
        <v>8</v>
      </c>
      <c r="BF92" s="4">
        <f t="shared" si="16"/>
        <v>10</v>
      </c>
      <c r="BG92" s="4">
        <f t="shared" si="16"/>
        <v>12</v>
      </c>
      <c r="BH92" s="4">
        <f t="shared" si="16"/>
        <v>5</v>
      </c>
      <c r="BI92" s="4">
        <f t="shared" si="16"/>
        <v>8</v>
      </c>
      <c r="BJ92" s="4">
        <f t="shared" si="16"/>
        <v>1</v>
      </c>
      <c r="BK92" s="4">
        <f t="shared" si="16"/>
        <v>0</v>
      </c>
      <c r="BL92" s="4">
        <f t="shared" si="16"/>
        <v>12</v>
      </c>
    </row>
    <row r="93" spans="1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N93" s="38" t="s">
        <v>1277</v>
      </c>
      <c r="AO93" s="4">
        <f t="shared" ref="AO93:BL93" si="17">MAX(C43:C46)</f>
        <v>29</v>
      </c>
      <c r="AP93" s="4">
        <f t="shared" si="17"/>
        <v>60</v>
      </c>
      <c r="AQ93" s="4">
        <f t="shared" si="17"/>
        <v>48</v>
      </c>
      <c r="AR93" s="4">
        <f t="shared" si="17"/>
        <v>51</v>
      </c>
      <c r="AS93" s="4">
        <f t="shared" si="17"/>
        <v>37</v>
      </c>
      <c r="AT93" s="4">
        <f t="shared" si="17"/>
        <v>66</v>
      </c>
      <c r="AU93" s="4">
        <f t="shared" si="17"/>
        <v>49</v>
      </c>
      <c r="AV93" s="4">
        <f t="shared" si="17"/>
        <v>52</v>
      </c>
      <c r="AW93" s="4">
        <f t="shared" si="17"/>
        <v>23</v>
      </c>
      <c r="AX93" s="4">
        <f t="shared" si="17"/>
        <v>56</v>
      </c>
      <c r="AY93" s="4">
        <f t="shared" si="17"/>
        <v>50</v>
      </c>
      <c r="AZ93" s="4">
        <f t="shared" si="17"/>
        <v>57</v>
      </c>
      <c r="BA93" s="4">
        <f t="shared" si="17"/>
        <v>41</v>
      </c>
      <c r="BB93" s="4">
        <f t="shared" si="17"/>
        <v>68</v>
      </c>
      <c r="BC93" s="4">
        <f t="shared" si="17"/>
        <v>50</v>
      </c>
      <c r="BD93" s="4">
        <f t="shared" si="17"/>
        <v>52</v>
      </c>
      <c r="BE93" s="4">
        <f t="shared" si="17"/>
        <v>40</v>
      </c>
      <c r="BF93" s="4">
        <f t="shared" si="17"/>
        <v>70</v>
      </c>
      <c r="BG93" s="4">
        <f t="shared" si="17"/>
        <v>30</v>
      </c>
      <c r="BH93" s="4">
        <f t="shared" si="17"/>
        <v>65</v>
      </c>
      <c r="BI93" s="4">
        <f t="shared" si="17"/>
        <v>31</v>
      </c>
      <c r="BJ93" s="4">
        <f t="shared" si="17"/>
        <v>56</v>
      </c>
      <c r="BK93" s="4">
        <f t="shared" si="17"/>
        <v>47</v>
      </c>
      <c r="BL93" s="4">
        <f t="shared" si="17"/>
        <v>72</v>
      </c>
    </row>
    <row r="94" spans="1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O94" s="4">
        <f t="shared" ref="AO94:BL94" si="18">MIN(C43:C46)</f>
        <v>19</v>
      </c>
      <c r="AP94" s="4">
        <f t="shared" si="18"/>
        <v>60</v>
      </c>
      <c r="AQ94" s="4">
        <f t="shared" si="18"/>
        <v>48</v>
      </c>
      <c r="AR94" s="4">
        <f t="shared" si="18"/>
        <v>51</v>
      </c>
      <c r="AS94" s="4">
        <f t="shared" si="18"/>
        <v>37</v>
      </c>
      <c r="AT94" s="4">
        <f t="shared" si="18"/>
        <v>63</v>
      </c>
      <c r="AU94" s="4">
        <f t="shared" si="18"/>
        <v>47</v>
      </c>
      <c r="AV94" s="4">
        <f t="shared" si="18"/>
        <v>52</v>
      </c>
      <c r="AW94" s="4">
        <f t="shared" si="18"/>
        <v>21</v>
      </c>
      <c r="AX94" s="4">
        <f t="shared" si="18"/>
        <v>56</v>
      </c>
      <c r="AY94" s="4">
        <f t="shared" si="18"/>
        <v>50</v>
      </c>
      <c r="AZ94" s="4">
        <f t="shared" si="18"/>
        <v>56</v>
      </c>
      <c r="BA94" s="4">
        <f t="shared" si="18"/>
        <v>38</v>
      </c>
      <c r="BB94" s="4">
        <f t="shared" si="18"/>
        <v>62</v>
      </c>
      <c r="BC94" s="4">
        <f t="shared" si="18"/>
        <v>50</v>
      </c>
      <c r="BD94" s="4">
        <f t="shared" si="18"/>
        <v>52</v>
      </c>
      <c r="BE94" s="4">
        <f t="shared" si="18"/>
        <v>31</v>
      </c>
      <c r="BF94" s="4">
        <f t="shared" si="18"/>
        <v>67</v>
      </c>
      <c r="BG94" s="4">
        <f t="shared" si="18"/>
        <v>25</v>
      </c>
      <c r="BH94" s="4">
        <f t="shared" si="18"/>
        <v>53</v>
      </c>
      <c r="BI94" s="4">
        <f t="shared" si="18"/>
        <v>28</v>
      </c>
      <c r="BJ94" s="4">
        <f t="shared" si="18"/>
        <v>56</v>
      </c>
      <c r="BK94" s="4">
        <f t="shared" si="18"/>
        <v>47</v>
      </c>
      <c r="BL94" s="4">
        <f t="shared" si="18"/>
        <v>61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O95" s="4">
        <f t="shared" ref="AO95:BL95" si="19">AO93-AO94</f>
        <v>10</v>
      </c>
      <c r="AP95" s="4">
        <f t="shared" si="19"/>
        <v>0</v>
      </c>
      <c r="AQ95" s="4">
        <f t="shared" si="19"/>
        <v>0</v>
      </c>
      <c r="AR95" s="4">
        <f t="shared" si="19"/>
        <v>0</v>
      </c>
      <c r="AS95" s="4">
        <f t="shared" si="19"/>
        <v>0</v>
      </c>
      <c r="AT95" s="4">
        <f t="shared" si="19"/>
        <v>3</v>
      </c>
      <c r="AU95" s="4">
        <f t="shared" si="19"/>
        <v>2</v>
      </c>
      <c r="AV95" s="4">
        <f t="shared" si="19"/>
        <v>0</v>
      </c>
      <c r="AW95" s="4">
        <f t="shared" si="19"/>
        <v>2</v>
      </c>
      <c r="AX95" s="4">
        <f t="shared" si="19"/>
        <v>0</v>
      </c>
      <c r="AY95" s="4">
        <f t="shared" si="19"/>
        <v>0</v>
      </c>
      <c r="AZ95" s="4">
        <f t="shared" si="19"/>
        <v>1</v>
      </c>
      <c r="BA95" s="4">
        <f t="shared" si="19"/>
        <v>3</v>
      </c>
      <c r="BB95" s="4">
        <f t="shared" si="19"/>
        <v>6</v>
      </c>
      <c r="BC95" s="4">
        <f t="shared" si="19"/>
        <v>0</v>
      </c>
      <c r="BD95" s="4">
        <f t="shared" si="19"/>
        <v>0</v>
      </c>
      <c r="BE95" s="4">
        <f t="shared" si="19"/>
        <v>9</v>
      </c>
      <c r="BF95" s="4">
        <f t="shared" si="19"/>
        <v>3</v>
      </c>
      <c r="BG95" s="4">
        <f t="shared" si="19"/>
        <v>5</v>
      </c>
      <c r="BH95" s="4">
        <f t="shared" si="19"/>
        <v>12</v>
      </c>
      <c r="BI95" s="4">
        <f t="shared" si="19"/>
        <v>3</v>
      </c>
      <c r="BJ95" s="4">
        <f t="shared" si="19"/>
        <v>0</v>
      </c>
      <c r="BK95" s="4">
        <f t="shared" si="19"/>
        <v>0</v>
      </c>
      <c r="BL95" s="4">
        <f t="shared" si="19"/>
        <v>11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N96" s="38" t="s">
        <v>27</v>
      </c>
      <c r="AO96" s="4">
        <f t="shared" ref="AO96:BL96" si="20">MAX(C47:C50)</f>
        <v>34</v>
      </c>
      <c r="AP96" s="4">
        <f t="shared" si="20"/>
        <v>60</v>
      </c>
      <c r="AQ96" s="4">
        <f t="shared" si="20"/>
        <v>48</v>
      </c>
      <c r="AR96" s="4">
        <f t="shared" si="20"/>
        <v>53</v>
      </c>
      <c r="AS96" s="4">
        <f t="shared" si="20"/>
        <v>39</v>
      </c>
      <c r="AT96" s="4">
        <f t="shared" si="20"/>
        <v>74</v>
      </c>
      <c r="AU96" s="4">
        <f t="shared" si="20"/>
        <v>0</v>
      </c>
      <c r="AV96" s="4">
        <f t="shared" si="20"/>
        <v>0</v>
      </c>
      <c r="AW96" s="4">
        <f t="shared" si="20"/>
        <v>23</v>
      </c>
      <c r="AX96" s="4">
        <f t="shared" si="20"/>
        <v>56</v>
      </c>
      <c r="AY96" s="4">
        <f t="shared" si="20"/>
        <v>0</v>
      </c>
      <c r="AZ96" s="4">
        <f t="shared" si="20"/>
        <v>0</v>
      </c>
      <c r="BA96" s="4">
        <f t="shared" si="20"/>
        <v>40</v>
      </c>
      <c r="BB96" s="4">
        <f t="shared" si="20"/>
        <v>68</v>
      </c>
      <c r="BC96" s="4">
        <f t="shared" si="20"/>
        <v>50</v>
      </c>
      <c r="BD96" s="4">
        <f t="shared" si="20"/>
        <v>52</v>
      </c>
      <c r="BE96" s="4">
        <f t="shared" si="20"/>
        <v>40</v>
      </c>
      <c r="BF96" s="4">
        <f t="shared" si="20"/>
        <v>71</v>
      </c>
      <c r="BG96" s="4">
        <f t="shared" si="20"/>
        <v>33</v>
      </c>
      <c r="BH96" s="4">
        <f t="shared" si="20"/>
        <v>57</v>
      </c>
      <c r="BI96" s="4">
        <f t="shared" si="20"/>
        <v>33</v>
      </c>
      <c r="BJ96" s="4">
        <f t="shared" si="20"/>
        <v>64</v>
      </c>
      <c r="BK96" s="4">
        <f t="shared" si="20"/>
        <v>47</v>
      </c>
      <c r="BL96" s="4">
        <f t="shared" si="20"/>
        <v>72</v>
      </c>
    </row>
    <row r="97" spans="3:64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O97" s="4">
        <f t="shared" ref="AO97:BL97" si="21">MIN(C47:C50)</f>
        <v>25</v>
      </c>
      <c r="AP97" s="4">
        <f t="shared" si="21"/>
        <v>60</v>
      </c>
      <c r="AQ97" s="4">
        <f t="shared" si="21"/>
        <v>47</v>
      </c>
      <c r="AR97" s="4">
        <f t="shared" si="21"/>
        <v>51</v>
      </c>
      <c r="AS97" s="4">
        <f t="shared" si="21"/>
        <v>37</v>
      </c>
      <c r="AT97" s="4">
        <f t="shared" si="21"/>
        <v>61</v>
      </c>
      <c r="AU97" s="4">
        <f t="shared" si="21"/>
        <v>0</v>
      </c>
      <c r="AV97" s="4">
        <f t="shared" si="21"/>
        <v>0</v>
      </c>
      <c r="AW97" s="4">
        <f t="shared" si="21"/>
        <v>21</v>
      </c>
      <c r="AX97" s="4">
        <f t="shared" si="21"/>
        <v>54</v>
      </c>
      <c r="AY97" s="4">
        <f t="shared" si="21"/>
        <v>0</v>
      </c>
      <c r="AZ97" s="4">
        <f t="shared" si="21"/>
        <v>0</v>
      </c>
      <c r="BA97" s="4">
        <f t="shared" si="21"/>
        <v>37</v>
      </c>
      <c r="BB97" s="4">
        <f t="shared" si="21"/>
        <v>64</v>
      </c>
      <c r="BC97" s="4">
        <f t="shared" si="21"/>
        <v>50</v>
      </c>
      <c r="BD97" s="4">
        <f t="shared" si="21"/>
        <v>52</v>
      </c>
      <c r="BE97" s="4">
        <f t="shared" si="21"/>
        <v>36</v>
      </c>
      <c r="BF97" s="4">
        <f t="shared" si="21"/>
        <v>61</v>
      </c>
      <c r="BG97" s="4">
        <f t="shared" si="21"/>
        <v>28</v>
      </c>
      <c r="BH97" s="4">
        <f t="shared" si="21"/>
        <v>53</v>
      </c>
      <c r="BI97" s="4">
        <f t="shared" si="21"/>
        <v>27</v>
      </c>
      <c r="BJ97" s="4">
        <f t="shared" si="21"/>
        <v>56</v>
      </c>
      <c r="BK97" s="4">
        <f t="shared" si="21"/>
        <v>46</v>
      </c>
      <c r="BL97" s="4">
        <f t="shared" si="21"/>
        <v>57</v>
      </c>
    </row>
    <row r="98" spans="3:64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O98" s="4">
        <f t="shared" ref="AO98:BL98" si="22">AO96-AO97</f>
        <v>9</v>
      </c>
      <c r="AP98" s="4">
        <f t="shared" si="22"/>
        <v>0</v>
      </c>
      <c r="AQ98" s="4">
        <f t="shared" si="22"/>
        <v>1</v>
      </c>
      <c r="AR98" s="4">
        <f t="shared" si="22"/>
        <v>2</v>
      </c>
      <c r="AS98" s="4">
        <f t="shared" si="22"/>
        <v>2</v>
      </c>
      <c r="AT98" s="4">
        <f t="shared" si="22"/>
        <v>13</v>
      </c>
      <c r="AU98" s="4">
        <f t="shared" si="22"/>
        <v>0</v>
      </c>
      <c r="AV98" s="4">
        <f t="shared" si="22"/>
        <v>0</v>
      </c>
      <c r="AW98" s="4">
        <f t="shared" si="22"/>
        <v>2</v>
      </c>
      <c r="AX98" s="4">
        <f t="shared" si="22"/>
        <v>2</v>
      </c>
      <c r="AY98" s="4">
        <f t="shared" si="22"/>
        <v>0</v>
      </c>
      <c r="AZ98" s="4">
        <f t="shared" si="22"/>
        <v>0</v>
      </c>
      <c r="BA98" s="4">
        <f t="shared" si="22"/>
        <v>3</v>
      </c>
      <c r="BB98" s="4">
        <f t="shared" si="22"/>
        <v>4</v>
      </c>
      <c r="BC98" s="4">
        <f t="shared" si="22"/>
        <v>0</v>
      </c>
      <c r="BD98" s="4">
        <f t="shared" si="22"/>
        <v>0</v>
      </c>
      <c r="BE98" s="4">
        <f t="shared" si="22"/>
        <v>4</v>
      </c>
      <c r="BF98" s="4">
        <f t="shared" si="22"/>
        <v>10</v>
      </c>
      <c r="BG98" s="4">
        <f t="shared" si="22"/>
        <v>5</v>
      </c>
      <c r="BH98" s="4">
        <f t="shared" si="22"/>
        <v>4</v>
      </c>
      <c r="BI98" s="4">
        <f t="shared" si="22"/>
        <v>6</v>
      </c>
      <c r="BJ98" s="4">
        <f t="shared" si="22"/>
        <v>8</v>
      </c>
      <c r="BK98" s="4">
        <f t="shared" si="22"/>
        <v>1</v>
      </c>
      <c r="BL98" s="4">
        <f t="shared" si="22"/>
        <v>15</v>
      </c>
    </row>
    <row r="99" spans="3:64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N99" s="38" t="s">
        <v>28</v>
      </c>
      <c r="AO99" s="4">
        <f t="shared" ref="AO99:BL99" si="23">MAX(C51)</f>
        <v>34</v>
      </c>
      <c r="AP99" s="4">
        <f t="shared" si="23"/>
        <v>60</v>
      </c>
      <c r="AQ99" s="4">
        <f t="shared" si="23"/>
        <v>47</v>
      </c>
      <c r="AR99" s="4">
        <f t="shared" si="23"/>
        <v>53</v>
      </c>
      <c r="AS99" s="4">
        <f t="shared" si="23"/>
        <v>39</v>
      </c>
      <c r="AT99" s="4">
        <f t="shared" si="23"/>
        <v>61</v>
      </c>
      <c r="AU99" s="4">
        <f t="shared" si="23"/>
        <v>0</v>
      </c>
      <c r="AV99" s="4">
        <f t="shared" si="23"/>
        <v>0</v>
      </c>
      <c r="AW99" s="4">
        <f t="shared" si="23"/>
        <v>22</v>
      </c>
      <c r="AX99" s="4">
        <f t="shared" si="23"/>
        <v>54</v>
      </c>
      <c r="AY99" s="4">
        <f t="shared" si="23"/>
        <v>0</v>
      </c>
      <c r="AZ99" s="4">
        <f t="shared" si="23"/>
        <v>0</v>
      </c>
      <c r="BA99" s="4">
        <f t="shared" si="23"/>
        <v>38</v>
      </c>
      <c r="BB99" s="4">
        <f t="shared" si="23"/>
        <v>64</v>
      </c>
      <c r="BC99" s="4">
        <f t="shared" si="23"/>
        <v>50</v>
      </c>
      <c r="BD99" s="4">
        <f t="shared" si="23"/>
        <v>52</v>
      </c>
      <c r="BE99" s="4">
        <f t="shared" si="23"/>
        <v>36</v>
      </c>
      <c r="BF99" s="4">
        <f t="shared" si="23"/>
        <v>61</v>
      </c>
      <c r="BG99" s="4">
        <f t="shared" si="23"/>
        <v>33</v>
      </c>
      <c r="BH99" s="4">
        <f t="shared" si="23"/>
        <v>57</v>
      </c>
      <c r="BI99" s="4">
        <f t="shared" si="23"/>
        <v>33</v>
      </c>
      <c r="BJ99" s="4">
        <f t="shared" si="23"/>
        <v>64</v>
      </c>
      <c r="BK99" s="4">
        <f t="shared" si="23"/>
        <v>46</v>
      </c>
      <c r="BL99" s="4">
        <f t="shared" si="23"/>
        <v>57</v>
      </c>
    </row>
    <row r="100" spans="3:64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O100" s="4">
        <f t="shared" ref="AO100:BL100" si="24">MIN(C51)</f>
        <v>34</v>
      </c>
      <c r="AP100" s="4">
        <f t="shared" si="24"/>
        <v>60</v>
      </c>
      <c r="AQ100" s="4">
        <f t="shared" si="24"/>
        <v>47</v>
      </c>
      <c r="AR100" s="4">
        <f t="shared" si="24"/>
        <v>53</v>
      </c>
      <c r="AS100" s="4">
        <f t="shared" si="24"/>
        <v>39</v>
      </c>
      <c r="AT100" s="4">
        <f t="shared" si="24"/>
        <v>61</v>
      </c>
      <c r="AU100" s="4">
        <f t="shared" si="24"/>
        <v>0</v>
      </c>
      <c r="AV100" s="4">
        <f t="shared" si="24"/>
        <v>0</v>
      </c>
      <c r="AW100" s="4">
        <f t="shared" si="24"/>
        <v>22</v>
      </c>
      <c r="AX100" s="4">
        <f t="shared" si="24"/>
        <v>54</v>
      </c>
      <c r="AY100" s="4">
        <f t="shared" si="24"/>
        <v>0</v>
      </c>
      <c r="AZ100" s="4">
        <f t="shared" si="24"/>
        <v>0</v>
      </c>
      <c r="BA100" s="4">
        <f t="shared" si="24"/>
        <v>38</v>
      </c>
      <c r="BB100" s="4">
        <f t="shared" si="24"/>
        <v>64</v>
      </c>
      <c r="BC100" s="4">
        <f t="shared" si="24"/>
        <v>50</v>
      </c>
      <c r="BD100" s="4">
        <f t="shared" si="24"/>
        <v>52</v>
      </c>
      <c r="BE100" s="4">
        <f t="shared" si="24"/>
        <v>36</v>
      </c>
      <c r="BF100" s="4">
        <f t="shared" si="24"/>
        <v>61</v>
      </c>
      <c r="BG100" s="4">
        <f t="shared" si="24"/>
        <v>33</v>
      </c>
      <c r="BH100" s="4">
        <f t="shared" si="24"/>
        <v>57</v>
      </c>
      <c r="BI100" s="4">
        <f t="shared" si="24"/>
        <v>33</v>
      </c>
      <c r="BJ100" s="4">
        <f t="shared" si="24"/>
        <v>64</v>
      </c>
      <c r="BK100" s="4">
        <f t="shared" si="24"/>
        <v>46</v>
      </c>
      <c r="BL100" s="4">
        <f t="shared" si="24"/>
        <v>57</v>
      </c>
    </row>
    <row r="101" spans="3:64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O101" s="4">
        <f t="shared" ref="AO101:BL101" si="25">AO99-AO100</f>
        <v>0</v>
      </c>
      <c r="AP101" s="4">
        <f t="shared" si="25"/>
        <v>0</v>
      </c>
      <c r="AQ101" s="4">
        <f t="shared" si="25"/>
        <v>0</v>
      </c>
      <c r="AR101" s="4">
        <f t="shared" si="25"/>
        <v>0</v>
      </c>
      <c r="AS101" s="4">
        <f t="shared" si="25"/>
        <v>0</v>
      </c>
      <c r="AT101" s="4">
        <f t="shared" si="25"/>
        <v>0</v>
      </c>
      <c r="AU101" s="4">
        <f t="shared" si="25"/>
        <v>0</v>
      </c>
      <c r="AV101" s="4">
        <f t="shared" si="25"/>
        <v>0</v>
      </c>
      <c r="AW101" s="4">
        <f t="shared" si="25"/>
        <v>0</v>
      </c>
      <c r="AX101" s="4">
        <f t="shared" si="25"/>
        <v>0</v>
      </c>
      <c r="AY101" s="4">
        <f t="shared" si="25"/>
        <v>0</v>
      </c>
      <c r="AZ101" s="4">
        <f t="shared" si="25"/>
        <v>0</v>
      </c>
      <c r="BA101" s="4">
        <f t="shared" si="25"/>
        <v>0</v>
      </c>
      <c r="BB101" s="4">
        <f t="shared" si="25"/>
        <v>0</v>
      </c>
      <c r="BC101" s="4">
        <f t="shared" si="25"/>
        <v>0</v>
      </c>
      <c r="BD101" s="4">
        <f t="shared" si="25"/>
        <v>0</v>
      </c>
      <c r="BE101" s="4">
        <f t="shared" si="25"/>
        <v>0</v>
      </c>
      <c r="BF101" s="4">
        <f t="shared" si="25"/>
        <v>0</v>
      </c>
      <c r="BG101" s="4">
        <f t="shared" si="25"/>
        <v>0</v>
      </c>
      <c r="BH101" s="4">
        <f t="shared" si="25"/>
        <v>0</v>
      </c>
      <c r="BI101" s="4">
        <f t="shared" si="25"/>
        <v>0</v>
      </c>
      <c r="BJ101" s="4">
        <f t="shared" si="25"/>
        <v>0</v>
      </c>
      <c r="BK101" s="4">
        <f t="shared" si="25"/>
        <v>0</v>
      </c>
      <c r="BL101" s="4">
        <f t="shared" si="25"/>
        <v>0</v>
      </c>
    </row>
    <row r="102" spans="3:64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O102" s="4">
        <f t="shared" ref="AO102:BL102" si="26">AO92+AO95+AO98+AO101</f>
        <v>31</v>
      </c>
      <c r="AP102" s="4">
        <f t="shared" si="26"/>
        <v>4</v>
      </c>
      <c r="AQ102" s="4">
        <f t="shared" si="26"/>
        <v>1</v>
      </c>
      <c r="AR102" s="4">
        <f t="shared" si="26"/>
        <v>3</v>
      </c>
      <c r="AS102" s="4">
        <f t="shared" si="26"/>
        <v>6</v>
      </c>
      <c r="AT102" s="4">
        <f t="shared" si="26"/>
        <v>22</v>
      </c>
      <c r="AU102" s="4">
        <f t="shared" si="26"/>
        <v>5</v>
      </c>
      <c r="AV102" s="4">
        <f t="shared" si="26"/>
        <v>1</v>
      </c>
      <c r="AW102" s="4">
        <f t="shared" si="26"/>
        <v>7</v>
      </c>
      <c r="AX102" s="4">
        <f t="shared" si="26"/>
        <v>3</v>
      </c>
      <c r="AY102" s="4">
        <f t="shared" si="26"/>
        <v>0</v>
      </c>
      <c r="AZ102" s="4">
        <f t="shared" si="26"/>
        <v>6</v>
      </c>
      <c r="BA102" s="4">
        <f t="shared" si="26"/>
        <v>9</v>
      </c>
      <c r="BB102" s="4">
        <f t="shared" si="26"/>
        <v>17</v>
      </c>
      <c r="BC102" s="4">
        <f t="shared" si="26"/>
        <v>0</v>
      </c>
      <c r="BD102" s="4">
        <f t="shared" si="26"/>
        <v>0</v>
      </c>
      <c r="BE102" s="4">
        <f t="shared" si="26"/>
        <v>21</v>
      </c>
      <c r="BF102" s="4">
        <f t="shared" si="26"/>
        <v>23</v>
      </c>
      <c r="BG102" s="4">
        <f t="shared" si="26"/>
        <v>22</v>
      </c>
      <c r="BH102" s="4">
        <f t="shared" si="26"/>
        <v>21</v>
      </c>
      <c r="BI102" s="4">
        <f t="shared" si="26"/>
        <v>17</v>
      </c>
      <c r="BJ102" s="4">
        <f t="shared" si="26"/>
        <v>9</v>
      </c>
      <c r="BK102" s="4">
        <f t="shared" si="26"/>
        <v>1</v>
      </c>
      <c r="BL102" s="4">
        <f t="shared" si="26"/>
        <v>38</v>
      </c>
    </row>
    <row r="103" spans="3:64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64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64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64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64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64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64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64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64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64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3:26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3:26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3:26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3:26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3:26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3:26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F26" sqref="F26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8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1167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1">
        <f>VLOOKUP($D8,'SegEnds_NonXtal_Prot#'!$A:$AZ,31,FALSE)-VLOOKUP($D8,'SegEnds_NonXtal_Prot#'!$A:$AZ,28,FALSE)</f>
        <v>43</v>
      </c>
      <c r="G8" s="132">
        <f>50+VLOOKUP($A8,'SegEnds_Xtal_Prot#'!$A:$AY,39,FALSE)-VLOOKUP($D8,'SegEnds_NonXtal_Prot#'!$A:$AZ,28,FALSE)</f>
        <v>68</v>
      </c>
      <c r="H8" s="13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201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919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1287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1168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354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344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351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1298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334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911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1287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1169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915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1287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338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1325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1294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1295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1287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909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1291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1287</v>
      </c>
      <c r="L31" s="1"/>
      <c r="N31" t="s">
        <v>1297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1287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277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905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917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1327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1171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1290</v>
      </c>
      <c r="N41" s="1" t="s">
        <v>1296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1170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1290</v>
      </c>
      <c r="N42" s="1" t="s">
        <v>1296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907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1287</v>
      </c>
      <c r="L43" s="1"/>
      <c r="M43" s="1"/>
      <c r="N43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3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zoomScale="113" zoomScaleNormal="113" zoomScalePageLayoutView="113" workbookViewId="0">
      <pane ySplit="1" topLeftCell="A2" activePane="bottomLeft" state="frozenSplit"/>
      <selection pane="bottomLeft" activeCell="D10" sqref="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5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1404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1416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9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4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1590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:B7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7"/>
  <sheetViews>
    <sheetView zoomScale="135" zoomScaleNormal="135" zoomScalePageLayoutView="135" workbookViewId="0">
      <pane ySplit="1" topLeftCell="A308" activePane="bottomLeft" state="frozenSplit"/>
      <selection pane="bottomLeft" activeCell="B345" sqref="B345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1202</v>
      </c>
      <c r="C1" s="26" t="s">
        <v>1056</v>
      </c>
      <c r="D1" s="8" t="s">
        <v>1057</v>
      </c>
      <c r="E1" s="8" t="s">
        <v>1073</v>
      </c>
      <c r="F1" s="8" t="s">
        <v>1074</v>
      </c>
      <c r="G1" s="8" t="s">
        <v>1058</v>
      </c>
      <c r="H1" s="99" t="s">
        <v>1059</v>
      </c>
      <c r="I1" s="8" t="s">
        <v>1075</v>
      </c>
      <c r="J1" s="8" t="s">
        <v>1076</v>
      </c>
      <c r="K1" s="99" t="s">
        <v>1060</v>
      </c>
      <c r="L1" s="8" t="s">
        <v>1061</v>
      </c>
      <c r="M1" s="8" t="s">
        <v>1088</v>
      </c>
      <c r="N1" s="99" t="s">
        <v>1089</v>
      </c>
      <c r="O1" s="86" t="s">
        <v>1062</v>
      </c>
      <c r="P1" s="8" t="s">
        <v>1063</v>
      </c>
      <c r="Q1" s="8" t="s">
        <v>1091</v>
      </c>
      <c r="R1" s="8" t="s">
        <v>1092</v>
      </c>
      <c r="S1" s="8" t="s">
        <v>1064</v>
      </c>
      <c r="T1" s="8" t="s">
        <v>1065</v>
      </c>
      <c r="U1" s="8" t="s">
        <v>1066</v>
      </c>
      <c r="V1" s="8" t="s">
        <v>1067</v>
      </c>
      <c r="W1" s="8" t="s">
        <v>1068</v>
      </c>
      <c r="X1" s="8" t="s">
        <v>1069</v>
      </c>
      <c r="Y1" s="8" t="s">
        <v>1070</v>
      </c>
      <c r="Z1" s="8" t="s">
        <v>1071</v>
      </c>
      <c r="AA1" s="26" t="s">
        <v>99</v>
      </c>
      <c r="AB1" s="30" t="s">
        <v>1236</v>
      </c>
      <c r="AC1" s="30" t="s">
        <v>1282</v>
      </c>
      <c r="AD1" s="30" t="s">
        <v>1278</v>
      </c>
      <c r="AE1" s="30" t="s">
        <v>1237</v>
      </c>
      <c r="AF1" s="30" t="s">
        <v>1271</v>
      </c>
      <c r="AG1" s="26" t="s">
        <v>1275</v>
      </c>
      <c r="AH1" s="30" t="s">
        <v>1387</v>
      </c>
      <c r="AI1" s="30" t="s">
        <v>1238</v>
      </c>
      <c r="AJ1" s="30" t="s">
        <v>1235</v>
      </c>
      <c r="AK1" s="30" t="s">
        <v>1476</v>
      </c>
      <c r="AL1" s="30" t="s">
        <v>1222</v>
      </c>
    </row>
    <row r="2" spans="1:38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08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INDEX(ICL3_classA!$G$2:$G$39,MATCH(MIN(ABS(AI2-ICL3_classA!$F$2:$F$39)),ABS(AI2-ICL3_classA!$F$2:$F$39),0))</f>
        <v>67</v>
      </c>
      <c r="U2" s="1">
        <f t="array" ref="U2">INDEX(ICL3_classA!$H$2:$H$39,MATCH(MIN(ABS(AI2-ICL3_classA!$F$2:$F$39)),ABS(AI2-ICL3_classA!$F$2:$F$39),0))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44</v>
      </c>
      <c r="AF2" s="1">
        <f>VLOOKUP(A2,'SegEnds_NonXtal_Prot#'!A:AL,22,FALSE)-VLOOKUP(A2,'SegEnds_NonXtal_Prot#'!A:AL,19,FALSE)</f>
        <v>21</v>
      </c>
      <c r="AG2" s="1">
        <f>VLOOKUP(A2,'SegEnds_NonXtal_Prot#'!A:AL,28,FALSE)-VLOOKUP(A2,'SegEnds_NonXtal_Prot#'!A:AL,25,FALSE)</f>
        <v>31</v>
      </c>
      <c r="AH2" s="1">
        <f>VLOOKUP(A2,'SegEnds_NonXtal_Prot#'!A:AL,28,FALSE)-VLOOKUP(A2,'SegEnds_NonXtal_Prot#'!A:AL,22,FALSE)</f>
        <v>56</v>
      </c>
      <c r="AI2" s="1">
        <f>VLOOKUP(A2,'SegEnds_NonXtal_Prot#'!A:AL,31,FALSE)-VLOOKUP(A2,'SegEnds_NonXtal_Prot#'!A:AL,28,FALSE)</f>
        <v>41</v>
      </c>
      <c r="AJ2" s="1">
        <f>VLOOKUP(A2,'SegEnds_NonXtal_Prot#'!A:AL,34,FALSE)-VLOOKUP(A2,'SegEnds_NonXtal_Prot#'!A:AL,31,FALSE)</f>
        <v>44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303</v>
      </c>
      <c r="B3" s="1" t="str">
        <f>VLOOKUP(A3,Xtal_Templ!A:B,2,FALSE)</f>
        <v>pd2r2_human</v>
      </c>
      <c r="C3" s="5">
        <f>VLOOKUP($B3&amp;"__wt",'SegEnds_Xtal_BW#'!$A:$Z,3,FALSE)</f>
        <v>32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08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26</v>
      </c>
      <c r="T3" s="1">
        <f t="array" ref="T3">INDEX(ICL3_classA!$G$2:$G$39,MATCH(MIN(ABS(AI3-ICL3_classA!$F$2:$F$39)),ABS(AI3-ICL3_classA!$F$2:$F$39),0))</f>
        <v>67</v>
      </c>
      <c r="U3" s="1">
        <f t="array" ref="U3">INDEX(ICL3_classA!$H$2:$H$39,MATCH(MIN(ABS(AI3-ICL3_classA!$F$2:$F$39)),ABS(AI3-ICL3_classA!$F$2:$F$39),0))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64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27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46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42</v>
      </c>
      <c r="AI3" s="1">
        <f>VLOOKUP(A3,'SegEnds_NonXtal_Prot#'!A:AL,31,FALSE)-VLOOKUP(A3,'SegEnds_NonXtal_Prot#'!A:AL,28,FALSE)</f>
        <v>41</v>
      </c>
      <c r="AJ3" s="1">
        <f>VLOOKUP(A3,'SegEnds_NonXtal_Prot#'!A:AL,34,FALSE)-VLOOKUP(A3,'SegEnds_NonXtal_Prot#'!A:AL,31,FALSE)</f>
        <v>34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142</v>
      </c>
      <c r="B4" s="1" t="str">
        <f>VLOOKUP(A4,Xtal_Templ!A:B,2,FALSE)</f>
        <v>fpr2_human</v>
      </c>
      <c r="C4" s="5">
        <f>VLOOKUP($B4&amp;"__wt",'SegEnds_Xtal_BW#'!$A:$Z,3,FALSE)</f>
        <v>25</v>
      </c>
      <c r="D4" s="1">
        <f>VLOOKUP($B4&amp;"__wt",'SegEnds_Xtal_BW#'!$A:$Z,4,FALSE)</f>
        <v>61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08">
        <v>35</v>
      </c>
      <c r="T4" s="1">
        <f t="array" ref="T4">INDEX(ICL3_classA!$G$2:$G$39,MATCH(MIN(ABS(AI4-ICL3_classA!$F$2:$F$39)),ABS(AI4-ICL3_classA!$F$2:$F$39),0))</f>
        <v>64</v>
      </c>
      <c r="U4" s="1">
        <f t="array" ref="U4">INDEX(ICL3_classA!$H$2:$H$39,MATCH(MIN(ABS(AI4-ICL3_classA!$F$2:$F$39)),ABS(AI4-ICL3_classA!$F$2:$F$39),0))</f>
        <v>34</v>
      </c>
      <c r="V4" s="1">
        <v>64</v>
      </c>
      <c r="W4" s="1">
        <v>24</v>
      </c>
      <c r="X4" s="108">
        <v>56</v>
      </c>
      <c r="Y4" s="1">
        <f>VLOOKUP($B4&amp;"__wt",'SegEnds_Xtal_BW#'!$A:$Z,25,FALSE)</f>
        <v>47</v>
      </c>
      <c r="Z4" s="1">
        <f>VLOOKUP($B4&amp;"__wt",'SegEnds_Xtal_BW#'!$A:$Z,26,FALSE)</f>
        <v>58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30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48</v>
      </c>
      <c r="AF4" s="1" t="e">
        <f>VLOOKUP(A4,'SegEnds_NonXtal_Prot#'!A:AL,22,FALSE)-VLOOKUP(A4,'SegEnds_NonXtal_Prot#'!A:AL,19,FALSE)</f>
        <v>#VALUE!</v>
      </c>
      <c r="AG4" s="1">
        <f>VLOOKUP(A4,'SegEnds_NonXtal_Prot#'!A:AL,28,FALSE)-VLOOKUP(A4,'SegEnds_NonXtal_Prot#'!A:AL,25,FALSE)</f>
        <v>23</v>
      </c>
      <c r="AH4" s="1">
        <f>VLOOKUP(A4,'SegEnds_NonXtal_Prot#'!A:AL,28,FALSE)-VLOOKUP(A4,'SegEnds_NonXtal_Prot#'!A:AL,22,FALSE)</f>
        <v>44</v>
      </c>
      <c r="AI4" s="1">
        <f>VLOOKUP(A4,'SegEnds_NonXtal_Prot#'!A:AL,31,FALSE)-VLOOKUP(A4,'SegEnds_NonXtal_Prot#'!A:AL,28,FALSE)</f>
        <v>37</v>
      </c>
      <c r="AJ4" s="1">
        <f>VLOOKUP(A4,'SegEnds_NonXtal_Prot#'!A:AL,34,FALSE)-VLOOKUP(A4,'SegEnds_NonXtal_Prot#'!A:AL,31,FALSE)</f>
        <v>46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4" t="s">
        <v>237</v>
      </c>
      <c r="B5" s="4" t="str">
        <f>VLOOKUP(A5,Xtal_Templ!A:B,2,FALSE)</f>
        <v>mc4r_human</v>
      </c>
      <c r="C5" s="5">
        <f>VLOOKUP($B5&amp;"__wt",'SegEnds_Xtal_BW#'!$A:$Z,3,FALSE)</f>
        <v>35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8">
        <v>38</v>
      </c>
      <c r="P5" s="4">
        <f>VLOOKUP($B5&amp;"__wt",'SegEnds_Xtal_BW#'!$A:$Z,16,FALSE)</f>
        <v>64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INDEX(ICL3_classA!$G$2:$G$39,MATCH(MIN(ABS(AI5-ICL3_classA!$F$2:$F$39)),ABS(AI5-ICL3_classA!$F$2:$F$39),0))</f>
        <v>73</v>
      </c>
      <c r="U5" s="4">
        <f t="array" ref="U5">INDEX(ICL3_classA!$H$2:$H$39,MATCH(MIN(ABS(AI5-ICL3_classA!$F$2:$F$39)),ABS(AI5-ICL3_classA!$F$2:$F$39),0))</f>
        <v>22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61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4" t="e">
        <f>VLOOKUP(A5,'SegEnds_NonXtal_Prot#'!A:AL,10,FALSE)-VLOOKUP(A5,'SegEnds_NonXtal_Prot#'!A:AL,7,FALSE)</f>
        <v>#VALUE!</v>
      </c>
      <c r="AD5" s="4">
        <f>VLOOKUP(A5,'SegEnds_NonXtal_Prot#'!A:AL,13,FALSE)-VLOOKUP(A5,'SegEnds_NonXtal_Prot#'!A:AL,10,FALSE)</f>
        <v>15</v>
      </c>
      <c r="AE5" s="4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4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4">
        <f>VLOOKUP(A5,'SegEnds_NonXtal_Prot#'!A:AL,31,FALSE)-VLOOKUP(A5,'SegEnds_NonXtal_Prot#'!A:AL,28,FALSE)</f>
        <v>57</v>
      </c>
      <c r="AJ5" s="4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248</v>
      </c>
      <c r="B6" s="1" t="str">
        <f>VLOOKUP(A6,Xtal_Templ!A:B,2,FALSE)</f>
        <v>mc4r_human</v>
      </c>
      <c r="C6" s="5">
        <f>VLOOKUP($B6&amp;"__wt",'SegEnds_Xtal_BW#'!$A:$Z,3,FALSE)</f>
        <v>35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INDEX(ICL3_classA!$G$2:$G$39,MATCH(MIN(ABS(AI6-ICL3_classA!$F$2:$F$39)),ABS(AI6-ICL3_classA!$F$2:$F$39),0))</f>
        <v>73</v>
      </c>
      <c r="U6" s="1">
        <f t="array" ref="U6">INDEX(ICL3_classA!$H$2:$H$39,MATCH(MIN(ABS(AI6-ICL3_classA!$F$2:$F$39)),ABS(AI6-ICL3_classA!$F$2:$F$39),0))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61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253</v>
      </c>
      <c r="B7" s="1" t="str">
        <f>VLOOKUP(A7,Xtal_Templ!A:B,2,FALSE)</f>
        <v>ccr6_human</v>
      </c>
      <c r="C7" s="5">
        <f>VLOOKUP($B7&amp;"__wt",'SegEnds_Xtal_BW#'!$A:$Z,3,FALSE)</f>
        <v>25</v>
      </c>
      <c r="D7" s="108"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INDEX(ICL3_classA!$G$2:$G$39,MATCH(MIN(ABS(AI7-ICL3_classA!$F$2:$F$39)),ABS(AI7-ICL3_classA!$F$2:$F$39),0))</f>
        <v>68</v>
      </c>
      <c r="U7" s="1">
        <f t="array" ref="U7">INDEX(ICL3_classA!$H$2:$H$39,MATCH(MIN(ABS(AI7-ICL3_classA!$F$2:$F$39)),ABS(AI7-ICL3_classA!$F$2:$F$39),0))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62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21</v>
      </c>
      <c r="AH7" s="1">
        <f>VLOOKUP(A7,'SegEnds_NonXtal_Prot#'!A:AL,28,FALSE)-VLOOKUP(A7,'SegEnds_NonXtal_Prot#'!A:AL,22,FALSE)</f>
        <v>42</v>
      </c>
      <c r="AI7" s="1">
        <f>VLOOKUP(A7,'SegEnds_NonXtal_Prot#'!A:AL,31,FALSE)-VLOOKUP(A7,'SegEnds_NonXtal_Prot#'!A:AL,28,FALSE)</f>
        <v>49</v>
      </c>
      <c r="AJ7" s="1">
        <f>VLOOKUP(A7,'SegEnds_NonXtal_Prot#'!A:AL,34,FALSE)-VLOOKUP(A7,'SegEnds_NonXtal_Prot#'!A:AL,31,FALSE)</f>
        <v>41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261</v>
      </c>
      <c r="B8" s="1" t="str">
        <f>VLOOKUP(A8,Xtal_Templ!A:B,2,FALSE)</f>
        <v>mc4r_human</v>
      </c>
      <c r="C8" s="5">
        <f>VLOOKUP($B8&amp;"__wt",'SegEnds_Xtal_BW#'!$A:$Z,3,FALSE)</f>
        <v>35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INDEX(ICL3_classA!$G$2:$G$39,MATCH(MIN(ABS(AI8-ICL3_classA!$F$2:$F$39)),ABS(AI8-ICL3_classA!$F$2:$F$39),0))</f>
        <v>73</v>
      </c>
      <c r="U8" s="1">
        <f t="array" ref="U8">INDEX(ICL3_classA!$H$2:$H$39,MATCH(MIN(ABS(AI8-ICL3_classA!$F$2:$F$39)),ABS(AI8-ICL3_classA!$F$2:$F$39),0))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304</v>
      </c>
      <c r="B9" s="1" t="str">
        <f>VLOOKUP(A9,Xtal_Templ!A:B,2,FALSE)</f>
        <v>agtr1_human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INDEX(ICL3_classA!$G$2:$G$39,MATCH(MIN(ABS(AI9-ICL3_classA!$F$2:$F$39)),ABS(AI9-ICL3_classA!$F$2:$F$39),0))</f>
        <v>68</v>
      </c>
      <c r="U9" s="1">
        <f t="array" ref="U9">INDEX(ICL3_classA!$H$2:$H$39,MATCH(MIN(ABS(AI9-ICL3_classA!$F$2:$F$39)),ABS(AI9-ICL3_classA!$F$2:$F$39),0))</f>
        <v>30</v>
      </c>
      <c r="V9" s="1">
        <v>61</v>
      </c>
      <c r="W9" s="108">
        <v>25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38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306</v>
      </c>
      <c r="B10" s="1" t="str">
        <f>VLOOKUP(A10,Xtal_Templ!A:B,2,FALSE)</f>
        <v>pd2r2_human</v>
      </c>
      <c r="C10" s="5">
        <f>VLOOKUP($B10&amp;"__wt",'SegEnds_Xtal_BW#'!$A:$Z,3,FALSE)</f>
        <v>32</v>
      </c>
      <c r="D10" s="1">
        <f>VLOOKUP($B10&amp;"__wt",'SegEnds_Xtal_BW#'!$A:$Z,4,FALSE)</f>
        <v>60</v>
      </c>
      <c r="E10" s="1" t="str">
        <f>VLOOKUP($B10&amp;"__wt",'SegEnds_Xtal_BW#'!$A:$Z,5,FALSE)</f>
        <v>-</v>
      </c>
      <c r="F10" s="1" t="str">
        <f>VLOOKUP($B10&amp;"__wt",'SegEnds_Xtal_BW#'!$A:$Z,6,FALSE)</f>
        <v>-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26</v>
      </c>
      <c r="T10" s="1">
        <f t="array" ref="T10">INDEX(ICL3_classA!$G$2:$G$39,MATCH(MIN(ABS(AI10-ICL3_classA!$F$2:$F$39)),ABS(AI10-ICL3_classA!$F$2:$F$39),0))</f>
        <v>68</v>
      </c>
      <c r="U10" s="1">
        <f t="array" ref="U10">INDEX(ICL3_classA!$H$2:$H$39,MATCH(MIN(ABS(AI10-ICL3_classA!$F$2:$F$39)),ABS(AI10-ICL3_classA!$F$2:$F$39),0))</f>
        <v>30</v>
      </c>
      <c r="V10" s="1">
        <v>61</v>
      </c>
      <c r="W10" s="128">
        <f>VLOOKUP($B10&amp;"__wt",'SegEnds_Xtal_BW#'!$A:$Z,23,FALSE)</f>
        <v>27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64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307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INDEX(ICL3_classA!$G$2:$G$39,MATCH(MIN(ABS(AI11-ICL3_classA!$F$2:$F$39)),ABS(AI11-ICL3_classA!$F$2:$F$39),0))</f>
        <v>68</v>
      </c>
      <c r="U11" s="1">
        <f t="array" ref="U11">INDEX(ICL3_classA!$H$2:$H$39,MATCH(MIN(ABS(AI11-ICL3_classA!$F$2:$F$39)),ABS(AI11-ICL3_classA!$F$2:$F$39),0))</f>
        <v>30</v>
      </c>
      <c r="V11" s="1">
        <v>61</v>
      </c>
      <c r="W11" s="128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48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218</v>
      </c>
      <c r="B12" s="1" t="str">
        <f>VLOOKUP(A12,Xtal_Templ!A:B,2,FALSE)</f>
        <v>ccr6_human</v>
      </c>
      <c r="C12" s="5">
        <f>VLOOKUP($B12&amp;"__wt",'SegEnds_Xtal_BW#'!$A:$Z,3,FALSE)</f>
        <v>25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INDEX(ICL3_classA!$G$2:$G$39,MATCH(MIN(ABS(AI12-ICL3_classA!$F$2:$F$39)),ABS(AI12-ICL3_classA!$F$2:$F$39),0))</f>
        <v>68</v>
      </c>
      <c r="U12" s="1">
        <f t="array" ref="U12">INDEX(ICL3_classA!$H$2:$H$39,MATCH(MIN(ABS(AI12-ICL3_classA!$F$2:$F$39)),ABS(AI12-ICL3_classA!$F$2:$F$39),0))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62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33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17</v>
      </c>
      <c r="AE12" s="1">
        <f>VLOOKUP(A12,'SegEnds_NonXtal_Prot#'!A:AL,16,FALSE)-VLOOKUP(A12,'SegEnds_NonXtal_Prot#'!A:AL,10,FALSE)</f>
        <v>49</v>
      </c>
      <c r="AF12" s="1" t="e">
        <f>VLOOKUP(A12,'SegEnds_NonXtal_Prot#'!A:AL,22,FALSE)-VLOOKUP(A12,'SegEnds_NonXtal_Prot#'!A:AL,19,FALSE)</f>
        <v>#VALUE!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47</v>
      </c>
      <c r="AI12" s="1">
        <f>VLOOKUP(A12,'SegEnds_NonXtal_Prot#'!A:AL,31,FALSE)-VLOOKUP(A12,'SegEnds_NonXtal_Prot#'!A:AL,28,FALSE)</f>
        <v>49</v>
      </c>
      <c r="AJ12" s="1">
        <f>VLOOKUP(A12,'SegEnds_NonXtal_Prot#'!A:AL,34,FALSE)-VLOOKUP(A12,'SegEnds_NonXtal_Prot#'!A:AL,31,FALSE)</f>
        <v>45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4" t="s">
        <v>234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8">
        <v>38</v>
      </c>
      <c r="P13" s="4">
        <f>VLOOKUP($B13&amp;"__wt",'SegEnds_Xtal_BW#'!$A:$Z,16,FALSE)</f>
        <v>63</v>
      </c>
      <c r="Q13" s="115">
        <v>50</v>
      </c>
      <c r="R13" s="115">
        <v>52</v>
      </c>
      <c r="S13" s="4">
        <v>35</v>
      </c>
      <c r="T13" s="4">
        <f t="array" ref="T13">INDEX(ICL3_classA!$G$2:$G$39,MATCH(MIN(ABS(AI13-ICL3_classA!$F$2:$F$39)),ABS(AI13-ICL3_classA!$F$2:$F$39),0))</f>
        <v>74</v>
      </c>
      <c r="U13" s="4">
        <f t="array" ref="U13">INDEX(ICL3_classA!$H$2:$H$39,MATCH(MIN(ABS(AI13-ICL3_classA!$F$2:$F$39)),ABS(AI13-ICL3_classA!$F$2:$F$39),0))</f>
        <v>21</v>
      </c>
      <c r="V13" s="4">
        <v>61</v>
      </c>
      <c r="W13" s="128">
        <f>VLOOKUP($B13&amp;"__wt",'SegEnds_Xtal_BW#'!$A:$Z,23,FALSE)</f>
        <v>30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4">
        <f>VLOOKUP(A13,'SegEnds_NonXtal_Prot#'!A:AL,10,FALSE)-VLOOKUP(A13,'SegEnds_NonXtal_Prot#'!A:AL,7,FALSE)</f>
        <v>16</v>
      </c>
      <c r="AD13" s="4" t="e">
        <f>VLOOKUP(A13,'SegEnds_NonXtal_Prot#'!A:AL,13,FALSE)-VLOOKUP(A13,'SegEnds_NonXtal_Prot#'!A:AL,10,FALSE)</f>
        <v>#VALUE!</v>
      </c>
      <c r="AE13" s="4">
        <f>VLOOKUP(A13,'SegEnds_NonXtal_Prot#'!A:AL,16,FALSE)-VLOOKUP(A13,'SegEnds_NonXtal_Prot#'!A:AL,10,FALSE)</f>
        <v>49</v>
      </c>
      <c r="AF13" s="1" t="e">
        <f>VLOOKUP(A13,'SegEnds_NonXtal_Prot#'!A:AL,22,FALSE)-VLOOKUP(A13,'SegEnds_NonXtal_Prot#'!A:AL,19,FALSE)</f>
        <v>#VALUE!</v>
      </c>
      <c r="AG13" s="4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44</v>
      </c>
      <c r="AI13" s="4">
        <f>VLOOKUP(A13,'SegEnds_NonXtal_Prot#'!A:AL,31,FALSE)-VLOOKUP(A13,'SegEnds_NonXtal_Prot#'!A:AL,28,FALSE)</f>
        <v>63</v>
      </c>
      <c r="AJ13" s="4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242</v>
      </c>
      <c r="B14" s="1" t="str">
        <f>VLOOKUP(A14,Xtal_Templ!A:B,2,FALSE)</f>
        <v>oprk_human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8">
        <v>38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24</v>
      </c>
      <c r="V14" s="1">
        <v>61</v>
      </c>
      <c r="W14" s="128">
        <f>VLOOKUP($B14&amp;"__wt",'SegEnds_Xtal_BW#'!$A:$Z,23,FALSE)</f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49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33</v>
      </c>
      <c r="AI14" s="1">
        <f>VLOOKUP(A14,'SegEnds_NonXtal_Prot#'!A:AL,31,FALSE)-VLOOKUP(A14,'SegEnds_NonXtal_Prot#'!A:AL,28,FALSE)</f>
        <v>48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260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32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49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25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73</v>
      </c>
      <c r="U16" s="1">
        <f t="array" ref="U16">INDEX(ICL3_classA!$H$2:$H$39,MATCH(MIN(ABS(AI16-ICL3_classA!$F$2:$F$39)),ABS(AI16-ICL3_classA!$F$2:$F$39),0))</f>
        <v>22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60</v>
      </c>
      <c r="AI16" s="1">
        <f>VLOOKUP(A16,'SegEnds_NonXtal_Prot#'!A:AL,31,FALSE)-VLOOKUP(A16,'SegEnds_NonXtal_Prot#'!A:AL,28,FALSE)</f>
        <v>57</v>
      </c>
      <c r="AJ16" s="1">
        <f>VLOOKUP(A16,'SegEnds_NonXtal_Prot#'!A:AL,34,FALSE)-VLOOKUP(A16,'SegEnds_NonXtal_Prot#'!A:AL,31,FALSE)</f>
        <v>36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74</v>
      </c>
      <c r="U17" s="1">
        <f t="array" ref="U17">INDEX(ICL3_classA!$H$2:$H$39,MATCH(MIN(ABS(AI17-ICL3_classA!$F$2:$F$39)),ABS(AI17-ICL3_classA!$F$2:$F$39),0))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60</v>
      </c>
      <c r="AI17" s="1">
        <f>VLOOKUP(A17,'SegEnds_NonXtal_Prot#'!A:AL,31,FALSE)-VLOOKUP(A17,'SegEnds_NonXtal_Prot#'!A:AL,28,FALSE)</f>
        <v>59</v>
      </c>
      <c r="AJ17" s="1">
        <f>VLOOKUP(A17,'SegEnds_NonXtal_Prot#'!A:AL,34,FALSE)-VLOOKUP(A17,'SegEnds_NonXtal_Prot#'!A:AL,31,FALSE)</f>
        <v>37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Xtal</v>
      </c>
    </row>
    <row r="18" spans="1:38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INDEX(ICL3_classA!$G$2:$G$39,MATCH(MIN(ABS(AI18-ICL3_classA!$F$2:$F$39)),ABS(AI18-ICL3_classA!$F$2:$F$39),0))</f>
        <v>73</v>
      </c>
      <c r="U18" s="1">
        <f t="array" ref="U18">INDEX(ICL3_classA!$H$2:$H$39,MATCH(MIN(ABS(AI18-ICL3_classA!$F$2:$F$39)),ABS(AI18-ICL3_classA!$F$2:$F$39),0))</f>
        <v>22</v>
      </c>
      <c r="V18" s="1">
        <v>61</v>
      </c>
      <c r="W18" s="128">
        <f>VLOOKUP($B18&amp;"__wt",'SegEnds_Xtal_BW#'!$A:$Z,23,FALSE)</f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55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INDEX(ICL3_classA!$G$2:$G$39,MATCH(MIN(ABS(AI19-ICL3_classA!$F$2:$F$39)),ABS(AI19-ICL3_classA!$F$2:$F$39),0))</f>
        <v>73</v>
      </c>
      <c r="U19" s="1">
        <f t="array" ref="U19">INDEX(ICL3_classA!$H$2:$H$39,MATCH(MIN(ABS(AI19-ICL3_classA!$F$2:$F$39)),ABS(AI19-ICL3_classA!$F$2:$F$39),0))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143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8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27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INDEX(ICL3_classA!$G$2:$G$39,MATCH(MIN(ABS(AI21-ICL3_classA!$F$2:$F$39)),ABS(AI21-ICL3_classA!$F$2:$F$39),0))</f>
        <v>68</v>
      </c>
      <c r="U21" s="1">
        <f t="array" ref="U21">INDEX(ICL3_classA!$H$2:$H$39,MATCH(MIN(ABS(AI21-ICL3_classA!$F$2:$F$39)),ABS(AI21-ICL3_classA!$F$2:$F$39),0))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169</v>
      </c>
      <c r="B22" s="1" t="str">
        <f>VLOOKUP(A22,Xtal_Templ!A:B,2,FALSE)</f>
        <v>ccr7_human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58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>
        <f>VLOOKUP(A22,'SegEnds_NonXtal_Prot#'!A:AL,10,FALSE)-VLOOKUP(A22,'SegEnds_NonXtal_Prot#'!A:AL,7,FALSE)</f>
        <v>16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 t="e">
        <f>VLOOKUP(A22,'SegEnds_NonXtal_Prot#'!A:AL,22,FALSE)-VLOOKUP(A22,'SegEnds_NonXtal_Prot#'!A:AL,19,FALSE)</f>
        <v>#VALUE!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INDEX(ICL3_classA!$G$2:$G$39,MATCH(MIN(ABS(AI23-ICL3_classA!$F$2:$F$39)),ABS(AI23-ICL3_classA!$F$2:$F$39),0))</f>
        <v>68</v>
      </c>
      <c r="U23" s="1">
        <f t="array" ref="U23">INDEX(ICL3_classA!$H$2:$H$39,MATCH(MIN(ABS(AI23-ICL3_classA!$F$2:$F$39)),ABS(AI23-ICL3_classA!$F$2:$F$39),0))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24</v>
      </c>
      <c r="AH23" s="1">
        <f>VLOOKUP(A23,'SegEnds_NonXtal_Prot#'!A:AL,28,FALSE)-VLOOKUP(A23,'SegEnds_NonXtal_Prot#'!A:AL,22,FALSE)</f>
        <v>49</v>
      </c>
      <c r="AI23" s="1">
        <f>VLOOKUP(A23,'SegEnds_NonXtal_Prot#'!A:AL,31,FALSE)-VLOOKUP(A23,'SegEnds_NonXtal_Prot#'!A:AL,28,FALSE)</f>
        <v>44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18</v>
      </c>
      <c r="AE24" s="1">
        <f>VLOOKUP(A24,'SegEnds_NonXtal_Prot#'!A:AL,16,FALSE)-VLOOKUP(A24,'SegEnds_NonXtal_Prot#'!A:AL,10,FALSE)</f>
        <v>50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27</v>
      </c>
      <c r="AH24" s="1">
        <f>VLOOKUP(A24,'SegEnds_NonXtal_Prot#'!A:AL,28,FALSE)-VLOOKUP(A24,'SegEnds_NonXtal_Prot#'!A:AL,22,FALSE)</f>
        <v>52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28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44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2" t="s">
        <v>175</v>
      </c>
      <c r="B26" s="12" t="str">
        <f>VLOOKUP(A26,Xtal_Templ!A:B,2,FALSE)</f>
        <v>ccr7_human</v>
      </c>
      <c r="C26" s="13">
        <f>VLOOKUP($B26&amp;"__wt",'SegEnds_Xtal_BW#'!$A:$Z,3,FALSE)</f>
        <v>29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f>VLOOKUP($B26&amp;"__wt",'SegEnds_Xtal_BW#'!$A:$Z,14,FALSE)</f>
        <v>58</v>
      </c>
      <c r="O26" s="87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INDEX(ICL3_classA!$G$2:$G$39,MATCH(MIN(ABS(AI26-ICL3_classA!$F$2:$F$39)),ABS(AI26-ICL3_classA!$F$2:$F$39),0))</f>
        <v>68</v>
      </c>
      <c r="U26" s="12">
        <f t="array" ref="U26">INDEX(ICL3_classA!$H$2:$H$39,MATCH(MIN(ABS(AI26-ICL3_classA!$F$2:$F$39)),ABS(AI26-ICL3_classA!$F$2:$F$39),0))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59</v>
      </c>
      <c r="AA26" s="36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2">
        <f>VLOOKUP(A26,'SegEnds_NonXtal_Prot#'!A:AL,10,FALSE)-VLOOKUP(A26,'SegEnds_NonXtal_Prot#'!A:AL,7,FALSE)</f>
        <v>15</v>
      </c>
      <c r="AD26" s="12">
        <f>VLOOKUP(A26,'SegEnds_NonXtal_Prot#'!A:AL,13,FALSE)-VLOOKUP(A26,'SegEnds_NonXtal_Prot#'!A:AL,10,FALSE)</f>
        <v>18</v>
      </c>
      <c r="AE26" s="12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22</v>
      </c>
      <c r="AG26" s="12">
        <f>VLOOKUP(A26,'SegEnds_NonXtal_Prot#'!A:AL,28,FALSE)-VLOOKUP(A26,'SegEnds_NonXtal_Prot#'!A:AL,25,FALSE)</f>
        <v>25</v>
      </c>
      <c r="AH26" s="1">
        <f>VLOOKUP(A26,'SegEnds_NonXtal_Prot#'!A:AL,28,FALSE)-VLOOKUP(A26,'SegEnds_NonXtal_Prot#'!A:AL,22,FALSE)</f>
        <v>52</v>
      </c>
      <c r="AI26" s="12">
        <f>VLOOKUP(A26,'SegEnds_NonXtal_Prot#'!A:AL,31,FALSE)-VLOOKUP(A26,'SegEnds_NonXtal_Prot#'!A:AL,28,FALSE)</f>
        <v>43</v>
      </c>
      <c r="AJ26" s="12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2" t="str">
        <f>IF(ISERROR(MATCH(A26,'SegEnds_Xtal_Prot#'!B:B, 0)), "NoXtal", "Xtal")</f>
        <v>Xtal</v>
      </c>
    </row>
    <row r="27" spans="1:38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INDEX(ICL3_classA!$G$2:$G$39,MATCH(MIN(ABS(AI27-ICL3_classA!$F$2:$F$39)),ABS(AI27-ICL3_classA!$F$2:$F$39),0))</f>
        <v>68</v>
      </c>
      <c r="U27" s="1">
        <f t="array" ref="U27">INDEX(ICL3_classA!$H$2:$H$39,MATCH(MIN(ABS(AI27-ICL3_classA!$F$2:$F$39)),ABS(AI27-ICL3_classA!$F$2:$F$39),0))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7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INDEX(ICL3_classA!$G$2:$G$39,MATCH(MIN(ABS(AI28-ICL3_classA!$F$2:$F$39)),ABS(AI28-ICL3_classA!$F$2:$F$39),0))</f>
        <v>68</v>
      </c>
      <c r="U28" s="12">
        <f t="array" ref="U28">INDEX(ICL3_classA!$H$2:$H$39,MATCH(MIN(ABS(AI28-ICL3_classA!$F$2:$F$39)),ABS(AI28-ICL3_classA!$F$2:$F$39),0))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2">
        <f>VLOOKUP(A28,'SegEnds_NonXtal_Prot#'!A:AL,10,FALSE)-VLOOKUP(A28,'SegEnds_NonXtal_Prot#'!A:AL,7,FALSE)</f>
        <v>15</v>
      </c>
      <c r="AD28" s="12">
        <f>VLOOKUP(A28,'SegEnds_NonXtal_Prot#'!A:AL,13,FALSE)-VLOOKUP(A28,'SegEnds_NonXtal_Prot#'!A:AL,10,FALSE)</f>
        <v>18</v>
      </c>
      <c r="AE28" s="12">
        <f>VLOOKUP(A28,'SegEnds_NonXtal_Prot#'!A:AL,16,FALSE)-VLOOKUP(A28,'SegEnds_NonXtal_Prot#'!A:AL,10,FALSE)</f>
        <v>50</v>
      </c>
      <c r="AF28" s="1">
        <f>VLOOKUP(A28,'SegEnds_NonXtal_Prot#'!A:AL,22,FALSE)-VLOOKUP(A28,'SegEnds_NonXtal_Prot#'!A:AL,19,FALSE)</f>
        <v>22</v>
      </c>
      <c r="AG28" s="12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53</v>
      </c>
      <c r="AI28" s="12">
        <f>VLOOKUP(A28,'SegEnds_NonXtal_Prot#'!A:AL,31,FALSE)-VLOOKUP(A28,'SegEnds_NonXtal_Prot#'!A:AL,28,FALSE)</f>
        <v>43</v>
      </c>
      <c r="AJ28" s="12">
        <f>VLOOKUP(A28,'SegEnds_NonXtal_Prot#'!A:AL,34,FALSE)-VLOOKUP(A28,'SegEnds_NonXtal_Prot#'!A:AL,31,FALSE)</f>
        <v>45</v>
      </c>
      <c r="AK28" s="1">
        <f>VLOOKUP(A28,'SegEnds_NonXtal_Prot#'!A:AL,37,FALSE)-VLOOKUP(A28,'SegEnds_NonXtal_Prot#'!A:AL,34,FALSE)</f>
        <v>10</v>
      </c>
      <c r="AL28" s="12" t="str">
        <f>IF(ISERROR(MATCH(A28,'SegEnds_Xtal_Prot#'!B:B, 0)), "NoXtal", "Xtal")</f>
        <v>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INDEX(ICL3_classA!$G$2:$G$39,MATCH(MIN(ABS(AI29-ICL3_classA!$F$2:$F$39)),ABS(AI29-ICL3_classA!$F$2:$F$39),0))</f>
        <v>68</v>
      </c>
      <c r="U29" s="1">
        <f t="array" ref="U29">INDEX(ICL3_classA!$H$2:$H$39,MATCH(MIN(ABS(AI29-ICL3_classA!$F$2:$F$39)),ABS(AI29-ICL3_classA!$F$2:$F$39),0))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ccr6_human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INDEX(ICL3_classA!$G$2:$G$39,MATCH(MIN(ABS(AI30-ICL3_classA!$F$2:$F$39)),ABS(AI30-ICL3_classA!$F$2:$F$39),0))</f>
        <v>68</v>
      </c>
      <c r="U30" s="1">
        <f t="array" ref="U30">INDEX(ICL3_classA!$H$2:$H$39,MATCH(MIN(ABS(AI30-ICL3_classA!$F$2:$F$39)),ABS(AI30-ICL3_classA!$F$2:$F$39),0))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62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186</v>
      </c>
      <c r="B31" s="1" t="str">
        <f>VLOOKUP(A31,Xtal_Templ!A:B,2,FALSE)</f>
        <v>ccr6_human</v>
      </c>
      <c r="C31" s="5">
        <f>VLOOKUP($B31&amp;"__wt",'SegEnds_Xtal_BW#'!$A:$Z,3,FALSE)</f>
        <v>25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31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62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ccr7_human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33</v>
      </c>
      <c r="T32" s="1">
        <f t="array" ref="T32">INDEX(ICL3_classA!$G$2:$G$39,MATCH(MIN(ABS(AI32-ICL3_classA!$F$2:$F$39)),ABS(AI32-ICL3_classA!$F$2:$F$39),0))</f>
        <v>68</v>
      </c>
      <c r="U32" s="1">
        <f t="array" ref="U32">INDEX(ICL3_classA!$H$2:$H$39,MATCH(MIN(ABS(AI32-ICL3_classA!$F$2:$F$39)),ABS(AI32-ICL3_classA!$F$2:$F$39),0))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1167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INDEX(ICL3_classA!$G$2:$G$39,MATCH(MIN(ABS(AI33-ICL3_classA!$F$2:$F$39)),ABS(AI33-ICL3_classA!$F$2:$F$39),0))</f>
        <v>68</v>
      </c>
      <c r="U33" s="1">
        <f t="array" ref="U33">INDEX(ICL3_classA!$H$2:$H$39,MATCH(MIN(ABS(AI33-ICL3_classA!$F$2:$F$39)),ABS(AI33-ICL3_classA!$F$2:$F$39),0))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188</v>
      </c>
      <c r="B34" s="1" t="str">
        <f>VLOOKUP(A34,Xtal_Templ!A:B,2,FALSE)</f>
        <v>ccr7_human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INDEX(ICL3_classA!$G$2:$G$39,MATCH(MIN(ABS(AI34-ICL3_classA!$F$2:$F$39)),ABS(AI34-ICL3_classA!$F$2:$F$39),0))</f>
        <v>68</v>
      </c>
      <c r="U34" s="1">
        <f t="array" ref="U34">INDEX(ICL3_classA!$H$2:$H$39,MATCH(MIN(ABS(AI34-ICL3_classA!$F$2:$F$39)),ABS(AI34-ICL3_classA!$F$2:$F$39),0))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28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44</v>
      </c>
      <c r="AJ34" s="1">
        <f>VLOOKUP(A34,'SegEnds_NonXtal_Prot#'!A:AL,34,FALSE)-VLOOKUP(A34,'SegEnds_NonXtal_Prot#'!A:AL,31,FALSE)</f>
        <v>45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2" t="s">
        <v>189</v>
      </c>
      <c r="B35" s="12" t="str">
        <f>VLOOKUP(A35,Xtal_Templ!A:B,2,FALSE)</f>
        <v>ccr6_human</v>
      </c>
      <c r="C35" s="13">
        <f>VLOOKUP($B35&amp;"__wt",'SegEnds_Xtal_BW#'!$A:$Z,3,FALSE)</f>
        <v>25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08">
        <v>56</v>
      </c>
      <c r="O35" s="87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31</v>
      </c>
      <c r="T35" s="12">
        <f t="array" ref="T35">INDEX(ICL3_classA!$G$2:$G$39,MATCH(MIN(ABS(AI35-ICL3_classA!$F$2:$F$39)),ABS(AI35-ICL3_classA!$F$2:$F$39),0))</f>
        <v>68</v>
      </c>
      <c r="U35" s="12">
        <f t="array" ref="U35">INDEX(ICL3_classA!$H$2:$H$39,MATCH(MIN(ABS(AI35-ICL3_classA!$F$2:$F$39)),ABS(AI35-ICL3_classA!$F$2:$F$39),0))</f>
        <v>30</v>
      </c>
      <c r="V35" s="12">
        <v>61</v>
      </c>
      <c r="W35" s="128">
        <f>VLOOKUP($B35&amp;"__wt",'SegEnds_Xtal_BW#'!$A:$Z,23,FALSE)</f>
        <v>24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62</v>
      </c>
      <c r="AA35" s="36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2">
        <f>VLOOKUP(A35,'SegEnds_NonXtal_Prot#'!A:AL,10,FALSE)-VLOOKUP(A35,'SegEnds_NonXtal_Prot#'!A:AL,7,FALSE)</f>
        <v>15</v>
      </c>
      <c r="AD35" s="12">
        <f>VLOOKUP(A35,'SegEnds_NonXtal_Prot#'!A:AL,13,FALSE)-VLOOKUP(A35,'SegEnds_NonXtal_Prot#'!A:AL,10,FALSE)</f>
        <v>18</v>
      </c>
      <c r="AE35" s="12">
        <f>VLOOKUP(A35,'SegEnds_NonXtal_Prot#'!A:AL,16,FALSE)-VLOOKUP(A35,'SegEnds_NonXtal_Prot#'!A:AL,10,FALSE)</f>
        <v>50</v>
      </c>
      <c r="AF35" s="1">
        <f>VLOOKUP(A35,'SegEnds_NonXtal_Prot#'!A:AL,22,FALSE)-VLOOKUP(A35,'SegEnds_NonXtal_Prot#'!A:AL,19,FALSE)</f>
        <v>22</v>
      </c>
      <c r="AG35" s="12">
        <f>VLOOKUP(A35,'SegEnds_NonXtal_Prot#'!A:AL,28,FALSE)-VLOOKUP(A35,'SegEnds_NonXtal_Prot#'!A:AL,25,FALSE)</f>
        <v>23</v>
      </c>
      <c r="AH35" s="1">
        <f>VLOOKUP(A35,'SegEnds_NonXtal_Prot#'!A:AL,28,FALSE)-VLOOKUP(A35,'SegEnds_NonXtal_Prot#'!A:AL,22,FALSE)</f>
        <v>47</v>
      </c>
      <c r="AI35" s="12">
        <f>VLOOKUP(A35,'SegEnds_NonXtal_Prot#'!A:AL,31,FALSE)-VLOOKUP(A35,'SegEnds_NonXtal_Prot#'!A:AL,28,FALSE)</f>
        <v>43</v>
      </c>
      <c r="AJ35" s="12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2" t="str">
        <f>IF(ISERROR(MATCH(A35,'SegEnds_Xtal_Prot#'!B:B, 0)), "NoXtal", "Xtal")</f>
        <v>NoXtal</v>
      </c>
    </row>
    <row r="36" spans="1:38" x14ac:dyDescent="0.2">
      <c r="A36" s="1" t="s">
        <v>219</v>
      </c>
      <c r="B36" s="1" t="str">
        <f>VLOOKUP(A36,Xtal_Templ!A:B,2,FALSE)</f>
        <v>aa1r_human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50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15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>
        <f>VLOOKUP(A36,'SegEnds_NonXtal_Prot#'!A:AL,13,FALSE)-VLOOKUP(A36,'SegEnds_NonXtal_Prot#'!A:AL,10,FALSE)</f>
        <v>18</v>
      </c>
      <c r="AE36" s="1">
        <f>VLOOKUP(A36,'SegEnds_NonXtal_Prot#'!A:AL,16,FALSE)-VLOOKUP(A36,'SegEnds_NonXtal_Prot#'!A:AL,10,FALSE)</f>
        <v>50</v>
      </c>
      <c r="AF36" s="1">
        <f>VLOOKUP(A36,'SegEnds_NonXtal_Prot#'!A:AL,22,FALSE)-VLOOKUP(A36,'SegEnds_NonXtal_Prot#'!A:AL,19,FALSE)</f>
        <v>20</v>
      </c>
      <c r="AG36" s="1" t="e">
        <f>VLOOKUP(A36,'SegEnds_NonXtal_Prot#'!A:AL,28,FALSE)-VLOOKUP(A36,'SegEnds_NonXtal_Prot#'!A:AL,25,FALSE)</f>
        <v>#VALUE!</v>
      </c>
      <c r="AH36" s="1">
        <f>VLOOKUP(A36,'SegEnds_NonXtal_Prot#'!A:AL,28,FALSE)-VLOOKUP(A36,'SegEnds_NonXtal_Prot#'!A:AL,22,FALSE)</f>
        <v>38</v>
      </c>
      <c r="AI36" s="1">
        <f>VLOOKUP(A36,'SegEnds_NonXtal_Prot#'!A:AL,31,FALSE)-VLOOKUP(A36,'SegEnds_NonXtal_Prot#'!A:AL,28,FALSE)</f>
        <v>68</v>
      </c>
      <c r="AJ36" s="1">
        <f>VLOOKUP(A36,'SegEnds_NonXtal_Prot#'!A:AL,34,FALSE)-VLOOKUP(A36,'SegEnds_NonXtal_Prot#'!A:AL,31,FALSE)</f>
        <v>30</v>
      </c>
      <c r="AK36" s="1">
        <f>VLOOKUP(A36,'SegEnds_NonXtal_Prot#'!A:AL,37,FALSE)-VLOOKUP(A36,'SegEnds_NonXtal_Prot#'!A:AL,34,FALSE)</f>
        <v>11</v>
      </c>
      <c r="AL36" s="1" t="str">
        <f>IF(ISERROR(MATCH(A36,'SegEnds_Xtal_Prot#'!B:B, 0)), "NoXtal", "Xtal")</f>
        <v>NoXtal</v>
      </c>
    </row>
    <row r="37" spans="1:38" x14ac:dyDescent="0.2">
      <c r="A37" s="1" t="s">
        <v>235</v>
      </c>
      <c r="B37" s="1" t="str">
        <f>VLOOKUP(A37,Xtal_Templ!A:B,2,FALSE)</f>
        <v>cltr2_human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INDEX(ICL3_classA!$G$2:$G$39,MATCH(MIN(ABS(AI37-ICL3_classA!$F$2:$F$39)),ABS(AI37-ICL3_classA!$F$2:$F$39),0))</f>
        <v>68</v>
      </c>
      <c r="U37" s="1">
        <f t="array" ref="U37">INDEX(ICL3_classA!$H$2:$H$39,MATCH(MIN(ABS(AI37-ICL3_classA!$F$2:$F$39)),ABS(AI37-ICL3_classA!$F$2:$F$39),0))</f>
        <v>24</v>
      </c>
      <c r="V37" s="1">
        <v>64</v>
      </c>
      <c r="W37" s="1">
        <v>24</v>
      </c>
      <c r="X37" s="123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19</v>
      </c>
      <c r="AE37" s="1">
        <f>VLOOKUP(A37,'SegEnds_NonXtal_Prot#'!A:AL,16,FALSE)-VLOOKUP(A37,'SegEnds_NonXtal_Prot#'!A:AL,10,FALSE)</f>
        <v>50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44</v>
      </c>
      <c r="AI37" s="1">
        <f>VLOOKUP(A37,'SegEnds_NonXtal_Prot#'!A:AL,31,FALSE)-VLOOKUP(A37,'SegEnds_NonXtal_Prot#'!A:AL,28,FALSE)</f>
        <v>48</v>
      </c>
      <c r="AJ37" s="1">
        <f>VLOOKUP(A37,'SegEnds_NonXtal_Prot#'!A:AL,34,FALSE)-VLOOKUP(A37,'SegEnds_NonXtal_Prot#'!A:AL,31,FALSE)</f>
        <v>47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1503</v>
      </c>
      <c r="B38" s="1" t="str">
        <f>VLOOKUP(A38,Xtal_Templ!A:B,2,FALSE)</f>
        <v>q80km9_hcmv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08">
        <v>21</v>
      </c>
      <c r="L38" s="1">
        <f>VLOOKUP($B38&amp;"__wt",'SegEnds_Xtal_BW#'!$A:$Z,12,FALSE)</f>
        <v>55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7">
        <f>VLOOKUP($B38&amp;"__wt",'SegEnds_Xtal_BW#'!$A:$Z,15,FALSE)</f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INDEX(ICL3_classA!$G$2:$G$39,MATCH(MIN(ABS(AI38-ICL3_classA!$F$2:$F$39)),ABS(AI38-ICL3_classA!$F$2:$F$39),0))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 t="e">
        <f>VLOOKUP(A38,'SegEnds_NonXtal_Prot#'!A:AL,13,FALSE)-VLOOKUP(A38,'SegEnds_NonXtal_Prot#'!A:AL,10,FALSE)</f>
        <v>#VALUE!</v>
      </c>
      <c r="AE38" s="1">
        <f>VLOOKUP(A38,'SegEnds_NonXtal_Prot#'!A:AL,16,FALSE)-VLOOKUP(A38,'SegEnds_NonXtal_Prot#'!A:AL,10,FALSE)</f>
        <v>50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48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919</v>
      </c>
      <c r="B39" s="1" t="str">
        <f>VLOOKUP(A39,Xtal_Templ!A:B,2,FALSE)</f>
        <v>us28_hcmva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08">
        <v>21</v>
      </c>
      <c r="L39" s="1">
        <f>VLOOKUP($B39&amp;"__wt",'SegEnds_Xtal_BW#'!$A:$Z,12,FALSE)</f>
        <v>55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7">
        <f>VLOOKUP($B39&amp;"__wt",'SegEnds_Xtal_BW#'!$A:$Z,15,FALSE)</f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33</v>
      </c>
      <c r="T39" s="1">
        <f t="array" ref="T39">INDEX(ICL3_classA!$G$2:$G$39,MATCH(MIN(ABS(AI39-ICL3_classA!$F$2:$F$39)),ABS(AI39-ICL3_classA!$F$2:$F$39),0))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50</v>
      </c>
      <c r="AF39" s="1" t="e">
        <f>VLOOKUP(A39,'SegEnds_NonXtal_Prot#'!A:AL,22,FALSE)-VLOOKUP(A39,'SegEnds_NonXtal_Prot#'!A:AL,19,FALSE)</f>
        <v>#VALUE!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48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399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24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INDEX(ICL3_classA!$G$2:$G$39,MATCH(MIN(ABS(AI40-ICL3_classA!$F$2:$F$39)),ABS(AI40-ICL3_classA!$F$2:$F$39),0))</f>
        <v>68</v>
      </c>
      <c r="U40" s="1">
        <f t="array" ref="U40">INDEX(ICL3_classA!$H$2:$H$39,MATCH(MIN(ABS(AI40-ICL3_classA!$F$2:$F$39)),ABS(AI40-ICL3_classA!$F$2:$F$39),0))</f>
        <v>30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18</v>
      </c>
      <c r="AE40" s="1">
        <f>VLOOKUP(A40,'SegEnds_NonXtal_Prot#'!A:AL,16,FALSE)-VLOOKUP(A40,'SegEnds_NonXtal_Prot#'!A:AL,10,FALSE)</f>
        <v>50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43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168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08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INDEX(ICL3_classA!$G$2:$G$39,MATCH(MIN(ABS(AI41-ICL3_classA!$F$2:$F$39)),ABS(AI41-ICL3_classA!$F$2:$F$39),0))</f>
        <v>68</v>
      </c>
      <c r="U41" s="1">
        <f t="array" ref="U41">INDEX(ICL3_classA!$H$2:$H$39,MATCH(MIN(ABS(AI41-ICL3_classA!$F$2:$F$39)),ABS(AI41-ICL3_classA!$F$2:$F$39),0))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19</v>
      </c>
      <c r="AE41" s="1">
        <f>VLOOKUP(A41,'SegEnds_NonXtal_Prot#'!A:AL,16,FALSE)-VLOOKUP(A41,'SegEnds_NonXtal_Prot#'!A:AL,10,FALSE)</f>
        <v>51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171</v>
      </c>
      <c r="B42" s="1" t="str">
        <f>VLOOKUP(A42,Xtal_Templ!A:B,2,FALSE)</f>
        <v>ccr5_human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08"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INDEX(ICL3_classA!$G$2:$G$39,MATCH(MIN(ABS(AI42-ICL3_classA!$F$2:$F$39)),ABS(AI42-ICL3_classA!$F$2:$F$39),0))</f>
        <v>68</v>
      </c>
      <c r="U42" s="1">
        <f t="array" ref="U42">INDEX(ICL3_classA!$H$2:$H$39,MATCH(MIN(ABS(AI42-ICL3_classA!$F$2:$F$39)),ABS(AI42-ICL3_classA!$F$2:$F$39),0))</f>
        <v>30</v>
      </c>
      <c r="V42" s="1">
        <v>65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2" t="s">
        <v>174</v>
      </c>
      <c r="B43" s="12" t="str">
        <f>VLOOKUP(A43,Xtal_Templ!A:B,2,FALSE)</f>
        <v>ccr6_human</v>
      </c>
      <c r="C43" s="13">
        <f>VLOOKUP($B43&amp;"__wt",'SegEnds_Xtal_BW#'!$A:$Z,3,FALSE)</f>
        <v>25</v>
      </c>
      <c r="D43" s="12">
        <f>VLOOKUP($B43&amp;"__wt",'SegEnds_Xtal_BW#'!$A:$Z,4,FALSE)</f>
        <v>60</v>
      </c>
      <c r="E43" s="12">
        <f>VLOOKUP($B43&amp;"__wt",'SegEnds_Xtal_BW#'!$A:$Z,5,FALSE)</f>
        <v>48</v>
      </c>
      <c r="F43" s="12">
        <f>VLOOKUP($B43&amp;"__wt",'SegEnds_Xtal_BW#'!$A:$Z,6,FALSE)</f>
        <v>51</v>
      </c>
      <c r="G43" s="12">
        <v>37</v>
      </c>
      <c r="H43" s="108">
        <v>67</v>
      </c>
      <c r="I43" s="12">
        <f>VLOOKUP($B43&amp;"__wt",'SegEnds_Xtal_BW#'!$A:$Z,9,FALSE)</f>
        <v>49</v>
      </c>
      <c r="J43" s="12">
        <f>VLOOKUP($B43&amp;"__wt",'SegEnds_Xtal_BW#'!$A:$Z,10,FALSE)</f>
        <v>52</v>
      </c>
      <c r="K43" s="12">
        <v>21</v>
      </c>
      <c r="L43" s="12">
        <f>VLOOKUP($B43&amp;"__wt",'SegEnds_Xtal_BW#'!$A:$Z,12,FALSE)</f>
        <v>56</v>
      </c>
      <c r="M43" s="12">
        <f>VLOOKUP($B43&amp;"__wt",'SegEnds_Xtal_BW#'!$A:$Z,13,FALSE)</f>
        <v>50</v>
      </c>
      <c r="N43" s="12">
        <f>VLOOKUP($B43&amp;"__wt",'SegEnds_Xtal_BW#'!$A:$Z,14,FALSE)</f>
        <v>56</v>
      </c>
      <c r="O43" s="87">
        <v>38</v>
      </c>
      <c r="P43" s="12">
        <f>VLOOKUP($B43&amp;"__wt",'SegEnds_Xtal_BW#'!$A:$Z,16,FALSE)</f>
        <v>64</v>
      </c>
      <c r="Q43" s="12">
        <f>VLOOKUP($B43&amp;"__wt",'SegEnds_Xtal_BW#'!$A:$Z,17,FALSE)</f>
        <v>50</v>
      </c>
      <c r="R43" s="12">
        <f>VLOOKUP($B43&amp;"__wt",'SegEnds_Xtal_BW#'!$A:$Z,18,FALSE)</f>
        <v>52</v>
      </c>
      <c r="S43" s="12">
        <f>VLOOKUP($B43&amp;"__wt",'SegEnds_Xtal_BW#'!$A:$Z,19,FALSE)</f>
        <v>31</v>
      </c>
      <c r="T43" s="12">
        <f t="array" ref="T43">INDEX(ICL3_classA!$G$2:$G$39,MATCH(MIN(ABS(AI43-ICL3_classA!$F$2:$F$39)),ABS(AI43-ICL3_classA!$F$2:$F$39),0))</f>
        <v>68</v>
      </c>
      <c r="U43" s="12">
        <f t="array" ref="U43">INDEX(ICL3_classA!$H$2:$H$39,MATCH(MIN(ABS(AI43-ICL3_classA!$F$2:$F$39)),ABS(AI43-ICL3_classA!$F$2:$F$39),0))</f>
        <v>30</v>
      </c>
      <c r="V43" s="12">
        <v>65</v>
      </c>
      <c r="W43" s="12">
        <v>24</v>
      </c>
      <c r="X43" s="12">
        <f>VLOOKUP($B43&amp;"__wt",'SegEnds_Xtal_BW#'!$A:$Z,24,FALSE)</f>
        <v>56</v>
      </c>
      <c r="Y43" s="12">
        <f>VLOOKUP($B43&amp;"__wt",'SegEnds_Xtal_BW#'!$A:$Z,25,FALSE)</f>
        <v>47</v>
      </c>
      <c r="Z43" s="12">
        <f>VLOOKUP($B43&amp;"__wt",'SegEnds_Xtal_BW#'!$A:$Z,26,FALSE)</f>
        <v>62</v>
      </c>
      <c r="AA43" s="36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2">
        <f>VLOOKUP(A43,'SegEnds_NonXtal_Prot#'!A:AL,10,FALSE)-VLOOKUP(A43,'SegEnds_NonXtal_Prot#'!A:AL,7,FALSE)</f>
        <v>15</v>
      </c>
      <c r="AD43" s="12">
        <f>VLOOKUP(A43,'SegEnds_NonXtal_Prot#'!A:AL,13,FALSE)-VLOOKUP(A43,'SegEnds_NonXtal_Prot#'!A:AL,10,FALSE)</f>
        <v>19</v>
      </c>
      <c r="AE43" s="12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22</v>
      </c>
      <c r="AG43" s="12">
        <f>VLOOKUP(A43,'SegEnds_NonXtal_Prot#'!A:AL,28,FALSE)-VLOOKUP(A43,'SegEnds_NonXtal_Prot#'!A:AL,25,FALSE)</f>
        <v>29</v>
      </c>
      <c r="AH43" s="1">
        <f>VLOOKUP(A43,'SegEnds_NonXtal_Prot#'!A:AL,28,FALSE)-VLOOKUP(A43,'SegEnds_NonXtal_Prot#'!A:AL,22,FALSE)</f>
        <v>54</v>
      </c>
      <c r="AI43" s="12">
        <f>VLOOKUP(A43,'SegEnds_NonXtal_Prot#'!A:AL,31,FALSE)-VLOOKUP(A43,'SegEnds_NonXtal_Prot#'!A:AL,28,FALSE)</f>
        <v>43</v>
      </c>
      <c r="AJ43" s="12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2" t="str">
        <f>IF(ISERROR(MATCH(A43,'SegEnds_Xtal_Prot#'!B:B, 0)), "NoXtal", "Xtal")</f>
        <v>Xtal</v>
      </c>
    </row>
    <row r="44" spans="1:38" x14ac:dyDescent="0.2">
      <c r="A44" s="1" t="s">
        <v>182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f>VLOOKUP($B44&amp;"__wt",'SegEnds_Xtal_BW#'!$A:$Z,7,FALSE)</f>
        <v>37</v>
      </c>
      <c r="H44" s="12">
        <f>VLOOKUP($B44&amp;"__wt",'SegEnds_Xtal_BW#'!$A:$Z,8,FALSE)</f>
        <v>66</v>
      </c>
      <c r="I44" s="1" t="str">
        <f>VLOOKUP($B44&amp;"__wt",'SegEnds_Xtal_BW#'!$A:$Z,9,FALSE)</f>
        <v>-</v>
      </c>
      <c r="J44" s="1" t="str">
        <f>VLOOKUP($B44&amp;"__wt",'SegEnds_Xtal_BW#'!$A:$Z,10,FALSE)</f>
        <v>-</v>
      </c>
      <c r="K44" s="12">
        <f>VLOOKUP($B44&amp;"__wt",'SegEnds_Xtal_BW#'!$A:$Z,11,FALSE)</f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76</v>
      </c>
      <c r="U44" s="1">
        <f t="array" ref="U44">INDEX(ICL3_classA!$H$2:$H$39,MATCH(MIN(ABS(AI44-ICL3_classA!$F$2:$F$39)),ABS(AI44-ICL3_classA!$F$2:$F$39),0))</f>
        <v>24</v>
      </c>
      <c r="V44" s="1">
        <f>VLOOKUP($B44&amp;"__wt",'SegEnds_Xtal_BW#'!$A:$Z,22,FALSE)</f>
        <v>61</v>
      </c>
      <c r="W44" s="1">
        <f>VLOOKUP($B44&amp;"__wt",'SegEnds_Xtal_BW#'!$A:$Z,23,FALSE)</f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20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183</v>
      </c>
      <c r="B45" s="1" t="str">
        <f>VLOOKUP(A45,Xtal_Templ!A:B,2,FALSE)</f>
        <v>cnr2_human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v>48</v>
      </c>
      <c r="J45" s="1"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INDEX(ICL3_classA!$G$2:$G$39,MATCH(MIN(ABS(AI45-ICL3_classA!$F$2:$F$39)),ABS(AI45-ICL3_classA!$F$2:$F$39),0))</f>
        <v>74</v>
      </c>
      <c r="U45" s="108">
        <v>28</v>
      </c>
      <c r="V45" s="1">
        <f>VLOOKUP($B45&amp;"__wt",'SegEnds_Xtal_BW#'!$A:$Z,22,FALSE)</f>
        <v>61</v>
      </c>
      <c r="W45" s="1">
        <f>VLOOKUP($B45&amp;"__wt",'SegEnds_Xtal_BW#'!$A:$Z,23,FALSE)</f>
        <v>28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63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29</v>
      </c>
      <c r="AC45" s="1">
        <f>VLOOKUP(A45,'SegEnds_NonXtal_Prot#'!A:AL,10,FALSE)-VLOOKUP(A45,'SegEnds_NonXtal_Prot#'!A:AL,7,FALSE)</f>
        <v>16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20</v>
      </c>
      <c r="AG45" s="1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43</v>
      </c>
      <c r="AI45" s="1">
        <f>VLOOKUP(A45,'SegEnds_NonXtal_Prot#'!A:AL,31,FALSE)-VLOOKUP(A45,'SegEnds_NonXtal_Prot#'!A:AL,28,FALSE)</f>
        <v>59</v>
      </c>
      <c r="AJ45" s="1">
        <f>VLOOKUP(A45,'SegEnds_NonXtal_Prot#'!A:AL,34,FALSE)-VLOOKUP(A45,'SegEnds_NonXtal_Prot#'!A:AL,31,FALSE)</f>
        <v>36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190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INDEX(ICL3_classA!$G$2:$G$39,MATCH(MIN(ABS(AI46-ICL3_classA!$F$2:$F$39)),ABS(AI46-ICL3_classA!$F$2:$F$39),0))</f>
        <v>76</v>
      </c>
      <c r="U46" s="1">
        <f t="array" ref="U46">INDEX(ICL3_classA!$H$2:$H$39,MATCH(MIN(ABS(AI46-ICL3_classA!$F$2:$F$39)),ABS(AI46-ICL3_classA!$F$2:$F$39),0))</f>
        <v>24</v>
      </c>
      <c r="V46" s="1">
        <v>61</v>
      </c>
      <c r="W46" s="1">
        <v>28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58</v>
      </c>
      <c r="AI46" s="1">
        <f>VLOOKUP(A46,'SegEnds_NonXtal_Prot#'!A:AL,31,FALSE)-VLOOKUP(A46,'SegEnds_NonXtal_Prot#'!A:AL,28,FALSE)</f>
        <v>81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194</v>
      </c>
      <c r="B47" s="1" t="str">
        <f>VLOOKUP(A47,Xtal_Templ!A:B,2,FALSE)</f>
        <v>adrb2_human</v>
      </c>
      <c r="C47" s="5">
        <f>VLOOKUP($B47&amp;"__wt",'SegEnds_Xtal_BW#'!$A:$Z,3,FALSE)</f>
        <v>25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INDEX(ICL3_classA!$G$2:$G$39,MATCH(MIN(ABS(AI47-ICL3_classA!$F$2:$F$39)),ABS(AI47-ICL3_classA!$F$2:$F$39),0))</f>
        <v>76</v>
      </c>
      <c r="U47" s="1">
        <f t="array" ref="U47">INDEX(ICL3_classA!$H$2:$H$39,MATCH(MIN(ABS(AI47-ICL3_classA!$F$2:$F$39)),ABS(AI47-ICL3_classA!$F$2:$F$39),0))</f>
        <v>24</v>
      </c>
      <c r="V47" s="1">
        <v>64</v>
      </c>
      <c r="W47" s="1">
        <v>24</v>
      </c>
      <c r="X47" s="124"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72</v>
      </c>
      <c r="AI47" s="1">
        <f>VLOOKUP(A47,'SegEnds_NonXtal_Prot#'!A:AL,31,FALSE)-VLOOKUP(A47,'SegEnds_NonXtal_Prot#'!A:AL,28,FALSE)</f>
        <v>74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4" t="s">
        <v>199</v>
      </c>
      <c r="B48" s="4" t="str">
        <f>VLOOKUP(A48,Xtal_Templ!A:B,2,FALSE)</f>
        <v>ox2r_human</v>
      </c>
      <c r="C48" s="5">
        <f>VLOOKUP($B48&amp;"__wt",'SegEnds_Xtal_BW#'!$A:$Z,3,FALSE)</f>
        <v>31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66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">
        <v>57</v>
      </c>
      <c r="O48" s="87">
        <f>VLOOKUP($B48&amp;"__wt",'SegEnds_Xtal_BW#'!$A:$Z,15,FALSE)</f>
        <v>38</v>
      </c>
      <c r="P48" s="4">
        <f>VLOOKUP($B48&amp;"__wt",'SegEnds_Xtal_BW#'!$A:$Z,16,FALSE)</f>
        <v>64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4">
        <f>VLOOKUP($B48&amp;"__wt",'SegEnds_Xtal_BW#'!$A:$Z,19,FALSE)</f>
        <v>33</v>
      </c>
      <c r="T48" s="4">
        <f t="array" ref="T48">INDEX(ICL3_classA!$G$2:$G$39,MATCH(MIN(ABS(AI48-ICL3_classA!$F$2:$F$39)),ABS(AI48-ICL3_classA!$F$2:$F$39),0))</f>
        <v>76</v>
      </c>
      <c r="U48" s="4">
        <f t="array" ref="U48">INDEX(ICL3_classA!$H$2:$H$39,MATCH(MIN(ABS(AI48-ICL3_classA!$F$2:$F$39)),ABS(AI48-ICL3_classA!$F$2:$F$39),0))</f>
        <v>24</v>
      </c>
      <c r="V48" s="4">
        <v>61</v>
      </c>
      <c r="W48" s="128">
        <f>VLOOKUP($B48&amp;"__wt",'SegEnds_Xtal_BW#'!$A:$Z,23,FALSE)</f>
        <v>27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4" t="e">
        <f>VLOOKUP(A48,'SegEnds_NonXtal_Prot#'!A:AL,10,FALSE)-VLOOKUP(A48,'SegEnds_NonXtal_Prot#'!A:AL,7,FALSE)</f>
        <v>#VALUE!</v>
      </c>
      <c r="AD48" s="4">
        <f>VLOOKUP(A48,'SegEnds_NonXtal_Prot#'!A:AL,13,FALSE)-VLOOKUP(A48,'SegEnds_NonXtal_Prot#'!A:AL,10,FALSE)</f>
        <v>19</v>
      </c>
      <c r="AE48" s="4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4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56</v>
      </c>
      <c r="AI48" s="4">
        <f>VLOOKUP(A48,'SegEnds_NonXtal_Prot#'!A:AL,31,FALSE)-VLOOKUP(A48,'SegEnds_NonXtal_Prot#'!A:AL,28,FALSE)</f>
        <v>76</v>
      </c>
      <c r="AJ48" s="4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216</v>
      </c>
      <c r="B49" s="1" t="str">
        <f>VLOOKUP(A49,Xtal_Templ!A:B,2,FALSE)</f>
        <v>ccr7_human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33</v>
      </c>
      <c r="T49" s="1">
        <f t="array" ref="T49">INDEX(ICL3_classA!$G$2:$G$39,MATCH(MIN(ABS(AI49-ICL3_classA!$F$2:$F$39)),ABS(AI49-ICL3_classA!$F$2:$F$39),0))</f>
        <v>68</v>
      </c>
      <c r="U49" s="1">
        <f t="array" ref="U49">INDEX(ICL3_classA!$H$2:$H$39,MATCH(MIN(ABS(AI49-ICL3_classA!$F$2:$F$39)),ABS(AI49-ICL3_classA!$F$2:$F$39),0))</f>
        <v>28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30</v>
      </c>
      <c r="AH49" s="1">
        <f>VLOOKUP(A49,'SegEnds_NonXtal_Prot#'!A:AL,28,FALSE)-VLOOKUP(A49,'SegEnds_NonXtal_Prot#'!A:AL,22,FALSE)</f>
        <v>56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11</v>
      </c>
      <c r="AL49" s="1" t="str">
        <f>IF(ISERROR(MATCH(A49,'SegEnds_Xtal_Prot#'!B:B, 0)), "NoXtal", "Xtal")</f>
        <v>NoXtal</v>
      </c>
    </row>
    <row r="50" spans="1:38" x14ac:dyDescent="0.2">
      <c r="A50" s="1" t="s">
        <v>230</v>
      </c>
      <c r="B50" s="1" t="str">
        <f>VLOOKUP(A50,Xtal_Templ!A:B,2,FALSE)</f>
        <v>p2ry1_human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 t="str">
        <f>VLOOKUP($B50&amp;"__wt",'SegEnds_Xtal_BW#'!$A:$Z,5,FALSE)</f>
        <v>-</v>
      </c>
      <c r="F50" s="1" t="str">
        <f>VLOOKUP($B50&amp;"__wt",'SegEnds_Xtal_BW#'!$A:$Z,6,FALSE)</f>
        <v>-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INDEX(ICL3_classA!$G$2:$G$39,MATCH(MIN(ABS(AI50-ICL3_classA!$F$2:$F$39)),ABS(AI50-ICL3_classA!$F$2:$F$39),0))</f>
        <v>68</v>
      </c>
      <c r="U50" s="1">
        <f t="array" ref="U50">INDEX(ICL3_classA!$H$2:$H$39,MATCH(MIN(ABS(AI50-ICL3_classA!$F$2:$F$39)),ABS(AI50-ICL3_classA!$F$2:$F$39),0))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 t="e">
        <f>VLOOKUP(A50,'SegEnds_NonXtal_Prot#'!A:AL,10,FALSE)-VLOOKUP(A50,'SegEnds_NonXtal_Prot#'!A:AL,7,FALSE)</f>
        <v>#VALUE!</v>
      </c>
      <c r="AD50" s="1">
        <f>VLOOKUP(A50,'SegEnds_NonXtal_Prot#'!A:AL,13,FALSE)-VLOOKUP(A50,'SegEnds_NonXtal_Prot#'!A:AL,10,FALSE)</f>
        <v>19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29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48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240</v>
      </c>
      <c r="B51" s="1" t="str">
        <f>VLOOKUP(A51,Xtal_Templ!A:B,2,FALSE)</f>
        <v>ccr6_human</v>
      </c>
      <c r="C51" s="5">
        <f>VLOOKUP($B51&amp;"__wt",'SegEnds_Xtal_BW#'!$A:$Z,3,FALSE)</f>
        <v>25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INDEX(ICL3_classA!$G$2:$G$39,MATCH(MIN(ABS(AI51-ICL3_classA!$F$2:$F$39)),ABS(AI51-ICL3_classA!$F$2:$F$39),0))</f>
        <v>68</v>
      </c>
      <c r="U51" s="1">
        <f t="array" ref="U51">INDEX(ICL3_classA!$H$2:$H$39,MATCH(MIN(ABS(AI51-ICL3_classA!$F$2:$F$39)),ABS(AI51-ICL3_classA!$F$2:$F$39),0))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62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 t="e">
        <f>VLOOKUP(A51,'SegEnds_NonXtal_Prot#'!A:AL,10,FALSE)-VLOOKUP(A51,'SegEnds_NonXtal_Prot#'!A:AL,7,FALSE)</f>
        <v>#VALUE!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48</v>
      </c>
      <c r="AJ51" s="1">
        <f>VLOOKUP(A51,'SegEnds_NonXtal_Prot#'!A:AL,34,FALSE)-VLOOKUP(A51,'SegEnds_NonXtal_Prot#'!A:AL,31,FALSE)</f>
        <v>36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250</v>
      </c>
      <c r="B52" s="1" t="str">
        <f>VLOOKUP(A52,Xtal_Templ!A:B,2,FALSE)</f>
        <v>fpr2_human</v>
      </c>
      <c r="C52" s="5">
        <f>VLOOKUP($B52&amp;"__wt",'SegEnds_Xtal_BW#'!$A:$Z,3,FALSE)</f>
        <v>25</v>
      </c>
      <c r="D52" s="1">
        <f>VLOOKUP($B52&amp;"__wt",'SegEnds_Xtal_BW#'!$A:$Z,4,FALSE)</f>
        <v>61</v>
      </c>
      <c r="E52" s="1" t="str">
        <f>VLOOKUP($B52&amp;"__wt",'SegEnds_Xtal_BW#'!$A:$Z,5,FALSE)</f>
        <v>-</v>
      </c>
      <c r="F52" s="1" t="str">
        <f>VLOOKUP($B52&amp;"__wt",'SegEnds_Xtal_BW#'!$A:$Z,6,FALSE)</f>
        <v>-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23</v>
      </c>
      <c r="T52" s="1">
        <f t="array" ref="T52">INDEX(ICL3_classA!$G$2:$G$39,MATCH(MIN(ABS(AI52-ICL3_classA!$F$2:$F$39)),ABS(AI52-ICL3_classA!$F$2:$F$39),0))</f>
        <v>68</v>
      </c>
      <c r="U52" s="1">
        <f t="array" ref="U52">INDEX(ICL3_classA!$H$2:$H$39,MATCH(MIN(ABS(AI52-ICL3_classA!$F$2:$F$39)),ABS(AI52-ICL3_classA!$F$2:$F$39),0))</f>
        <v>30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27</v>
      </c>
      <c r="AC52" s="1" t="e">
        <f>VLOOKUP(A52,'SegEnds_NonXtal_Prot#'!A:AL,10,FALSE)-VLOOKUP(A52,'SegEnds_NonXtal_Prot#'!A:AL,7,FALSE)</f>
        <v>#VALUE!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37</v>
      </c>
      <c r="AH52" s="1">
        <f>VLOOKUP(A52,'SegEnds_NonXtal_Prot#'!A:AL,28,FALSE)-VLOOKUP(A52,'SegEnds_NonXtal_Prot#'!A:AL,22,FALSE)</f>
        <v>62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42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280</v>
      </c>
      <c r="B53" s="1" t="str">
        <f>VLOOKUP(A53,Xtal_Templ!A:B,2,FALSE)</f>
        <v>acm3_rat</v>
      </c>
      <c r="C53" s="5">
        <f>VLOOKUP($B53&amp;"__wt",'SegEnds_Xtal_BW#'!$A:$Z,3,FALSE)</f>
        <v>28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58</v>
      </c>
      <c r="O53" s="87"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19</v>
      </c>
      <c r="AE53" s="1">
        <f>VLOOKUP(A53,'SegEnds_NonXtal_Prot#'!A:AL,16,FALSE)-VLOOKUP(A53,'SegEnds_NonXtal_Prot#'!A:AL,10,FALSE)</f>
        <v>51</v>
      </c>
      <c r="AF53" s="1">
        <f>VLOOKUP(A53,'SegEnds_NonXtal_Prot#'!A:AL,22,FALSE)-VLOOKUP(A53,'SegEnds_NonXtal_Prot#'!A:AL,19,FALSE)</f>
        <v>21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132</v>
      </c>
      <c r="AJ53" s="1">
        <f>VLOOKUP(A53,'SegEnds_NonXtal_Prot#'!A:AL,34,FALSE)-VLOOKUP(A53,'SegEnds_NonXtal_Prot#'!A:AL,31,FALSE)</f>
        <v>37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103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INDEX(ICL3_classA!$G$2:$G$39,MATCH(MIN(ABS(AI54-ICL3_classA!$F$2:$F$39)),ABS(AI54-ICL3_classA!$F$2:$F$39),0))</f>
        <v>73</v>
      </c>
      <c r="U54" s="1">
        <f t="array" ref="U54">INDEX(ICL3_classA!$H$2:$H$39,MATCH(MIN(ABS(AI54-ICL3_classA!$F$2:$F$39)),ABS(AI54-ICL3_classA!$F$2:$F$39),0))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19</v>
      </c>
      <c r="AG54" s="1" t="e">
        <f>VLOOKUP(A54,'SegEnds_NonXtal_Prot#'!A:AL,28,FALSE)-VLOOKUP(A54,'SegEnds_NonXtal_Prot#'!A:AL,25,FALSE)</f>
        <v>#VALUE!</v>
      </c>
      <c r="AH54" s="1">
        <f>VLOOKUP(A54,'SegEnds_NonXtal_Prot#'!A:AL,28,FALSE)-VLOOKUP(A54,'SegEnds_NonXtal_Prot#'!A:AL,22,FALSE)</f>
        <v>45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285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8">
        <v>56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INDEX(ICL3_classA!$G$2:$G$39,MATCH(MIN(ABS(AI55-ICL3_classA!$F$2:$F$39)),ABS(AI55-ICL3_classA!$F$2:$F$39),0))</f>
        <v>73</v>
      </c>
      <c r="U55" s="1">
        <f t="array" ref="U55">INDEX(ICL3_classA!$H$2:$H$39,MATCH(MIN(ABS(AI55-ICL3_classA!$F$2:$F$39)),ABS(AI55-ICL3_classA!$F$2:$F$39),0))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19</v>
      </c>
      <c r="AG55" s="1" t="e">
        <f>VLOOKUP(A55,'SegEnds_NonXtal_Prot#'!A:AL,28,FALSE)-VLOOKUP(A55,'SegEnds_NonXtal_Prot#'!A:AL,25,FALSE)</f>
        <v>#VALUE!</v>
      </c>
      <c r="AH55" s="1">
        <f>VLOOKUP(A55,'SegEnds_NonXtal_Prot#'!A:AL,28,FALSE)-VLOOKUP(A55,'SegEnds_NonXtal_Prot#'!A:AL,22,FALSE)</f>
        <v>45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36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286</v>
      </c>
      <c r="B56" s="1" t="str">
        <f>VLOOKUP(A56,Xtal_Templ!A:B,2,FALSE)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08">
        <v>56</v>
      </c>
      <c r="O56" s="87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INDEX(ICL3_classA!$G$2:$G$39,MATCH(MIN(ABS(AI56-ICL3_classA!$F$2:$F$39)),ABS(AI56-ICL3_classA!$F$2:$F$39),0))</f>
        <v>73</v>
      </c>
      <c r="U56" s="1">
        <f t="array" ref="U56">INDEX(ICL3_classA!$H$2:$H$39,MATCH(MIN(ABS(AI56-ICL3_classA!$F$2:$F$39)),ABS(AI56-ICL3_classA!$F$2:$F$39),0))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19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45</v>
      </c>
      <c r="AI56" s="1">
        <f>VLOOKUP(A56,'SegEnds_NonXtal_Prot#'!A:AL,31,FALSE)-VLOOKUP(A56,'SegEnds_NonXtal_Prot#'!A:AL,28,FALSE)</f>
        <v>56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287</v>
      </c>
      <c r="B57" s="1" t="str">
        <f>VLOOKUP(A57,Xtal_Templ!A:B,2,FALSE)</f>
        <v>oprk_human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INDEX(ICL3_classA!$G$2:$G$39,MATCH(MIN(ABS(AI57-ICL3_classA!$F$2:$F$39)),ABS(AI57-ICL3_classA!$F$2:$F$39),0))</f>
        <v>68</v>
      </c>
      <c r="U57" s="1">
        <f t="array" ref="U57">INDEX(ICL3_classA!$H$2:$H$39,MATCH(MIN(ABS(AI57-ICL3_classA!$F$2:$F$39)),ABS(AI57-ICL3_classA!$F$2:$F$39),0))</f>
        <v>24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28</v>
      </c>
      <c r="AH57" s="1">
        <f>VLOOKUP(A57,'SegEnds_NonXtal_Prot#'!A:AL,28,FALSE)-VLOOKUP(A57,'SegEnds_NonXtal_Prot#'!A:AL,22,FALSE)</f>
        <v>53</v>
      </c>
      <c r="AI57" s="1">
        <f>VLOOKUP(A57,'SegEnds_NonXtal_Prot#'!A:AL,31,FALSE)-VLOOKUP(A57,'SegEnds_NonXtal_Prot#'!A:AL,28,FALSE)</f>
        <v>48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288</v>
      </c>
      <c r="B58" s="1" t="str">
        <f>VLOOKUP(A58,Xtal_Templ!A:B,2,FALSE)</f>
        <v>cltr2_human</v>
      </c>
      <c r="C58" s="5">
        <f>VLOOKUP($B58&amp;"__wt",'SegEnds_Xtal_BW#'!$A:$Z,3,FALSE)</f>
        <v>25</v>
      </c>
      <c r="D58" s="1">
        <f>VLOOKUP($B58&amp;"__wt",'SegEnds_Xtal_BW#'!$A:$Z,4,FALSE)</f>
        <v>60</v>
      </c>
      <c r="E58" s="1" t="str">
        <f>VLOOKUP($B58&amp;"__wt",'SegEnds_Xtal_BW#'!$A:$Z,5,FALSE)</f>
        <v>-</v>
      </c>
      <c r="F58" s="1" t="str">
        <f>VLOOKUP($B58&amp;"__wt",'SegEnds_Xtal_BW#'!$A:$Z,6,FALSE)</f>
        <v>-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32</v>
      </c>
      <c r="T58" s="1">
        <f t="array" ref="T58">INDEX(ICL3_classA!$G$2:$G$39,MATCH(MIN(ABS(AI58-ICL3_classA!$F$2:$F$39)),ABS(AI58-ICL3_classA!$F$2:$F$39),0))</f>
        <v>67</v>
      </c>
      <c r="U58" s="1">
        <f t="array" ref="U58">INDEX(ICL3_classA!$H$2:$H$39,MATCH(MIN(ABS(AI58-ICL3_classA!$F$2:$F$39)),ABS(AI58-ICL3_classA!$F$2:$F$39),0))</f>
        <v>26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60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19</v>
      </c>
      <c r="AE58" s="1">
        <f>VLOOKUP(A58,'SegEnds_NonXtal_Prot#'!A:AL,16,FALSE)-VLOOKUP(A58,'SegEnds_NonXtal_Prot#'!A:AL,10,FALSE)</f>
        <v>51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57</v>
      </c>
      <c r="AI58" s="1">
        <f>VLOOKUP(A58,'SegEnds_NonXtal_Prot#'!A:AL,31,FALSE)-VLOOKUP(A58,'SegEnds_NonXtal_Prot#'!A:AL,28,FALSE)</f>
        <v>46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289</v>
      </c>
      <c r="B59" s="1" t="str">
        <f>VLOOKUP(A59,Xtal_Templ!A:B,2,FALSE)</f>
        <v>cltr1_human</v>
      </c>
      <c r="C59" s="5">
        <f>VLOOKUP($B59&amp;"__wt",'SegEnds_Xtal_BW#'!$A:$Z,3,FALSE)</f>
        <v>20</v>
      </c>
      <c r="D59" s="108">
        <v>60</v>
      </c>
      <c r="E59" s="1" t="str">
        <f>VLOOKUP($B59&amp;"__wt",'SegEnds_Xtal_BW#'!$A:$Z,5,FALSE)</f>
        <v>-</v>
      </c>
      <c r="F59" s="1" t="str">
        <f>VLOOKUP($B59&amp;"__wt",'SegEnds_Xtal_BW#'!$A:$Z,6,FALSE)</f>
        <v>-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28</v>
      </c>
      <c r="T59" s="1">
        <f t="array" ref="T59">INDEX(ICL3_classA!$G$2:$G$39,MATCH(MIN(ABS(AI59-ICL3_classA!$F$2:$F$39)),ABS(AI59-ICL3_classA!$F$2:$F$39),0))</f>
        <v>68</v>
      </c>
      <c r="U59" s="1">
        <f t="array" ref="U59">INDEX(ICL3_classA!$H$2:$H$39,MATCH(MIN(ABS(AI59-ICL3_classA!$F$2:$F$39)),ABS(AI59-ICL3_classA!$F$2:$F$39),0))</f>
        <v>24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19</v>
      </c>
      <c r="AE59" s="1">
        <f>VLOOKUP(A59,'SegEnds_NonXtal_Prot#'!A:AL,16,FALSE)-VLOOKUP(A59,'SegEnds_NonXtal_Prot#'!A:AL,10,FALSE)</f>
        <v>51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28</v>
      </c>
      <c r="AH59" s="1">
        <f>VLOOKUP(A59,'SegEnds_NonXtal_Prot#'!A:AL,28,FALSE)-VLOOKUP(A59,'SegEnds_NonXtal_Prot#'!A:AL,22,FALSE)</f>
        <v>55</v>
      </c>
      <c r="AI59" s="1">
        <f>VLOOKUP(A59,'SegEnds_NonXtal_Prot#'!A:AL,31,FALSE)-VLOOKUP(A59,'SegEnds_NonXtal_Prot#'!A:AL,28,FALSE)</f>
        <v>48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291</v>
      </c>
      <c r="B60" s="1" t="str">
        <f>VLOOKUP(A60,Xtal_Templ!A:B,2,FALSE)</f>
        <v>ccr7_human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08">
        <v>29</v>
      </c>
      <c r="T60" s="1">
        <f t="array" ref="T60">INDEX(ICL3_classA!$G$2:$G$39,MATCH(MIN(ABS(AI60-ICL3_classA!$F$2:$F$39)),ABS(AI60-ICL3_classA!$F$2:$F$39),0))</f>
        <v>68</v>
      </c>
      <c r="U60" s="1">
        <f t="array" ref="U60">INDEX(ICL3_classA!$H$2:$H$39,MATCH(MIN(ABS(AI60-ICL3_classA!$F$2:$F$39)),ABS(AI60-ICL3_classA!$F$2:$F$39),0))</f>
        <v>30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19</v>
      </c>
      <c r="AE60" s="1">
        <f>VLOOKUP(A60,'SegEnds_NonXtal_Prot#'!A:AL,16,FALSE)-VLOOKUP(A60,'SegEnds_NonXtal_Prot#'!A:AL,10,FALSE)</f>
        <v>51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25</v>
      </c>
      <c r="AH60" s="1">
        <f>VLOOKUP(A60,'SegEnds_NonXtal_Prot#'!A:AL,28,FALSE)-VLOOKUP(A60,'SegEnds_NonXtal_Prot#'!A:AL,22,FALSE)</f>
        <v>51</v>
      </c>
      <c r="AI60" s="1">
        <f>VLOOKUP(A60,'SegEnds_NonXtal_Prot#'!A:AL,31,FALSE)-VLOOKUP(A60,'SegEnds_NonXtal_Prot#'!A:AL,28,FALSE)</f>
        <v>43</v>
      </c>
      <c r="AJ60" s="1">
        <f>VLOOKUP(A60,'SegEnds_NonXtal_Prot#'!A:AL,34,FALSE)-VLOOKUP(A60,'SegEnds_NonXtal_Prot#'!A:AL,31,FALSE)</f>
        <v>46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292</v>
      </c>
      <c r="B61" s="1" t="str">
        <f>VLOOKUP(A61,Xtal_Templ!A:B,2,FALSE)</f>
        <v>pd2r2_human</v>
      </c>
      <c r="C61" s="5">
        <f>VLOOKUP($B61&amp;"__wt",'SegEnds_Xtal_BW#'!$A:$Z,3,FALSE)</f>
        <v>32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INDEX(ICL3_classA!$G$2:$G$39,MATCH(MIN(ABS(AI61-ICL3_classA!$F$2:$F$39)),ABS(AI61-ICL3_classA!$F$2:$F$39),0))</f>
        <v>67</v>
      </c>
      <c r="U61" s="1">
        <f t="array" ref="U61">INDEX(ICL3_classA!$H$2:$H$39,MATCH(MIN(ABS(AI61-ICL3_classA!$F$2:$F$39)),ABS(AI61-ICL3_classA!$F$2:$F$39),0))</f>
        <v>26</v>
      </c>
      <c r="V61" s="1">
        <v>64</v>
      </c>
      <c r="W61" s="1">
        <v>24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64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30</v>
      </c>
      <c r="AC61" s="1">
        <f>VLOOKUP(A61,'SegEnds_NonXtal_Prot#'!A:AL,10,FALSE)-VLOOKUP(A61,'SegEnds_NonXtal_Prot#'!A:AL,7,FALSE)</f>
        <v>17</v>
      </c>
      <c r="AD61" s="1">
        <f>VLOOKUP(A61,'SegEnds_NonXtal_Prot#'!A:AL,13,FALSE)-VLOOKUP(A61,'SegEnds_NonXtal_Prot#'!A:AL,10,FALSE)</f>
        <v>19</v>
      </c>
      <c r="AE61" s="1">
        <f>VLOOKUP(A61,'SegEnds_NonXtal_Prot#'!A:AL,16,FALSE)-VLOOKUP(A61,'SegEnds_NonXtal_Prot#'!A:AL,10,FALSE)</f>
        <v>51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22</v>
      </c>
      <c r="AH61" s="1">
        <f>VLOOKUP(A61,'SegEnds_NonXtal_Prot#'!A:AL,28,FALSE)-VLOOKUP(A61,'SegEnds_NonXtal_Prot#'!A:AL,22,FALSE)</f>
        <v>47</v>
      </c>
      <c r="AI61" s="1">
        <f>VLOOKUP(A61,'SegEnds_NonXtal_Prot#'!A:AL,31,FALSE)-VLOOKUP(A61,'SegEnds_NonXtal_Prot#'!A:AL,28,FALSE)</f>
        <v>46</v>
      </c>
      <c r="AJ61" s="1">
        <f>VLOOKUP(A61,'SegEnds_NonXtal_Prot#'!A:AL,34,FALSE)-VLOOKUP(A61,'SegEnds_NonXtal_Prot#'!A:AL,31,FALSE)</f>
        <v>46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300</v>
      </c>
      <c r="B62" s="1" t="str">
        <f>VLOOKUP(A62,Xtal_Templ!A:B,2,FALSE)</f>
        <v>ccr6_human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INDEX(ICL3_classA!$G$2:$G$39,MATCH(MIN(ABS(AI62-ICL3_classA!$F$2:$F$39)),ABS(AI62-ICL3_classA!$F$2:$F$39),0))</f>
        <v>68</v>
      </c>
      <c r="U62" s="1">
        <f t="array" ref="U62">INDEX(ICL3_classA!$H$2:$H$39,MATCH(MIN(ABS(AI62-ICL3_classA!$F$2:$F$39)),ABS(AI62-ICL3_classA!$F$2:$F$39),0))</f>
        <v>28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62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 t="e">
        <f>VLOOKUP(A62,'SegEnds_NonXtal_Prot#'!A:AL,13,FALSE)-VLOOKUP(A62,'SegEnds_NonXtal_Prot#'!A:AL,10,FALSE)</f>
        <v>#VALUE!</v>
      </c>
      <c r="AE62" s="1">
        <f>VLOOKUP(A62,'SegEnds_NonXtal_Prot#'!A:AL,16,FALSE)-VLOOKUP(A62,'SegEnds_NonXtal_Prot#'!A:AL,10,FALSE)</f>
        <v>51</v>
      </c>
      <c r="AF62" s="1">
        <f>VLOOKUP(A62,'SegEnds_NonXtal_Prot#'!A:AL,22,FALSE)-VLOOKUP(A62,'SegEnds_NonXtal_Prot#'!A:AL,19,FALSE)</f>
        <v>20</v>
      </c>
      <c r="AG62" s="1" t="e">
        <f>VLOOKUP(A62,'SegEnds_NonXtal_Prot#'!A:AL,28,FALSE)-VLOOKUP(A62,'SegEnds_NonXtal_Prot#'!A:AL,25,FALSE)</f>
        <v>#VALUE!</v>
      </c>
      <c r="AH62" s="1">
        <f>VLOOKUP(A62,'SegEnds_NonXtal_Prot#'!A:AL,28,FALSE)-VLOOKUP(A62,'SegEnds_NonXtal_Prot#'!A:AL,22,FALSE)</f>
        <v>42</v>
      </c>
      <c r="AI62" s="1">
        <f>VLOOKUP(A62,'SegEnds_NonXtal_Prot#'!A:AL,31,FALSE)-VLOOKUP(A62,'SegEnds_NonXtal_Prot#'!A:AL,28,FALSE)</f>
        <v>44</v>
      </c>
      <c r="AJ62" s="1">
        <f>VLOOKUP(A62,'SegEnds_NonXtal_Prot#'!A:AL,34,FALSE)-VLOOKUP(A62,'SegEnds_NonXtal_Prot#'!A:AL,31,FALSE)</f>
        <v>37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319</v>
      </c>
      <c r="B63" s="1" t="str">
        <f>VLOOKUP(A63,Xtal_Templ!A:B,2,FALSE)</f>
        <v>oprk_human</v>
      </c>
      <c r="C63" s="5">
        <f>VLOOKUP($B63&amp;"__wt",'SegEnds_Xtal_BW#'!$A:$Z,3,FALSE)</f>
        <v>30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30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23</v>
      </c>
      <c r="V63" s="1">
        <v>61</v>
      </c>
      <c r="W63" s="128">
        <f>VLOOKUP($B63&amp;"__wt",'SegEnds_Xtal_BW#'!$A:$Z,23,FALSE)</f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19</v>
      </c>
      <c r="AE63" s="1">
        <f>VLOOKUP(A63,'SegEnds_NonXtal_Prot#'!A:AL,16,FALSE)-VLOOKUP(A63,'SegEnds_NonXtal_Prot#'!A:AL,10,FALSE)</f>
        <v>51</v>
      </c>
      <c r="AF63" s="1" t="e">
        <f>VLOOKUP(A63,'SegEnds_NonXtal_Prot#'!A:AL,22,FALSE)-VLOOKUP(A63,'SegEnds_NonXtal_Prot#'!A:AL,19,FALSE)</f>
        <v>#VALUE!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52</v>
      </c>
      <c r="AI63" s="1">
        <f>VLOOKUP(A63,'SegEnds_NonXtal_Prot#'!A:AL,31,FALSE)-VLOOKUP(A63,'SegEnds_NonXtal_Prot#'!A:AL,28,FALSE)</f>
        <v>51</v>
      </c>
      <c r="AJ63" s="1">
        <f>VLOOKUP(A63,'SegEnds_NonXtal_Prot#'!A:AL,34,FALSE)-VLOOKUP(A63,'SegEnds_NonXtal_Prot#'!A:AL,31,FALSE)</f>
        <v>38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320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INDEX(ICL3_classA!$G$2:$G$39,MATCH(MIN(ABS(AI64-ICL3_classA!$F$2:$F$39)),ABS(AI64-ICL3_classA!$F$2:$F$39),0))</f>
        <v>68</v>
      </c>
      <c r="U64" s="1">
        <f t="array" ref="U64">INDEX(ICL3_classA!$H$2:$H$39,MATCH(MIN(ABS(AI64-ICL3_classA!$F$2:$F$39)),ABS(AI64-ICL3_classA!$F$2:$F$39),0))</f>
        <v>23</v>
      </c>
      <c r="V64" s="1">
        <v>61</v>
      </c>
      <c r="W64" s="128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19</v>
      </c>
      <c r="AE64" s="1">
        <f>VLOOKUP(A64,'SegEnds_NonXtal_Prot#'!A:AL,16,FALSE)-VLOOKUP(A64,'SegEnds_NonXtal_Prot#'!A:AL,10,FALSE)</f>
        <v>51</v>
      </c>
      <c r="AF64" s="1" t="e">
        <f>VLOOKUP(A64,'SegEnds_NonXtal_Prot#'!A:AL,22,FALSE)-VLOOKUP(A64,'SegEnds_NonXtal_Prot#'!A:AL,19,FALSE)</f>
        <v>#VALUE!</v>
      </c>
      <c r="AG64" s="1">
        <f>VLOOKUP(A64,'SegEnds_NonXtal_Prot#'!A:AL,28,FALSE)-VLOOKUP(A64,'SegEnds_NonXtal_Prot#'!A:AL,25,FALSE)</f>
        <v>27</v>
      </c>
      <c r="AH64" s="1">
        <f>VLOOKUP(A64,'SegEnds_NonXtal_Prot#'!A:AL,28,FALSE)-VLOOKUP(A64,'SegEnds_NonXtal_Prot#'!A:AL,22,FALSE)</f>
        <v>53</v>
      </c>
      <c r="AI64" s="1">
        <f>VLOOKUP(A64,'SegEnds_NonXtal_Prot#'!A:AL,31,FALSE)-VLOOKUP(A64,'SegEnds_NonXtal_Prot#'!A:AL,28,FALSE)</f>
        <v>51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334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23</v>
      </c>
      <c r="V65" s="1">
        <v>61</v>
      </c>
      <c r="W65" s="128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19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27</v>
      </c>
      <c r="AH65" s="1">
        <f>VLOOKUP(A65,'SegEnds_NonXtal_Prot#'!A:AL,28,FALSE)-VLOOKUP(A65,'SegEnds_NonXtal_Prot#'!A:AL,22,FALSE)</f>
        <v>52</v>
      </c>
      <c r="AI65" s="1">
        <f>VLOOKUP(A65,'SegEnds_NonXtal_Prot#'!A:AL,31,FALSE)-VLOOKUP(A65,'SegEnds_NonXtal_Prot#'!A:AL,28,FALSE)</f>
        <v>51</v>
      </c>
      <c r="AJ65" s="1">
        <f>VLOOKUP(A65,'SegEnds_NonXtal_Prot#'!A:AL,34,FALSE)-VLOOKUP(A65,'SegEnds_NonXtal_Prot#'!A:AL,31,FALSE)</f>
        <v>39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911</v>
      </c>
      <c r="B66" s="1" t="str">
        <f>VLOOKUP(A66,Xtal_Templ!A:B,2,FALSE)</f>
        <v>oprd_human</v>
      </c>
      <c r="C66" s="5">
        <f>VLOOKUP($B66&amp;"__wt",'SegEnds_Xtal_BW#'!$A:$Z,3,FALSE)</f>
        <v>22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31</v>
      </c>
      <c r="T66" s="1">
        <f t="array" ref="T66">INDEX(ICL3_classA!$G$2:$G$39,MATCH(MIN(ABS(AI66-ICL3_classA!$F$2:$F$39)),ABS(AI66-ICL3_classA!$F$2:$F$39),0))</f>
        <v>68</v>
      </c>
      <c r="U66" s="1">
        <f t="array" ref="U66">INDEX(ICL3_classA!$H$2:$H$39,MATCH(MIN(ABS(AI66-ICL3_classA!$F$2:$F$39)),ABS(AI66-ICL3_classA!$F$2:$F$39),0))</f>
        <v>23</v>
      </c>
      <c r="V66" s="1">
        <v>61</v>
      </c>
      <c r="W66" s="128">
        <f>VLOOKUP($B66&amp;"__wt",'SegEnds_Xtal_BW#'!$A:$Z,23,FALSE)</f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60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19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52</v>
      </c>
      <c r="AI66" s="1">
        <f>VLOOKUP(A66,'SegEnds_NonXtal_Prot#'!A:AL,31,FALSE)-VLOOKUP(A66,'SegEnds_NonXtal_Prot#'!A:AL,28,FALSE)</f>
        <v>51</v>
      </c>
      <c r="AJ66" s="1">
        <f>VLOOKUP(A66,'SegEnds_NonXtal_Prot#'!A:AL,34,FALSE)-VLOOKUP(A66,'SegEnds_NonXtal_Prot#'!A:AL,31,FALSE)</f>
        <v>39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335</v>
      </c>
      <c r="B67" s="1" t="str">
        <f>VLOOKUP(A67,Xtal_Templ!A:B,2,FALSE)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INDEX(ICL3_classA!$G$2:$G$39,MATCH(MIN(ABS(AI67-ICL3_classA!$F$2:$F$39)),ABS(AI67-ICL3_classA!$F$2:$F$39),0))</f>
        <v>68</v>
      </c>
      <c r="U67" s="1">
        <f t="array" ref="U67">INDEX(ICL3_classA!$H$2:$H$39,MATCH(MIN(ABS(AI67-ICL3_classA!$F$2:$F$39)),ABS(AI67-ICL3_classA!$F$2:$F$39),0))</f>
        <v>23</v>
      </c>
      <c r="V67" s="1">
        <v>61</v>
      </c>
      <c r="W67" s="128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19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55</v>
      </c>
      <c r="AI67" s="1">
        <f>VLOOKUP(A67,'SegEnds_NonXtal_Prot#'!A:AL,31,FALSE)-VLOOKUP(A67,'SegEnds_NonXtal_Prot#'!A:AL,28,FALSE)</f>
        <v>51</v>
      </c>
      <c r="AJ67" s="1">
        <f>VLOOKUP(A67,'SegEnds_NonXtal_Prot#'!A:AL,34,FALSE)-VLOOKUP(A67,'SegEnds_NonXtal_Prot#'!A:AL,31,FALSE)</f>
        <v>38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336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INDEX(ICL3_classA!$G$2:$G$39,MATCH(MIN(ABS(AI68-ICL3_classA!$F$2:$F$39)),ABS(AI68-ICL3_classA!$F$2:$F$39),0))</f>
        <v>68</v>
      </c>
      <c r="U68" s="1">
        <f t="array" ref="U68">INDEX(ICL3_classA!$H$2:$H$39,MATCH(MIN(ABS(AI68-ICL3_classA!$F$2:$F$39)),ABS(AI68-ICL3_classA!$F$2:$F$39),0))</f>
        <v>23</v>
      </c>
      <c r="V68" s="1">
        <v>61</v>
      </c>
      <c r="W68" s="128">
        <f>VLOOKUP($B68&amp;"__wt",'SegEnds_Xtal_BW#'!$A:$Z,23,FALSE)</f>
        <v>28</v>
      </c>
      <c r="X68" s="123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19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52</v>
      </c>
      <c r="AI68" s="1">
        <f>VLOOKUP(A68,'SegEnds_NonXtal_Prot#'!A:AL,31,FALSE)-VLOOKUP(A68,'SegEnds_NonXtal_Prot#'!A:AL,28,FALSE)</f>
        <v>51</v>
      </c>
      <c r="AJ68" s="1">
        <f>VLOOKUP(A68,'SegEnds_NonXtal_Prot#'!A:AL,34,FALSE)-VLOOKUP(A68,'SegEnds_NonXtal_Prot#'!A:AL,31,FALSE)</f>
        <v>38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913</v>
      </c>
      <c r="B69" s="1" t="str">
        <f>VLOOKUP(A69,Xtal_Templ!A:B,2,FALSE)</f>
        <v>oprm_mouse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INDEX(ICL3_classA!$G$2:$G$39,MATCH(MIN(ABS(AI69-ICL3_classA!$F$2:$F$39)),ABS(AI69-ICL3_classA!$F$2:$F$39),0))</f>
        <v>68</v>
      </c>
      <c r="U69" s="1">
        <f t="array" ref="U69">INDEX(ICL3_classA!$H$2:$H$39,MATCH(MIN(ABS(AI69-ICL3_classA!$F$2:$F$39)),ABS(AI69-ICL3_classA!$F$2:$F$39),0))</f>
        <v>23</v>
      </c>
      <c r="V69" s="1">
        <v>61</v>
      </c>
      <c r="W69" s="128">
        <f>VLOOKUP($B69&amp;"__wt",'SegEnds_Xtal_BW#'!$A:$Z,23,FALSE)</f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52</v>
      </c>
      <c r="AI69" s="1">
        <f>VLOOKUP(A69,'SegEnds_NonXtal_Prot#'!A:AL,31,FALSE)-VLOOKUP(A69,'SegEnds_NonXtal_Prot#'!A:AL,28,FALSE)</f>
        <v>51</v>
      </c>
      <c r="AJ69" s="1">
        <f>VLOOKUP(A69,'SegEnds_NonXtal_Prot#'!A:AL,34,FALSE)-VLOOKUP(A69,'SegEnds_NonXtal_Prot#'!A:AL,31,FALSE)</f>
        <v>38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1169</v>
      </c>
      <c r="B70" s="1" t="str">
        <f>VLOOKUP(A70,Xtal_Templ!A:B,2,FALSE)</f>
        <v>oprx_human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f>VLOOKUP($B70&amp;"__wt",'SegEnds_Xtal_BW#'!$A:$Z,11,FALSE)</f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INDEX(ICL3_classA!$G$2:$G$39,MATCH(MIN(ABS(AI70-ICL3_classA!$F$2:$F$39)),ABS(AI70-ICL3_classA!$F$2:$F$39),0))</f>
        <v>68</v>
      </c>
      <c r="U70" s="1">
        <f t="array" ref="U70">INDEX(ICL3_classA!$H$2:$H$39,MATCH(MIN(ABS(AI70-ICL3_classA!$F$2:$F$39)),ABS(AI70-ICL3_classA!$F$2:$F$39),0))</f>
        <v>23</v>
      </c>
      <c r="V70" s="1">
        <v>61</v>
      </c>
      <c r="W70" s="128">
        <f>VLOOKUP($B70&amp;"__wt",'SegEnds_Xtal_BW#'!$A:$Z,23,FALSE)</f>
        <v>28</v>
      </c>
      <c r="X70" s="123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52</v>
      </c>
      <c r="AI70" s="1">
        <f>VLOOKUP(A70,'SegEnds_NonXtal_Prot#'!A:AL,31,FALSE)-VLOOKUP(A70,'SegEnds_NonXtal_Prot#'!A:AL,28,FALSE)</f>
        <v>51</v>
      </c>
      <c r="AJ70" s="1">
        <f>VLOOKUP(A70,'SegEnds_NonXtal_Prot#'!A:AL,34,FALSE)-VLOOKUP(A70,'SegEnds_NonXtal_Prot#'!A:AL,31,FALSE)</f>
        <v>38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4" t="s">
        <v>349</v>
      </c>
      <c r="B71" s="4" t="str">
        <f>VLOOKUP(A71,Xtal_Templ!A:B,2,FALSE)</f>
        <v>ptafr_human</v>
      </c>
      <c r="C71" s="5">
        <f>VLOOKUP($B71&amp;"__wt",'SegEnds_Xtal_BW#'!$A:$Z,3,FALSE)</f>
        <v>27</v>
      </c>
      <c r="D71" s="4">
        <f>VLOOKUP($B71&amp;"__wt",'SegEnds_Xtal_BW#'!$A:$Z,4,FALSE)</f>
        <v>61</v>
      </c>
      <c r="E71" s="4" t="str">
        <f>VLOOKUP($B71&amp;"__wt",'SegEnds_Xtal_BW#'!$A:$Z,5,FALSE)</f>
        <v>-</v>
      </c>
      <c r="F71" s="4" t="str">
        <f>VLOOKUP($B71&amp;"__wt",'SegEnds_Xtal_BW#'!$A:$Z,6,FALSE)</f>
        <v>-</v>
      </c>
      <c r="G71" s="4">
        <v>37</v>
      </c>
      <c r="H71" s="11">
        <v>66</v>
      </c>
      <c r="I71" s="4">
        <f>VLOOKUP($B71&amp;"__wt",'SegEnds_Xtal_BW#'!$A:$Z,9,FALSE)</f>
        <v>49</v>
      </c>
      <c r="J71" s="4">
        <f>VLOOKUP($B71&amp;"__wt",'SegEnds_Xtal_BW#'!$A:$Z,10,FALSE)</f>
        <v>52</v>
      </c>
      <c r="K71" s="11">
        <v>21</v>
      </c>
      <c r="L71" s="4">
        <f>VLOOKUP($B71&amp;"__wt",'SegEnds_Xtal_BW#'!$A:$Z,12,FALSE)</f>
        <v>56</v>
      </c>
      <c r="M71" s="4">
        <f>VLOOKUP($B71&amp;"__wt",'SegEnds_Xtal_BW#'!$A:$Z,13,FALSE)</f>
        <v>50</v>
      </c>
      <c r="N71" s="108">
        <v>56</v>
      </c>
      <c r="O71" s="87">
        <f>VLOOKUP($B71&amp;"__wt",'SegEnds_Xtal_BW#'!$A:$Z,15,FALSE)</f>
        <v>38</v>
      </c>
      <c r="P71" s="4">
        <f>VLOOKUP($B71&amp;"__wt",'SegEnds_Xtal_BW#'!$A:$Z,16,FALSE)</f>
        <v>63</v>
      </c>
      <c r="Q71" s="4">
        <f>VLOOKUP($B71&amp;"__wt",'SegEnds_Xtal_BW#'!$A:$Z,17,FALSE)</f>
        <v>50</v>
      </c>
      <c r="R71" s="4">
        <f>VLOOKUP($B71&amp;"__wt",'SegEnds_Xtal_BW#'!$A:$Z,18,FALSE)</f>
        <v>52</v>
      </c>
      <c r="S71" s="4">
        <f>VLOOKUP($B71&amp;"__wt",'SegEnds_Xtal_BW#'!$A:$Z,19,FALSE)</f>
        <v>33</v>
      </c>
      <c r="T71" s="4">
        <f t="array" ref="T71">INDEX(ICL3_classA!$G$2:$G$39,MATCH(MIN(ABS(AI71-ICL3_classA!$F$2:$F$39)),ABS(AI71-ICL3_classA!$F$2:$F$39),0))</f>
        <v>68</v>
      </c>
      <c r="U71" s="4">
        <f t="array" ref="U71">INDEX(ICL3_classA!$H$2:$H$39,MATCH(MIN(ABS(AI71-ICL3_classA!$F$2:$F$39)),ABS(AI71-ICL3_classA!$F$2:$F$39),0))</f>
        <v>24</v>
      </c>
      <c r="V71" s="4">
        <v>64</v>
      </c>
      <c r="W71" s="4">
        <v>24</v>
      </c>
      <c r="X71" s="4">
        <f>VLOOKUP($B71&amp;"__wt",'SegEnds_Xtal_BW#'!$A:$Z,24,FALSE)</f>
        <v>59</v>
      </c>
      <c r="Y71" s="4">
        <f>VLOOKUP($B71&amp;"__wt",'SegEnds_Xtal_BW#'!$A:$Z,25,FALSE)</f>
        <v>50</v>
      </c>
      <c r="Z71" s="4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4" t="e">
        <f>VLOOKUP(A71,'SegEnds_NonXtal_Prot#'!A:AL,10,FALSE)-VLOOKUP(A71,'SegEnds_NonXtal_Prot#'!A:AL,7,FALSE)</f>
        <v>#VALUE!</v>
      </c>
      <c r="AD71" s="4">
        <f>VLOOKUP(A71,'SegEnds_NonXtal_Prot#'!A:AL,13,FALSE)-VLOOKUP(A71,'SegEnds_NonXtal_Prot#'!A:AL,10,FALSE)</f>
        <v>19</v>
      </c>
      <c r="AE71" s="4">
        <f>VLOOKUP(A71,'SegEnds_NonXtal_Prot#'!A:AL,16,FALSE)-VLOOKUP(A71,'SegEnds_NonXtal_Prot#'!A:AL,10,FALSE)</f>
        <v>51</v>
      </c>
      <c r="AF71" s="1">
        <f>VLOOKUP(A71,'SegEnds_NonXtal_Prot#'!A:AL,22,FALSE)-VLOOKUP(A71,'SegEnds_NonXtal_Prot#'!A:AL,19,FALSE)</f>
        <v>19</v>
      </c>
      <c r="AG71" s="4">
        <f>VLOOKUP(A71,'SegEnds_NonXtal_Prot#'!A:AL,28,FALSE)-VLOOKUP(A71,'SegEnds_NonXtal_Prot#'!A:AL,25,FALSE)</f>
        <v>29</v>
      </c>
      <c r="AH71" s="1">
        <f>VLOOKUP(A71,'SegEnds_NonXtal_Prot#'!A:AL,28,FALSE)-VLOOKUP(A71,'SegEnds_NonXtal_Prot#'!A:AL,22,FALSE)</f>
        <v>53</v>
      </c>
      <c r="AI71" s="4">
        <f>VLOOKUP(A71,'SegEnds_NonXtal_Prot#'!A:AL,31,FALSE)-VLOOKUP(A71,'SegEnds_NonXtal_Prot#'!A:AL,28,FALSE)</f>
        <v>48</v>
      </c>
      <c r="AJ71" s="4">
        <f>VLOOKUP(A71,'SegEnds_NonXtal_Prot#'!A:AL,34,FALSE)-VLOOKUP(A71,'SegEnds_NonXtal_Prot#'!A:AL,31,FALSE)</f>
        <v>44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360</v>
      </c>
      <c r="B72" s="1" t="str">
        <f>VLOOKUP(A72,Xtal_Templ!A:B,2,FALSE)</f>
        <v>ta2r_human</v>
      </c>
      <c r="C72" s="5">
        <f>VLOOKUP($B72&amp;"__wt",'SegEnds_Xtal_BW#'!$A:$Z,3,FALSE)</f>
        <v>35</v>
      </c>
      <c r="D72" s="108">
        <v>61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53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08">
        <v>50</v>
      </c>
      <c r="R72" s="108">
        <v>52</v>
      </c>
      <c r="S72" s="108">
        <v>31</v>
      </c>
      <c r="T72" s="1">
        <f t="array" ref="T72">INDEX(ICL3_classA!$G$2:$G$39,MATCH(MIN(ABS(AI72-ICL3_classA!$F$2:$F$39)),ABS(AI72-ICL3_classA!$F$2:$F$39),0))</f>
        <v>74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66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34</v>
      </c>
      <c r="AC72" s="1">
        <f>VLOOKUP(A72,'SegEnds_NonXtal_Prot#'!A:AL,10,FALSE)-VLOOKUP(A72,'SegEnds_NonXtal_Prot#'!A:AL,7,FALSE)</f>
        <v>20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96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1436</v>
      </c>
      <c r="B73" s="1" t="str">
        <f>VLOOKUP(A73,Xtal_Templ!A:B,2,FALSE)</f>
        <v>q08bg4_danre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f>VLOOKUP($B73&amp;"__wt",'SegEnds_Xtal_BW#'!$A:$Z,14,FALSE)</f>
        <v>57</v>
      </c>
      <c r="O73" s="108">
        <f>VLOOKUP($B73&amp;"__wt",'SegEnds_Xtal_BW#'!$A:$Z,15,FALSE)</f>
        <v>38</v>
      </c>
      <c r="P73" s="1">
        <f>VLOOKUP($B73&amp;"__wt",'SegEnds_Xtal_BW#'!$A:$Z,16,FALSE)</f>
        <v>65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INDEX(ICL3_classA!$G$2:$G$39,MATCH(MIN(ABS(AI73-ICL3_classA!$F$2:$F$39)),ABS(AI73-ICL3_classA!$F$2:$F$39),0))</f>
        <v>68</v>
      </c>
      <c r="U73" s="1">
        <f t="array" ref="U73">INDEX(ICL3_classA!$H$2:$H$39,MATCH(MIN(ABS(AI73-ICL3_classA!$F$2:$F$39)),ABS(AI73-ICL3_classA!$F$2:$F$39),0))</f>
        <v>24</v>
      </c>
      <c r="V73" s="108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1447</v>
      </c>
      <c r="B74" s="1" t="s">
        <v>1447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INDEX(ICL3_classA!$G$2:$G$39,MATCH(MIN(ABS(AI74-ICL3_classA!$F$2:$F$39)),ABS(AI74-ICL3_classA!$F$2:$F$39),0))</f>
        <v>68</v>
      </c>
      <c r="U74" s="1">
        <f t="array" ref="U74">INDEX(ICL3_classA!$H$2:$H$39,MATCH(MIN(ABS(AI74-ICL3_classA!$F$2:$F$39)),ABS(AI74-ICL3_classA!$F$2:$F$39),0))</f>
        <v>30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19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51</v>
      </c>
      <c r="AI74" s="1">
        <f>VLOOKUP(A74,'SegEnds_NonXtal_Prot#'!A:AL,31,FALSE)-VLOOKUP(A74,'SegEnds_NonXtal_Prot#'!A:AL,28,FALSE)</f>
        <v>43</v>
      </c>
      <c r="AJ74" s="1">
        <f>VLOOKUP(A74,'SegEnds_NonXtal_Prot#'!A:AL,34,FALSE)-VLOOKUP(A74,'SegEnds_NonXtal_Prot#'!A:AL,31,FALSE)</f>
        <v>43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4" t="s">
        <v>104</v>
      </c>
      <c r="B75" s="4" t="str">
        <f>VLOOKUP(A75,Xtal_Templ!A:B,2,FALSE)</f>
        <v>s1pr1_human</v>
      </c>
      <c r="C75" s="5">
        <f>VLOOKUP($B75&amp;"__wt",'SegEnds_Xtal_BW#'!$A:$Z,3,FALSE)</f>
        <v>29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63</v>
      </c>
      <c r="I75" s="4">
        <f>VLOOKUP($B75&amp;"__wt",'SegEnds_Xtal_BW#'!$A:$Z,9,FALSE)</f>
        <v>47</v>
      </c>
      <c r="J75" s="4">
        <f>VLOOKUP($B75&amp;"__wt",'SegEnds_Xtal_BW#'!$A:$Z,10,FALSE)</f>
        <v>53</v>
      </c>
      <c r="K75" s="11">
        <f>VLOOKUP($B75&amp;"__wt",'SegEnds_Xtal_BW#'!$A:$Z,11,FALSE)</f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08">
        <f>VLOOKUP($B75&amp;"__wt",'SegEnds_Xtal_BW#'!$A:$Z,14,FALSE)</f>
        <v>56</v>
      </c>
      <c r="O75" s="87">
        <f>VLOOKUP($B75&amp;"__wt",'SegEnds_Xtal_BW#'!$A:$Z,15,FALSE)</f>
        <v>38</v>
      </c>
      <c r="P75" s="4">
        <f>VLOOKUP($B75&amp;"__wt",'SegEnds_Xtal_BW#'!$A:$Z,16,FALSE)</f>
        <v>63</v>
      </c>
      <c r="Q75" s="4" t="str">
        <f>VLOOKUP($B75&amp;"__wt",'SegEnds_Xtal_BW#'!$A:$Z,17,FALSE)</f>
        <v>-</v>
      </c>
      <c r="R75" s="4" t="str">
        <f>VLOOKUP($B75&amp;"__wt",'SegEnds_Xtal_BW#'!$A:$Z,18,FALSE)</f>
        <v>-</v>
      </c>
      <c r="S75" s="4">
        <f>VLOOKUP($B75&amp;"__wt",'SegEnds_Xtal_BW#'!$A:$Z,19,FALSE)</f>
        <v>36</v>
      </c>
      <c r="T75" s="4">
        <f t="array" ref="T75">INDEX(ICL3_classA!$G$2:$G$39,MATCH(MIN(ABS(AI75-ICL3_classA!$F$2:$F$39)),ABS(AI75-ICL3_classA!$F$2:$F$39),0))</f>
        <v>73</v>
      </c>
      <c r="U75" s="4">
        <f t="array" ref="U75">INDEX(ICL3_classA!$H$2:$H$39,MATCH(MIN(ABS(AI75-ICL3_classA!$F$2:$F$39)),ABS(AI75-ICL3_classA!$F$2:$F$39),0))</f>
        <v>24</v>
      </c>
      <c r="V75" s="4">
        <v>61</v>
      </c>
      <c r="W75" s="4">
        <v>30</v>
      </c>
      <c r="X75" s="1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4">
        <f>VLOOKUP(A75,'SegEnds_NonXtal_Prot#'!A:AL,10,FALSE)-VLOOKUP(A75,'SegEnds_NonXtal_Prot#'!A:AL,7,FALSE)</f>
        <v>15</v>
      </c>
      <c r="AD75" s="4">
        <f>VLOOKUP(A75,'SegEnds_NonXtal_Prot#'!A:AL,13,FALSE)-VLOOKUP(A75,'SegEnds_NonXtal_Prot#'!A:AL,10,FALSE)</f>
        <v>18</v>
      </c>
      <c r="AE75" s="4">
        <f>VLOOKUP(A75,'SegEnds_NonXtal_Prot#'!A:AL,16,FALSE)-VLOOKUP(A75,'SegEnds_NonXtal_Prot#'!A:AL,10,FALSE)</f>
        <v>51</v>
      </c>
      <c r="AF75" s="1">
        <f>VLOOKUP(A75,'SegEnds_NonXtal_Prot#'!A:AL,22,FALSE)-VLOOKUP(A75,'SegEnds_NonXtal_Prot#'!A:AL,19,FALSE)</f>
        <v>19</v>
      </c>
      <c r="AG75" s="4" t="e">
        <f>VLOOKUP(A75,'SegEnds_NonXtal_Prot#'!A:AL,28,FALSE)-VLOOKUP(A75,'SegEnds_NonXtal_Prot#'!A:AL,25,FALSE)</f>
        <v>#VALUE!</v>
      </c>
      <c r="AH75" s="1">
        <f>VLOOKUP(A75,'SegEnds_NonXtal_Prot#'!A:AL,28,FALSE)-VLOOKUP(A75,'SegEnds_NonXtal_Prot#'!A:AL,22,FALSE)</f>
        <v>45</v>
      </c>
      <c r="AI75" s="4">
        <f>VLOOKUP(A75,'SegEnds_NonXtal_Prot#'!A:AL,31,FALSE)-VLOOKUP(A75,'SegEnds_NonXtal_Prot#'!A:AL,28,FALSE)</f>
        <v>58</v>
      </c>
      <c r="AJ75" s="4">
        <f>VLOOKUP(A75,'SegEnds_NonXtal_Prot#'!A:AL,34,FALSE)-VLOOKUP(A75,'SegEnds_NonXtal_Prot#'!A:AL,31,FALSE)</f>
        <v>37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376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8">
        <v>56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INDEX(ICL3_classA!$G$2:$G$39,MATCH(MIN(ABS(AI76-ICL3_classA!$F$2:$F$39)),ABS(AI76-ICL3_classA!$F$2:$F$39),0))</f>
        <v>67</v>
      </c>
      <c r="U76" s="1">
        <f t="array" ref="U76">INDEX(ICL3_classA!$H$2:$H$39,MATCH(MIN(ABS(AI76-ICL3_classA!$F$2:$F$39)),ABS(AI76-ICL3_classA!$F$2:$F$39),0))</f>
        <v>26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18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19</v>
      </c>
      <c r="AG76" s="1" t="e">
        <f>VLOOKUP(A76,'SegEnds_NonXtal_Prot#'!A:AL,28,FALSE)-VLOOKUP(A76,'SegEnds_NonXtal_Prot#'!A:AL,25,FALSE)</f>
        <v>#VALUE!</v>
      </c>
      <c r="AH76" s="1">
        <f>VLOOKUP(A76,'SegEnds_NonXtal_Prot#'!A:AL,28,FALSE)-VLOOKUP(A76,'SegEnds_NonXtal_Prot#'!A:AL,22,FALSE)</f>
        <v>45</v>
      </c>
      <c r="AI76" s="1">
        <f>VLOOKUP(A76,'SegEnds_NonXtal_Prot#'!A:AL,31,FALSE)-VLOOKUP(A76,'SegEnds_NonXtal_Prot#'!A:AL,28,FALSE)</f>
        <v>47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377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08">
        <v>56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18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19</v>
      </c>
      <c r="AG77" s="1" t="e">
        <f>VLOOKUP(A77,'SegEnds_NonXtal_Prot#'!A:AL,28,FALSE)-VLOOKUP(A77,'SegEnds_NonXtal_Prot#'!A:AL,25,FALSE)</f>
        <v>#VALUE!</v>
      </c>
      <c r="AH77" s="1">
        <f>VLOOKUP(A77,'SegEnds_NonXtal_Prot#'!A:AL,28,FALSE)-VLOOKUP(A77,'SegEnds_NonXtal_Prot#'!A:AL,22,FALSE)</f>
        <v>45</v>
      </c>
      <c r="AI77" s="1">
        <f>VLOOKUP(A77,'SegEnds_NonXtal_Prot#'!A:AL,31,FALSE)-VLOOKUP(A77,'SegEnds_NonXtal_Prot#'!A:AL,28,FALSE)</f>
        <v>51</v>
      </c>
      <c r="AJ77" s="1">
        <f>VLOOKUP(A77,'SegEnds_NonXtal_Prot#'!A:AL,34,FALSE)-VLOOKUP(A77,'SegEnds_NonXtal_Prot#'!A:AL,31,FALSE)</f>
        <v>37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378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INDEX(ICL3_classA!$G$2:$G$39,MATCH(MIN(ABS(AI78-ICL3_classA!$F$2:$F$39)),ABS(AI78-ICL3_classA!$F$2:$F$39),0))</f>
        <v>68</v>
      </c>
      <c r="U78" s="1">
        <f t="array" ref="U78">INDEX(ICL3_classA!$H$2:$H$39,MATCH(MIN(ABS(AI78-ICL3_classA!$F$2:$F$39)),ABS(AI78-ICL3_classA!$F$2:$F$39),0))</f>
        <v>23</v>
      </c>
      <c r="V78" s="1">
        <v>61</v>
      </c>
      <c r="W78" s="128">
        <f>VLOOKUP($B78&amp;"__wt",'SegEnds_Xtal_BW#'!$A:$Z,23,FALSE)</f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18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 t="e">
        <f>VLOOKUP(A78,'SegEnds_NonXtal_Prot#'!A:AL,28,FALSE)-VLOOKUP(A78,'SegEnds_NonXtal_Prot#'!A:AL,25,FALSE)</f>
        <v>#VALUE!</v>
      </c>
      <c r="AH78" s="1">
        <f>VLOOKUP(A78,'SegEnds_NonXtal_Prot#'!A:AL,28,FALSE)-VLOOKUP(A78,'SegEnds_NonXtal_Prot#'!A:AL,22,FALSE)</f>
        <v>45</v>
      </c>
      <c r="AI78" s="1">
        <f>VLOOKUP(A78,'SegEnds_NonXtal_Prot#'!A:AL,31,FALSE)-VLOOKUP(A78,'SegEnds_NonXtal_Prot#'!A:AL,28,FALSE)</f>
        <v>51</v>
      </c>
      <c r="AJ78" s="1">
        <f>VLOOKUP(A78,'SegEnds_NonXtal_Prot#'!A:AL,34,FALSE)-VLOOKUP(A78,'SegEnds_NonXtal_Prot#'!A:AL,31,FALSE)</f>
        <v>38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379</v>
      </c>
      <c r="B79" s="1" t="str">
        <f>VLOOKUP(A79,Xtal_Templ!A:B,2,FALSE)</f>
        <v>s1pr1_human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63</v>
      </c>
      <c r="I79" s="1">
        <f>VLOOKUP($B79&amp;"__wt",'SegEnds_Xtal_BW#'!$A:$Z,9,FALSE)</f>
        <v>47</v>
      </c>
      <c r="J79" s="1">
        <f>VLOOKUP($B79&amp;"__wt",'SegEnds_Xtal_BW#'!$A:$Z,10,FALSE)</f>
        <v>53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08">
        <v>56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 t="str">
        <f>VLOOKUP($B79&amp;"__wt",'SegEnds_Xtal_BW#'!$A:$Z,17,FALSE)</f>
        <v>-</v>
      </c>
      <c r="R79" s="1" t="str">
        <f>VLOOKUP($B79&amp;"__wt",'SegEnds_Xtal_BW#'!$A:$Z,18,FALSE)</f>
        <v>-</v>
      </c>
      <c r="S79" s="1">
        <f>VLOOKUP($B79&amp;"__wt",'SegEnds_Xtal_BW#'!$A:$Z,19,FALSE)</f>
        <v>36</v>
      </c>
      <c r="T79" s="1">
        <f t="array" ref="T79">INDEX(ICL3_classA!$G$2:$G$39,MATCH(MIN(ABS(AI79-ICL3_classA!$F$2:$F$39)),ABS(AI79-ICL3_classA!$F$2:$F$39),0))</f>
        <v>74</v>
      </c>
      <c r="U79" s="1">
        <f t="array" ref="U79">INDEX(ICL3_classA!$H$2:$H$39,MATCH(MIN(ABS(AI79-ICL3_classA!$F$2:$F$39)),ABS(AI79-ICL3_classA!$F$2:$F$39),0))</f>
        <v>21</v>
      </c>
      <c r="V79" s="1">
        <v>61</v>
      </c>
      <c r="W79" s="1">
        <v>30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19</v>
      </c>
      <c r="AG79" s="1" t="e">
        <f>VLOOKUP(A79,'SegEnds_NonXtal_Prot#'!A:AL,28,FALSE)-VLOOKUP(A79,'SegEnds_NonXtal_Prot#'!A:AL,25,FALSE)</f>
        <v>#VALUE!</v>
      </c>
      <c r="AH79" s="1">
        <f>VLOOKUP(A79,'SegEnds_NonXtal_Prot#'!A:AL,28,FALSE)-VLOOKUP(A79,'SegEnds_NonXtal_Prot#'!A:AL,22,FALSE)</f>
        <v>45</v>
      </c>
      <c r="AI79" s="1">
        <f>VLOOKUP(A79,'SegEnds_NonXtal_Prot#'!A:AL,31,FALSE)-VLOOKUP(A79,'SegEnds_NonXtal_Prot#'!A:AL,28,FALSE)</f>
        <v>62</v>
      </c>
      <c r="AJ79" s="1">
        <f>VLOOKUP(A79,'SegEnds_NonXtal_Prot#'!A:AL,34,FALSE)-VLOOKUP(A79,'SegEnds_NonXtal_Prot#'!A:AL,31,FALSE)</f>
        <v>37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380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INDEX(ICL3_classA!$G$2:$G$39,MATCH(MIN(ABS(AI80-ICL3_classA!$F$2:$F$39)),ABS(AI80-ICL3_classA!$F$2:$F$39),0))</f>
        <v>68</v>
      </c>
      <c r="U80" s="1">
        <f t="array" ref="U80">INDEX(ICL3_classA!$H$2:$H$39,MATCH(MIN(ABS(AI80-ICL3_classA!$F$2:$F$39)),ABS(AI80-ICL3_classA!$F$2:$F$39),0))</f>
        <v>23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27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51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381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INDEX(ICL3_classA!$G$2:$G$39,MATCH(MIN(ABS(AI81-ICL3_classA!$F$2:$F$39)),ABS(AI81-ICL3_classA!$F$2:$F$39),0))</f>
        <v>68</v>
      </c>
      <c r="U81" s="1">
        <f t="array" ref="U81">INDEX(ICL3_classA!$H$2:$H$39,MATCH(MIN(ABS(AI81-ICL3_classA!$F$2:$F$39)),ABS(AI81-ICL3_classA!$F$2:$F$39),0))</f>
        <v>23</v>
      </c>
      <c r="V81" s="1">
        <v>61</v>
      </c>
      <c r="W81" s="128">
        <f>VLOOKUP($B81&amp;"__wt",'SegEnds_Xtal_BW#'!$A:$Z,23,FALSE)</f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51</v>
      </c>
      <c r="AJ81" s="1">
        <f>VLOOKUP(A81,'SegEnds_NonXtal_Prot#'!A:AL,34,FALSE)-VLOOKUP(A81,'SegEnds_NonXtal_Prot#'!A:AL,31,FALSE)</f>
        <v>38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382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INDEX(ICL3_classA!$G$2:$G$39,MATCH(MIN(ABS(AI82-ICL3_classA!$F$2:$F$39)),ABS(AI82-ICL3_classA!$F$2:$F$39),0))</f>
        <v>72</v>
      </c>
      <c r="U82" s="1">
        <f t="array" ref="U82">INDEX(ICL3_classA!$H$2:$H$39,MATCH(MIN(ABS(AI82-ICL3_classA!$F$2:$F$39)),ABS(AI82-ICL3_classA!$F$2:$F$39),0))</f>
        <v>24</v>
      </c>
      <c r="V82" s="1">
        <v>61</v>
      </c>
      <c r="W82" s="128">
        <f>VLOOKUP($B82&amp;"__wt",'SegEnds_Xtal_BW#'!$A:$Z,23,FALSE)</f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19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50</v>
      </c>
      <c r="AI82" s="1">
        <f>VLOOKUP(A82,'SegEnds_NonXtal_Prot#'!A:AL,31,FALSE)-VLOOKUP(A82,'SegEnds_NonXtal_Prot#'!A:AL,28,FALSE)</f>
        <v>54</v>
      </c>
      <c r="AJ82" s="1">
        <f>VLOOKUP(A82,'SegEnds_NonXtal_Prot#'!A:AL,34,FALSE)-VLOOKUP(A82,'SegEnds_NonXtal_Prot#'!A:AL,31,FALSE)</f>
        <v>38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383</v>
      </c>
      <c r="B83" s="1" t="str">
        <f>VLOOKUP(A83,Xtal_Templ!A:B,2,FALSE)</f>
        <v>oprd_human</v>
      </c>
      <c r="C83" s="5">
        <f>VLOOKUP($B83&amp;"__wt",'SegEnds_Xtal_BW#'!$A:$Z,3,FALSE)</f>
        <v>22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INDEX(ICL3_classA!$G$2:$G$39,MATCH(MIN(ABS(AI83-ICL3_classA!$F$2:$F$39)),ABS(AI83-ICL3_classA!$F$2:$F$39),0))</f>
        <v>68</v>
      </c>
      <c r="U83" s="1">
        <f t="array" ref="U83">INDEX(ICL3_classA!$H$2:$H$39,MATCH(MIN(ABS(AI83-ICL3_classA!$F$2:$F$39)),ABS(AI83-ICL3_classA!$F$2:$F$39),0))</f>
        <v>23</v>
      </c>
      <c r="V83" s="1">
        <v>61</v>
      </c>
      <c r="W83" s="1">
        <v>32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60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19</v>
      </c>
      <c r="AE83" s="1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52</v>
      </c>
      <c r="AI83" s="1">
        <f>VLOOKUP(A83,'SegEnds_NonXtal_Prot#'!A:AL,31,FALSE)-VLOOKUP(A83,'SegEnds_NonXtal_Prot#'!A:AL,28,FALSE)</f>
        <v>51</v>
      </c>
      <c r="AJ83" s="1">
        <f>VLOOKUP(A83,'SegEnds_NonXtal_Prot#'!A:AL,34,FALSE)-VLOOKUP(A83,'SegEnds_NonXtal_Prot#'!A:AL,31,FALSE)</f>
        <v>34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384</v>
      </c>
      <c r="B84" s="1" t="str">
        <f>VLOOKUP(A84,Xtal_Templ!A:B,2,FALSE)</f>
        <v>oprk_human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INDEX(ICL3_classA!$G$2:$G$39,MATCH(MIN(ABS(AI84-ICL3_classA!$F$2:$F$39)),ABS(AI84-ICL3_classA!$F$2:$F$39),0))</f>
        <v>72</v>
      </c>
      <c r="U84" s="1">
        <f t="array" ref="U84">INDEX(ICL3_classA!$H$2:$H$39,MATCH(MIN(ABS(AI84-ICL3_classA!$F$2:$F$39)),ABS(AI84-ICL3_classA!$F$2:$F$39),0))</f>
        <v>29</v>
      </c>
      <c r="V84" s="1">
        <v>61</v>
      </c>
      <c r="W84" s="128">
        <f>VLOOKUP($B84&amp;"__wt",'SegEnds_Xtal_BW#'!$A:$Z,23,FALSE)</f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19</v>
      </c>
      <c r="AE84" s="1">
        <f>VLOOKUP(A84,'SegEnds_NonXtal_Prot#'!A:AL,16,FALSE)-VLOOKUP(A84,'SegEnds_NonXtal_Prot#'!A:AL,10,FALSE)</f>
        <v>51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50</v>
      </c>
      <c r="AJ84" s="1">
        <f>VLOOKUP(A84,'SegEnds_NonXtal_Prot#'!A:AL,34,FALSE)-VLOOKUP(A84,'SegEnds_NonXtal_Prot#'!A:AL,31,FALSE)</f>
        <v>38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385</v>
      </c>
      <c r="B85" s="1" t="str">
        <f>VLOOKUP(A85,Xtal_Templ!A:B,2,FALSE)</f>
        <v>sucr1_rat</v>
      </c>
      <c r="C85" s="5">
        <f>VLOOKUP($B85&amp;"__wt",'SegEnds_Xtal_BW#'!$A:$Z,3,FALSE)</f>
        <v>20</v>
      </c>
      <c r="D85" s="1">
        <f>VLOOKUP($B85&amp;"__wt",'SegEnds_Xtal_BW#'!$A:$Z,4,FALSE)</f>
        <v>61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67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31</v>
      </c>
      <c r="T85" s="1">
        <f t="array" ref="T85">INDEX(ICL3_classA!$G$2:$G$39,MATCH(MIN(ABS(AI85-ICL3_classA!$F$2:$F$39)),ABS(AI85-ICL3_classA!$F$2:$F$39),0))</f>
        <v>68</v>
      </c>
      <c r="U85" s="1">
        <f t="array" ref="U85">INDEX(ICL3_classA!$H$2:$H$39,MATCH(MIN(ABS(AI85-ICL3_classA!$F$2:$F$39)),ABS(AI85-ICL3_classA!$F$2:$F$39),0))</f>
        <v>24</v>
      </c>
      <c r="V85" s="1">
        <v>64</v>
      </c>
      <c r="W85" s="1">
        <v>24</v>
      </c>
      <c r="X85" s="123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65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19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48</v>
      </c>
      <c r="AJ85" s="1">
        <f>VLOOKUP(A85,'SegEnds_NonXtal_Prot#'!A:AL,34,FALSE)-VLOOKUP(A85,'SegEnds_NonXtal_Prot#'!A:AL,31,FALSE)</f>
        <v>45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4" t="s">
        <v>1593</v>
      </c>
      <c r="B86" s="4" t="str">
        <f>VLOOKUP(A86,Xtal_Templ!A:B,2,FALSE)</f>
        <v>sucr1_rat</v>
      </c>
      <c r="C86" s="5">
        <f>VLOOKUP($B86&amp;"__wt",'SegEnds_Xtal_BW#'!$A:$Z,3,FALSE)</f>
        <v>20</v>
      </c>
      <c r="D86" s="4">
        <f>VLOOKUP($B86&amp;"__wt",'SegEnds_Xtal_BW#'!$A:$Z,4,FALSE)</f>
        <v>61</v>
      </c>
      <c r="E86" s="4" t="str">
        <f>VLOOKUP($B86&amp;"__wt",'SegEnds_Xtal_BW#'!$A:$Z,5,FALSE)</f>
        <v>-</v>
      </c>
      <c r="F86" s="4" t="str">
        <f>VLOOKUP($B86&amp;"__wt",'SegEnds_Xtal_BW#'!$A:$Z,6,FALSE)</f>
        <v>-</v>
      </c>
      <c r="G86" s="4">
        <v>37</v>
      </c>
      <c r="H86" s="11">
        <f>VLOOKUP($B86&amp;"__wt",'SegEnds_Xtal_BW#'!$A:$Z,8,FALSE)</f>
        <v>67</v>
      </c>
      <c r="I86" s="4">
        <f>VLOOKUP($B86&amp;"__wt",'SegEnds_Xtal_BW#'!$A:$Z,9,FALSE)</f>
        <v>49</v>
      </c>
      <c r="J86" s="4">
        <f>VLOOKUP($B86&amp;"__wt",'SegEnds_Xtal_BW#'!$A:$Z,10,FALSE)</f>
        <v>52</v>
      </c>
      <c r="K86" s="11">
        <v>21</v>
      </c>
      <c r="L86" s="4">
        <f>VLOOKUP($B86&amp;"__wt",'SegEnds_Xtal_BW#'!$A:$Z,12,FALSE)</f>
        <v>56</v>
      </c>
      <c r="M86" s="4">
        <f>VLOOKUP($B86&amp;"__wt",'SegEnds_Xtal_BW#'!$A:$Z,13,FALSE)</f>
        <v>50</v>
      </c>
      <c r="N86" s="12">
        <f>VLOOKUP($B86&amp;"__wt",'SegEnds_Xtal_BW#'!$A:$Z,14,FALSE)</f>
        <v>57</v>
      </c>
      <c r="O86" s="87">
        <f>VLOOKUP($B86&amp;"__wt",'SegEnds_Xtal_BW#'!$A:$Z,15,FALSE)</f>
        <v>38</v>
      </c>
      <c r="P86" s="115">
        <f>VLOOKUP($B86&amp;"__wt",'SegEnds_Xtal_BW#'!$A:$Z,16,FALSE)</f>
        <v>67</v>
      </c>
      <c r="Q86" s="4">
        <f>VLOOKUP($B86&amp;"__wt",'SegEnds_Xtal_BW#'!$A:$Z,17,FALSE)</f>
        <v>50</v>
      </c>
      <c r="R86" s="4">
        <f>VLOOKUP($B86&amp;"__wt",'SegEnds_Xtal_BW#'!$A:$Z,18,FALSE)</f>
        <v>52</v>
      </c>
      <c r="S86" s="1">
        <f>VLOOKUP($B86&amp;"__wt",'SegEnds_Xtal_BW#'!$A:$Z,19,FALSE)</f>
        <v>31</v>
      </c>
      <c r="T86" s="4">
        <f t="array" ref="T86">INDEX(ICL3_classA!$G$2:$G$39,MATCH(MIN(ABS(AI86-ICL3_classA!$F$2:$F$39)),ABS(AI86-ICL3_classA!$F$2:$F$39),0))</f>
        <v>68</v>
      </c>
      <c r="U86" s="4">
        <f t="array" ref="U86">INDEX(ICL3_classA!$H$2:$H$39,MATCH(MIN(ABS(AI86-ICL3_classA!$F$2:$F$39)),ABS(AI86-ICL3_classA!$F$2:$F$39),0))</f>
        <v>24</v>
      </c>
      <c r="V86" s="115">
        <v>63</v>
      </c>
      <c r="W86" s="115">
        <v>26</v>
      </c>
      <c r="X86" s="4">
        <f>VLOOKUP($B86&amp;"__wt",'SegEnds_Xtal_BW#'!$A:$Z,24,FALSE)</f>
        <v>56</v>
      </c>
      <c r="Y86" s="4">
        <f>VLOOKUP($B86&amp;"__wt",'SegEnds_Xtal_BW#'!$A:$Z,25,FALSE)</f>
        <v>47</v>
      </c>
      <c r="Z86" s="4">
        <f>VLOOKUP($B86&amp;"__wt",'SegEnds_Xtal_BW#'!$A:$Z,26,FALSE)</f>
        <v>65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4" t="e">
        <f>VLOOKUP(A86,'SegEnds_NonXtal_Prot#'!A:AL,10,FALSE)-VLOOKUP(A86,'SegEnds_NonXtal_Prot#'!A:AL,7,FALSE)</f>
        <v>#VALUE!</v>
      </c>
      <c r="AD86" s="4">
        <f>VLOOKUP(A86,'SegEnds_NonXtal_Prot#'!A:AL,13,FALSE)-VLOOKUP(A86,'SegEnds_NonXtal_Prot#'!A:AL,10,FALSE)</f>
        <v>19</v>
      </c>
      <c r="AE86" s="4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20</v>
      </c>
      <c r="AG86" s="4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52</v>
      </c>
      <c r="AI86" s="4">
        <f>VLOOKUP(A86,'SegEnds_NonXtal_Prot#'!A:AL,31,FALSE)-VLOOKUP(A86,'SegEnds_NonXtal_Prot#'!A:AL,28,FALSE)</f>
        <v>48</v>
      </c>
      <c r="AJ86" s="4">
        <f>VLOOKUP(A86,'SegEnds_NonXtal_Prot#'!A:AL,34,FALSE)-VLOOKUP(A86,'SegEnds_NonXtal_Prot#'!A:AL,31,FALSE)</f>
        <v>44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395</v>
      </c>
      <c r="B87" s="1" t="str">
        <f>VLOOKUP(A87,Xtal_Templ!A:B,2,FALSE)</f>
        <v>adrb2_human</v>
      </c>
      <c r="C87" s="5">
        <f>VLOOKUP($B87&amp;"__wt",'SegEnds_Xtal_BW#'!$A:$Z,3,FALSE)</f>
        <v>25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21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08">
        <v>56</v>
      </c>
      <c r="O87" s="87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INDEX(ICL3_classA!$G$2:$G$39,MATCH(MIN(ABS(AI87-ICL3_classA!$F$2:$F$39)),ABS(AI87-ICL3_classA!$F$2:$F$39),0))</f>
        <v>72</v>
      </c>
      <c r="U87" s="1">
        <f t="array" ref="U87">INDEX(ICL3_classA!$H$2:$H$39,MATCH(MIN(ABS(AI87-ICL3_classA!$F$2:$F$39)),ABS(AI87-ICL3_classA!$F$2:$F$39),0))</f>
        <v>29</v>
      </c>
      <c r="V87" s="1">
        <v>61</v>
      </c>
      <c r="W87" s="128">
        <f>VLOOKUP($B87&amp;"__wt",'SegEnds_Xtal_BW#'!$A:$Z,23,FALSE)</f>
        <v>31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19</v>
      </c>
      <c r="AE87" s="1">
        <f>VLOOKUP(A87,'SegEnds_NonXtal_Prot#'!A:AL,16,FALSE)-VLOOKUP(A87,'SegEnds_NonXtal_Prot#'!A:AL,10,FALSE)</f>
        <v>51</v>
      </c>
      <c r="AF87" s="1">
        <f>VLOOKUP(A87,'SegEnds_NonXtal_Prot#'!A:AL,22,FALSE)-VLOOKUP(A87,'SegEnds_NonXtal_Prot#'!A:AL,19,FALSE)</f>
        <v>19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49</v>
      </c>
      <c r="AI87" s="1">
        <f>VLOOKUP(A87,'SegEnds_NonXtal_Prot#'!A:AL,31,FALSE)-VLOOKUP(A87,'SegEnds_NonXtal_Prot#'!A:AL,28,FALSE)</f>
        <v>50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128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60</v>
      </c>
      <c r="W88" s="1">
        <v>31</v>
      </c>
      <c r="X88" s="123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20</v>
      </c>
      <c r="AH88" s="1">
        <f>VLOOKUP(A88,'SegEnds_NonXtal_Prot#'!A:AL,28,FALSE)-VLOOKUP(A88,'SegEnds_NonXtal_Prot#'!A:AL,22,FALSE)</f>
        <v>46</v>
      </c>
      <c r="AI88" s="1">
        <f>VLOOKUP(A88,'SegEnds_NonXtal_Prot#'!A:AL,31,FALSE)-VLOOKUP(A88,'SegEnds_NonXtal_Prot#'!A:AL,28,FALSE)</f>
        <v>153</v>
      </c>
      <c r="AJ88" s="1">
        <f>VLOOKUP(A88,'SegEnds_NonXtal_Prot#'!A:AL,34,FALSE)-VLOOKUP(A88,'SegEnds_NonXtal_Prot#'!A:AL,31,FALSE)</f>
        <v>37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34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f>VLOOKUP($B89&amp;"__wt",'SegEnds_Xtal_BW#'!$A:$Z,14,FALSE)</f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74</v>
      </c>
      <c r="U89" s="1">
        <f t="array" ref="U89">INDEX(ICL3_classA!$H$2:$H$39,MATCH(MIN(ABS(AI89-ICL3_classA!$F$2:$F$39)),ABS(AI89-ICL3_classA!$F$2:$F$39),0))</f>
        <v>24</v>
      </c>
      <c r="V89" s="1">
        <v>60</v>
      </c>
      <c r="W89" s="1">
        <v>31</v>
      </c>
      <c r="X89" s="123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21</v>
      </c>
      <c r="AH89" s="1">
        <f>VLOOKUP(A89,'SegEnds_NonXtal_Prot#'!A:AL,28,FALSE)-VLOOKUP(A89,'SegEnds_NonXtal_Prot#'!A:AL,22,FALSE)</f>
        <v>46</v>
      </c>
      <c r="AI89" s="1">
        <f>VLOOKUP(A89,'SegEnds_NonXtal_Prot#'!A:AL,31,FALSE)-VLOOKUP(A89,'SegEnds_NonXtal_Prot#'!A:AL,28,FALSE)</f>
        <v>109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Xtal</v>
      </c>
    </row>
    <row r="90" spans="1:38" x14ac:dyDescent="0.2">
      <c r="A90" s="1" t="s">
        <v>129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INDEX(ICL3_classA!$G$2:$G$39,MATCH(MIN(ABS(AI90-ICL3_classA!$F$2:$F$39)),ABS(AI90-ICL3_classA!$F$2:$F$39),0))</f>
        <v>74</v>
      </c>
      <c r="U90" s="1">
        <f t="array" ref="U90">INDEX(ICL3_classA!$H$2:$H$39,MATCH(MIN(ABS(AI90-ICL3_classA!$F$2:$F$39)),ABS(AI90-ICL3_classA!$F$2:$F$39),0))</f>
        <v>24</v>
      </c>
      <c r="V90" s="1">
        <v>60</v>
      </c>
      <c r="W90" s="1">
        <v>31</v>
      </c>
      <c r="X90" s="123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21</v>
      </c>
      <c r="AH90" s="1">
        <f>VLOOKUP(A90,'SegEnds_NonXtal_Prot#'!A:AL,28,FALSE)-VLOOKUP(A90,'SegEnds_NonXtal_Prot#'!A:AL,22,FALSE)</f>
        <v>46</v>
      </c>
      <c r="AI90" s="1">
        <f>VLOOKUP(A90,'SegEnds_NonXtal_Prot#'!A:AL,31,FALSE)-VLOOKUP(A90,'SegEnds_NonXtal_Prot#'!A:AL,28,FALSE)</f>
        <v>107</v>
      </c>
      <c r="AJ90" s="1">
        <f>VLOOKUP(A90,'SegEnds_NonXtal_Prot#'!A:AL,34,FALSE)-VLOOKUP(A90,'SegEnds_NonXtal_Prot#'!A:AL,31,FALSE)</f>
        <v>37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130</v>
      </c>
      <c r="B91" s="1" t="str">
        <f>VLOOKUP(A91,Xtal_Templ!A:B,2,FALSE)</f>
        <v>5ht1b_human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INDEX(ICL3_classA!$G$2:$G$39,MATCH(MIN(ABS(AI91-ICL3_classA!$F$2:$F$39)),ABS(AI91-ICL3_classA!$F$2:$F$39),0))</f>
        <v>76</v>
      </c>
      <c r="U91" s="1">
        <f t="array" ref="U91">INDEX(ICL3_classA!$H$2:$H$39,MATCH(MIN(ABS(AI91-ICL3_classA!$F$2:$F$39)),ABS(AI91-ICL3_classA!$F$2:$F$39),0))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21</v>
      </c>
      <c r="AH91" s="1">
        <f>VLOOKUP(A91,'SegEnds_NonXtal_Prot#'!A:AL,28,FALSE)-VLOOKUP(A91,'SegEnds_NonXtal_Prot#'!A:AL,22,FALSE)</f>
        <v>47</v>
      </c>
      <c r="AI91" s="1">
        <f>VLOOKUP(A91,'SegEnds_NonXtal_Prot#'!A:AL,31,FALSE)-VLOOKUP(A91,'SegEnds_NonXtal_Prot#'!A:AL,28,FALSE)</f>
        <v>112</v>
      </c>
      <c r="AJ91" s="1">
        <f>VLOOKUP(A91,'SegEnds_NonXtal_Prot#'!A:AL,34,FALSE)-VLOOKUP(A91,'SegEnds_NonXtal_Prot#'!A:AL,31,FALSE)</f>
        <v>35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131</v>
      </c>
      <c r="B92" s="1" t="str">
        <f>VLOOKUP(A92,Xtal_Templ!A:B,2,FALSE)</f>
        <v>5ht1b_human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v>38</v>
      </c>
      <c r="P92" s="1">
        <f>VLOOKUP($B92&amp;"__wt",'SegEnds_Xtal_BW#'!$A:$Z,16,FALSE)</f>
        <v>63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INDEX(ICL3_classA!$G$2:$G$39,MATCH(MIN(ABS(AI92-ICL3_classA!$F$2:$F$39)),ABS(AI92-ICL3_classA!$F$2:$F$39),0))</f>
        <v>76</v>
      </c>
      <c r="U92" s="1">
        <f t="array" ref="U92">INDEX(ICL3_classA!$H$2:$H$39,MATCH(MIN(ABS(AI92-ICL3_classA!$F$2:$F$39)),ABS(AI92-ICL3_classA!$F$2:$F$39),0))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21</v>
      </c>
      <c r="AH92" s="1">
        <f>VLOOKUP(A92,'SegEnds_NonXtal_Prot#'!A:AL,28,FALSE)-VLOOKUP(A92,'SegEnds_NonXtal_Prot#'!A:AL,22,FALSE)</f>
        <v>45</v>
      </c>
      <c r="AI92" s="1">
        <f>VLOOKUP(A92,'SegEnds_NonXtal_Prot#'!A:AL,31,FALSE)-VLOOKUP(A92,'SegEnds_NonXtal_Prot#'!A:AL,28,FALSE)</f>
        <v>115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134</v>
      </c>
      <c r="B93" s="1" t="str">
        <f>VLOOKUP(A93,Xtal_Templ!A:B,2,FALSE)</f>
        <v>drd2_human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35</v>
      </c>
      <c r="T93" s="1">
        <f t="array" ref="T93">INDEX(ICL3_classA!$G$2:$G$39,MATCH(MIN(ABS(AI93-ICL3_classA!$F$2:$F$39)),ABS(AI93-ICL3_classA!$F$2:$F$39),0))</f>
        <v>76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">
        <v>31</v>
      </c>
      <c r="X93" s="124"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29</v>
      </c>
      <c r="AC93" s="1">
        <f>VLOOKUP(A93,'SegEnds_NonXtal_Prot#'!A:AL,10,FALSE)-VLOOKUP(A93,'SegEnds_NonXtal_Prot#'!A:AL,7,FALSE)</f>
        <v>16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20</v>
      </c>
      <c r="AH93" s="1">
        <f>VLOOKUP(A93,'SegEnds_NonXtal_Prot#'!A:AL,28,FALSE)-VLOOKUP(A93,'SegEnds_NonXtal_Prot#'!A:AL,22,FALSE)</f>
        <v>58</v>
      </c>
      <c r="AI93" s="1">
        <f>VLOOKUP(A93,'SegEnds_NonXtal_Prot#'!A:AL,31,FALSE)-VLOOKUP(A93,'SegEnds_NonXtal_Prot#'!A:AL,28,FALSE)</f>
        <v>70</v>
      </c>
      <c r="AJ93" s="1">
        <f>VLOOKUP(A93,'SegEnds_NonXtal_Prot#'!A:AL,34,FALSE)-VLOOKUP(A93,'SegEnds_NonXtal_Prot#'!A:AL,31,FALSE)</f>
        <v>35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136</v>
      </c>
      <c r="B94" s="1" t="str">
        <f>VLOOKUP(A94,Xtal_Templ!A:B,2,FALSE)</f>
        <v>5ht2c_human</v>
      </c>
      <c r="C94" s="5">
        <f>VLOOKUP($B94&amp;"__wt",'SegEnds_Xtal_BW#'!$A:$Z,3,FALSE)</f>
        <v>33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67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60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20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83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144</v>
      </c>
      <c r="B95" s="1" t="str">
        <f>VLOOKUP(A95,Xtal_Templ!A:B,2,FALSE)</f>
        <v>ccr7_human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21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58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33</v>
      </c>
      <c r="T95" s="1">
        <f t="array" ref="T95">INDEX(ICL3_classA!$G$2:$G$39,MATCH(MIN(ABS(AI95-ICL3_classA!$F$2:$F$39)),ABS(AI95-ICL3_classA!$F$2:$F$39),0))</f>
        <v>68</v>
      </c>
      <c r="U95" s="1">
        <f t="array" ref="U95">INDEX(ICL3_classA!$H$2:$H$39,MATCH(MIN(ABS(AI95-ICL3_classA!$F$2:$F$39)),ABS(AI95-ICL3_classA!$F$2:$F$39),0))</f>
        <v>30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55</v>
      </c>
      <c r="AI95" s="1">
        <f>VLOOKUP(A95,'SegEnds_NonXtal_Prot#'!A:AL,31,FALSE)-VLOOKUP(A95,'SegEnds_NonXtal_Prot#'!A:AL,28,FALSE)</f>
        <v>43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146</v>
      </c>
      <c r="B96" s="1" t="str">
        <f>VLOOKUP(A96,Xtal_Templ!A:B,2,FALSE)</f>
        <v>acm1_human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INDEX(ICL3_classA!$G$2:$G$39,MATCH(MIN(ABS(AI96-ICL3_classA!$F$2:$F$39)),ABS(AI96-ICL3_classA!$F$2:$F$39),0))</f>
        <v>75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60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22</v>
      </c>
      <c r="AH96" s="1">
        <f>VLOOKUP(A96,'SegEnds_NonXtal_Prot#'!A:AL,28,FALSE)-VLOOKUP(A96,'SegEnds_NonXtal_Prot#'!A:AL,22,FALSE)</f>
        <v>50</v>
      </c>
      <c r="AI96" s="1">
        <f>VLOOKUP(A96,'SegEnds_NonXtal_Prot#'!A:AL,31,FALSE)-VLOOKUP(A96,'SegEnds_NonXtal_Prot#'!A:AL,28,FALSE)</f>
        <v>180</v>
      </c>
      <c r="AJ96" s="1">
        <f>VLOOKUP(A96,'SegEnds_NonXtal_Prot#'!A:AL,34,FALSE)-VLOOKUP(A96,'SegEnds_NonXtal_Prot#'!A:AL,31,FALSE)</f>
        <v>35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147</v>
      </c>
      <c r="B97" s="1" t="str">
        <f>VLOOKUP(A97,Xtal_Templ!A:B,2,FALSE)</f>
        <v>acm2_human</v>
      </c>
      <c r="C97" s="5">
        <f>VLOOKUP($B97&amp;"__wt",'SegEnds_Xtal_BW#'!$A:$Z,3,FALSE)</f>
        <v>28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69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INDEX(ICL3_classA!$G$2:$G$39,MATCH(MIN(ABS(AI97-ICL3_classA!$F$2:$F$39)),ABS(AI97-ICL3_classA!$F$2:$F$39),0))</f>
        <v>75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22</v>
      </c>
      <c r="AH97" s="1">
        <f>VLOOKUP(A97,'SegEnds_NonXtal_Prot#'!A:AL,28,FALSE)-VLOOKUP(A97,'SegEnds_NonXtal_Prot#'!A:AL,22,FALSE)</f>
        <v>50</v>
      </c>
      <c r="AI97" s="1">
        <f>VLOOKUP(A97,'SegEnds_NonXtal_Prot#'!A:AL,31,FALSE)-VLOOKUP(A97,'SegEnds_NonXtal_Prot#'!A:AL,28,FALSE)</f>
        <v>204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148</v>
      </c>
      <c r="B98" s="1" t="str">
        <f>VLOOKUP(A98,Xtal_Templ!A:B,2,FALSE)</f>
        <v>acm3_rat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INDEX(ICL3_classA!$G$2:$G$39,MATCH(MIN(ABS(AI98-ICL3_classA!$F$2:$F$39)),ABS(AI98-ICL3_classA!$F$2:$F$39),0))</f>
        <v>75</v>
      </c>
      <c r="U98" s="1">
        <f t="array" ref="U98">INDEX(ICL3_classA!$H$2:$H$39,MATCH(MIN(ABS(AI98-ICL3_classA!$F$2:$F$39)),ABS(AI98-ICL3_classA!$F$2:$F$39),0))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22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263</v>
      </c>
      <c r="AJ98" s="1">
        <f>VLOOKUP(A98,'SegEnds_NonXtal_Prot#'!A:AL,34,FALSE)-VLOOKUP(A98,'SegEnds_NonXtal_Prot#'!A:AL,31,FALSE)</f>
        <v>35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4" t="s">
        <v>905</v>
      </c>
      <c r="B99" s="4" t="str">
        <f>VLOOKUP(A99,Xtal_Templ!A:B,2,FALSE)</f>
        <v>acm3_rat</v>
      </c>
      <c r="C99" s="5">
        <f>VLOOKUP($B99&amp;"__wt",'SegEnds_Xtal_BW#'!$A:$Z,3,FALSE)</f>
        <v>28</v>
      </c>
      <c r="D99" s="4">
        <f>VLOOKUP($B99&amp;"__wt",'SegEnds_Xtal_BW#'!$A:$Z,4,FALSE)</f>
        <v>60</v>
      </c>
      <c r="E99" s="4">
        <f>VLOOKUP($B99&amp;"__wt",'SegEnds_Xtal_BW#'!$A:$Z,5,FALSE)</f>
        <v>48</v>
      </c>
      <c r="F99" s="4">
        <f>VLOOKUP($B99&amp;"__wt",'SegEnds_Xtal_BW#'!$A:$Z,6,FALSE)</f>
        <v>51</v>
      </c>
      <c r="G99" s="4">
        <v>37</v>
      </c>
      <c r="H99" s="11">
        <f>VLOOKUP($B99&amp;"__wt",'SegEnds_Xtal_BW#'!$A:$Z,8,FALSE)</f>
        <v>67</v>
      </c>
      <c r="I99" s="4">
        <f>VLOOKUP($B99&amp;"__wt",'SegEnds_Xtal_BW#'!$A:$Z,9,FALSE)</f>
        <v>49</v>
      </c>
      <c r="J99" s="4">
        <f>VLOOKUP($B99&amp;"__wt",'SegEnds_Xtal_BW#'!$A:$Z,10,FALSE)</f>
        <v>52</v>
      </c>
      <c r="K99" s="11">
        <v>18</v>
      </c>
      <c r="L99" s="4">
        <f>VLOOKUP($B99&amp;"__wt",'SegEnds_Xtal_BW#'!$A:$Z,12,FALSE)</f>
        <v>56</v>
      </c>
      <c r="M99" s="4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4">
        <f>VLOOKUP($B99&amp;"__wt",'SegEnds_Xtal_BW#'!$A:$Z,16,FALSE)</f>
        <v>69</v>
      </c>
      <c r="Q99" s="4">
        <f>VLOOKUP($B99&amp;"__wt",'SegEnds_Xtal_BW#'!$A:$Z,17,FALSE)</f>
        <v>50</v>
      </c>
      <c r="R99" s="4">
        <f>VLOOKUP($B99&amp;"__wt",'SegEnds_Xtal_BW#'!$A:$Z,18,FALSE)</f>
        <v>52</v>
      </c>
      <c r="S99" s="1">
        <f>VLOOKUP($B99&amp;"__wt",'SegEnds_Xtal_BW#'!$A:$Z,19,FALSE)</f>
        <v>35</v>
      </c>
      <c r="T99" s="4">
        <f t="array" ref="T99">INDEX(ICL3_classA!$G$2:$G$39,MATCH(MIN(ABS(AI99-ICL3_classA!$F$2:$F$39)),ABS(AI99-ICL3_classA!$F$2:$F$39),0))</f>
        <v>75</v>
      </c>
      <c r="U99" s="4">
        <f t="array" ref="U99">INDEX(ICL3_classA!$H$2:$H$39,MATCH(MIN(ABS(AI99-ICL3_classA!$F$2:$F$39)),ABS(AI99-ICL3_classA!$F$2:$F$39),0))</f>
        <v>24</v>
      </c>
      <c r="V99" s="4">
        <v>61</v>
      </c>
      <c r="W99" s="4">
        <v>31</v>
      </c>
      <c r="X99" s="4">
        <f>VLOOKUP($B99&amp;"__wt",'SegEnds_Xtal_BW#'!$A:$Z,24,FALSE)</f>
        <v>56</v>
      </c>
      <c r="Y99" s="4">
        <f>VLOOKUP($B99&amp;"__wt",'SegEnds_Xtal_BW#'!$A:$Z,25,FALSE)</f>
        <v>47</v>
      </c>
      <c r="Z99" s="4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4">
        <f>VLOOKUP(A99,'SegEnds_NonXtal_Prot#'!A:AL,10,FALSE)-VLOOKUP(A99,'SegEnds_NonXtal_Prot#'!A:AL,7,FALSE)</f>
        <v>15</v>
      </c>
      <c r="AD99" s="4">
        <f>VLOOKUP(A99,'SegEnds_NonXtal_Prot#'!A:AL,13,FALSE)-VLOOKUP(A99,'SegEnds_NonXtal_Prot#'!A:AL,10,FALSE)</f>
        <v>20</v>
      </c>
      <c r="AE99" s="4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4">
        <f>VLOOKUP(A99,'SegEnds_NonXtal_Prot#'!A:AL,28,FALSE)-VLOOKUP(A99,'SegEnds_NonXtal_Prot#'!A:AL,25,FALSE)</f>
        <v>22</v>
      </c>
      <c r="AH99" s="1">
        <f>VLOOKUP(A99,'SegEnds_NonXtal_Prot#'!A:AL,28,FALSE)-VLOOKUP(A99,'SegEnds_NonXtal_Prot#'!A:AL,22,FALSE)</f>
        <v>50</v>
      </c>
      <c r="AI99" s="4">
        <f>VLOOKUP(A99,'SegEnds_NonXtal_Prot#'!A:AL,31,FALSE)-VLOOKUP(A99,'SegEnds_NonXtal_Prot#'!A:AL,28,FALSE)</f>
        <v>263</v>
      </c>
      <c r="AJ99" s="4">
        <f>VLOOKUP(A99,'SegEnds_NonXtal_Prot#'!A:AL,34,FALSE)-VLOOKUP(A99,'SegEnds_NonXtal_Prot#'!A:AL,31,FALSE)</f>
        <v>35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149</v>
      </c>
      <c r="B100" s="1" t="str">
        <f>VLOOKUP(A100,Xtal_Templ!A:B,2,FALSE)</f>
        <v>acm4_human</v>
      </c>
      <c r="C100" s="5">
        <f>VLOOKUP($B100&amp;"__wt",'SegEnds_Xtal_BW#'!$A:$Z,3,FALSE)</f>
        <v>26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7">
        <f>VLOOKUP($B100&amp;"__wt",'SegEnds_Xtal_BW#'!$A:$Z,15,FALSE)</f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INDEX(ICL3_classA!$G$2:$G$39,MATCH(MIN(ABS(AI100-ICL3_classA!$F$2:$F$39)),ABS(AI100-ICL3_classA!$F$2:$F$39),0))</f>
        <v>75</v>
      </c>
      <c r="U100" s="1">
        <f t="array" ref="U100">INDEX(ICL3_classA!$H$2:$H$39,MATCH(MIN(ABS(AI100-ICL3_classA!$F$2:$F$39)),ABS(AI100-ICL3_classA!$F$2:$F$39),0))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22</v>
      </c>
      <c r="AH100" s="1">
        <f>VLOOKUP(A100,'SegEnds_NonXtal_Prot#'!A:AL,28,FALSE)-VLOOKUP(A100,'SegEnds_NonXtal_Prot#'!A:AL,22,FALSE)</f>
        <v>50</v>
      </c>
      <c r="AI100" s="1">
        <f>VLOOKUP(A100,'SegEnds_NonXtal_Prot#'!A:AL,31,FALSE)-VLOOKUP(A100,'SegEnds_NonXtal_Prot#'!A:AL,28,FALSE)</f>
        <v>208</v>
      </c>
      <c r="AJ100" s="1">
        <f>VLOOKUP(A100,'SegEnds_NonXtal_Prot#'!A:AL,34,FALSE)-VLOOKUP(A100,'SegEnds_NonXtal_Prot#'!A:AL,31,FALSE)</f>
        <v>35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150</v>
      </c>
      <c r="B101" s="1" t="str">
        <f>VLOOKUP(A101,Xtal_Templ!A:B,2,FALSE)</f>
        <v>acm5_human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v>38</v>
      </c>
      <c r="P101" s="1">
        <f>VLOOKUP($B101&amp;"__wt",'SegEnds_Xtal_BW#'!$A:$Z,16,FALSE)</f>
        <v>69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INDEX(ICL3_classA!$G$2:$G$39,MATCH(MIN(ABS(AI101-ICL3_classA!$F$2:$F$39)),ABS(AI101-ICL3_classA!$F$2:$F$39),0))</f>
        <v>75</v>
      </c>
      <c r="U101" s="1">
        <f t="array" ref="U101">INDEX(ICL3_classA!$H$2:$H$39,MATCH(MIN(ABS(AI101-ICL3_classA!$F$2:$F$39)),ABS(AI101-ICL3_classA!$F$2:$F$39),0))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22</v>
      </c>
      <c r="AH101" s="1">
        <f>VLOOKUP(A101,'SegEnds_NonXtal_Prot#'!A:AL,28,FALSE)-VLOOKUP(A101,'SegEnds_NonXtal_Prot#'!A:AL,22,FALSE)</f>
        <v>50</v>
      </c>
      <c r="AI101" s="1">
        <f>VLOOKUP(A101,'SegEnds_NonXtal_Prot#'!A:AL,31,FALSE)-VLOOKUP(A101,'SegEnds_NonXtal_Prot#'!A:AL,28,FALSE)</f>
        <v>252</v>
      </c>
      <c r="AJ101" s="1">
        <f>VLOOKUP(A101,'SegEnds_NonXtal_Prot#'!A:AL,34,FALSE)-VLOOKUP(A101,'SegEnds_NonXtal_Prot#'!A:AL,31,FALSE)</f>
        <v>35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152</v>
      </c>
      <c r="B102" s="1" t="str">
        <f>VLOOKUP(A102,Xtal_Templ!A:B,2,FALSE)</f>
        <v>ada2a_human</v>
      </c>
      <c r="C102" s="5">
        <f>VLOOKUP($B102&amp;"__wt",'SegEnds_Xtal_BW#'!$A:$Z,3,FALSE)</f>
        <v>32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INDEX(ICL3_classA!$G$2:$G$39,MATCH(MIN(ABS(AI102-ICL3_classA!$F$2:$F$39)),ABS(AI102-ICL3_classA!$F$2:$F$39),0))</f>
        <v>76</v>
      </c>
      <c r="U102" s="1">
        <f t="array" ref="U102">INDEX(ICL3_classA!$H$2:$H$39,MATCH(MIN(ABS(AI102-ICL3_classA!$F$2:$F$39)),ABS(AI102-ICL3_classA!$F$2:$F$39),0))</f>
        <v>24</v>
      </c>
      <c r="V102" s="1">
        <v>61</v>
      </c>
      <c r="W102" s="1">
        <v>31</v>
      </c>
      <c r="X102" s="108">
        <v>56</v>
      </c>
      <c r="Y102" s="1">
        <f>VLOOKUP($B102&amp;"__wt",'SegEnds_Xtal_BW#'!$A:$Z,25,FALSE)</f>
        <v>47</v>
      </c>
      <c r="Z102" s="1">
        <f>VLOOKUP($B102&amp;"__wt",'SegEnds_Xtal_BW#'!$A:$Z,26,FALSE)</f>
        <v>60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45</v>
      </c>
      <c r="AI102" s="1">
        <f>VLOOKUP(A102,'SegEnds_NonXtal_Prot#'!A:AL,31,FALSE)-VLOOKUP(A102,'SegEnds_NonXtal_Prot#'!A:AL,28,FALSE)</f>
        <v>91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153</v>
      </c>
      <c r="B103" s="1" t="str">
        <f>VLOOKUP(A103,Xtal_Templ!A:B,2,FALSE)</f>
        <v>ada2b_human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INDEX(ICL3_classA!$G$2:$G$39,MATCH(MIN(ABS(AI103-ICL3_classA!$F$2:$F$39)),ABS(AI103-ICL3_classA!$F$2:$F$39),0))</f>
        <v>74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20</v>
      </c>
      <c r="AH103" s="1">
        <f>VLOOKUP(A103,'SegEnds_NonXtal_Prot#'!A:AL,28,FALSE)-VLOOKUP(A103,'SegEnds_NonXtal_Prot#'!A:AL,22,FALSE)</f>
        <v>45</v>
      </c>
      <c r="AI103" s="1">
        <f>VLOOKUP(A103,'SegEnds_NonXtal_Prot#'!A:AL,31,FALSE)-VLOOKUP(A103,'SegEnds_NonXtal_Prot#'!A:AL,28,FALSE)</f>
        <v>94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154</v>
      </c>
      <c r="B104" s="1" t="str">
        <f>VLOOKUP(A104,Xtal_Templ!A:B,2,FALSE)</f>
        <v>ada2b_human</v>
      </c>
      <c r="C104" s="5">
        <f>VLOOKUP($B104&amp;"__wt",'SegEnds_Xtal_BW#'!$A:$Z,3,FALSE)</f>
        <v>31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INDEX(ICL3_classA!$G$2:$G$39,MATCH(MIN(ABS(AI104-ICL3_classA!$F$2:$F$39)),ABS(AI104-ICL3_classA!$F$2:$F$39),0))</f>
        <v>74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08"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45</v>
      </c>
      <c r="AI104" s="1">
        <f>VLOOKUP(A104,'SegEnds_NonXtal_Prot#'!A:AL,31,FALSE)-VLOOKUP(A104,'SegEnds_NonXtal_Prot#'!A:AL,28,FALSE)</f>
        <v>97</v>
      </c>
      <c r="AJ104" s="1">
        <f>VLOOKUP(A104,'SegEnds_NonXtal_Prot#'!A:AL,34,FALSE)-VLOOKUP(A104,'SegEnds_NonXtal_Prot#'!A:AL,31,FALSE)</f>
        <v>36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155</v>
      </c>
      <c r="B105" s="1" t="str">
        <f>VLOOKUP(A105,Xtal_Templ!A:B,2,FALSE)</f>
        <v>ada2a_human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08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181</v>
      </c>
      <c r="AJ105" s="1">
        <f>VLOOKUP(A105,'SegEnds_NonXtal_Prot#'!A:AL,34,FALSE)-VLOOKUP(A105,'SegEnds_NonXtal_Prot#'!A:AL,31,FALSE)</f>
        <v>34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ada2b_human</v>
      </c>
      <c r="C106" s="5">
        <f>VLOOKUP($B106&amp;"__wt",'SegEnds_Xtal_BW#'!$A:$Z,3,FALSE)</f>
        <v>31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INDEX(ICL3_classA!$G$2:$G$39,MATCH(MIN(ABS(AI106-ICL3_classA!$F$2:$F$39)),ABS(AI106-ICL3_classA!$F$2:$F$39),0))</f>
        <v>75</v>
      </c>
      <c r="U106" s="1">
        <f t="array" ref="U106">INDEX(ICL3_classA!$H$2:$H$39,MATCH(MIN(ABS(AI106-ICL3_classA!$F$2:$F$39)),ABS(AI106-ICL3_classA!$F$2:$F$39),0))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157</v>
      </c>
      <c r="B107" s="1" t="str">
        <f>VLOOKUP(A107,Xtal_Templ!A:B,2,FALSE)</f>
        <v>ada2c_human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08">
        <v>62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125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74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20</v>
      </c>
      <c r="AH108" s="1">
        <f>VLOOKUP(A108,'SegEnds_NonXtal_Prot#'!A:AL,28,FALSE)-VLOOKUP(A108,'SegEnds_NonXtal_Prot#'!A:AL,22,FALSE)</f>
        <v>53</v>
      </c>
      <c r="AI108" s="1">
        <f>VLOOKUP(A108,'SegEnds_NonXtal_Prot#'!A:AL,31,FALSE)-VLOOKUP(A108,'SegEnds_NonXtal_Prot#'!A:AL,28,FALSE)</f>
        <v>103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9</v>
      </c>
      <c r="AL108" s="1" t="str">
        <f>IF(ISERROR(MATCH(A108,'SegEnds_Xtal_Prot#'!B:B, 0)), "NoXtal", "Xtal")</f>
        <v>NoXtal</v>
      </c>
    </row>
    <row r="109" spans="1:38" x14ac:dyDescent="0.2">
      <c r="A109" s="1" t="s">
        <v>907</v>
      </c>
      <c r="B109" s="1" t="str">
        <f>VLOOKUP(A109,Xtal_Templ!A:B,2,FALSE)</f>
        <v>adrb1_melga</v>
      </c>
      <c r="C109" s="5">
        <f>VLOOKUP($B109&amp;"__wt",'SegEnds_Xtal_BW#'!$A:$Z,3,FALSE)</f>
        <v>24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INDEX(ICL3_classA!$G$2:$G$39,MATCH(MIN(ABS(AI109-ICL3_classA!$F$2:$F$39)),ABS(AI109-ICL3_classA!$F$2:$F$39),0))</f>
        <v>76</v>
      </c>
      <c r="U109" s="1">
        <v>20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53</v>
      </c>
      <c r="AI109" s="1">
        <f>VLOOKUP(A109,'SegEnds_NonXtal_Prot#'!A:AL,31,FALSE)-VLOOKUP(A109,'SegEnds_NonXtal_Prot#'!A:AL,28,FALSE)</f>
        <v>86</v>
      </c>
      <c r="AJ109" s="1">
        <f>VLOOKUP(A109,'SegEnds_NonXtal_Prot#'!A:AL,34,FALSE)-VLOOKUP(A109,'SegEnds_NonXtal_Prot#'!A:AL,31,FALSE)</f>
        <v>35</v>
      </c>
      <c r="AK109" s="1">
        <f>VLOOKUP(A109,'SegEnds_NonXtal_Prot#'!A:AL,37,FALSE)-VLOOKUP(A109,'SegEnds_NonXtal_Prot#'!A:AL,34,FALSE)</f>
        <v>9</v>
      </c>
      <c r="AL109" s="1" t="str">
        <f>IF(ISERROR(MATCH(A109,'SegEnds_Xtal_Prot#'!B:B, 0)), "NoXtal", "Xtal")</f>
        <v>Xtal</v>
      </c>
    </row>
    <row r="110" spans="1:38" x14ac:dyDescent="0.2">
      <c r="A110" s="1" t="s">
        <v>126</v>
      </c>
      <c r="B110" s="1" t="str">
        <f>VLOOKUP(A110,Xtal_Templ!A:B,2,FALSE)</f>
        <v>adrb2_human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35</v>
      </c>
      <c r="T110" s="1">
        <f t="array" ref="T110">INDEX(ICL3_classA!$G$2:$G$39,MATCH(MIN(ABS(AI110-ICL3_classA!$F$2:$F$39)),ABS(AI110-ICL3_classA!$F$2:$F$39),0))</f>
        <v>76</v>
      </c>
      <c r="U110" s="1">
        <f t="array" ref="U110">INDEX(ICL3_classA!$H$2:$H$39,MATCH(MIN(ABS(AI110-ICL3_classA!$F$2:$F$39)),ABS(AI110-ICL3_classA!$F$2:$F$39),0))</f>
        <v>24</v>
      </c>
      <c r="V110" s="1">
        <v>61</v>
      </c>
      <c r="W110" s="1">
        <v>31</v>
      </c>
      <c r="X110" s="1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53</v>
      </c>
      <c r="AI110" s="1">
        <f>VLOOKUP(A110,'SegEnds_NonXtal_Prot#'!A:AL,31,FALSE)-VLOOKUP(A110,'SegEnds_NonXtal_Prot#'!A:AL,28,FALSE)</f>
        <v>77</v>
      </c>
      <c r="AJ110" s="1">
        <f>VLOOKUP(A110,'SegEnds_NonXtal_Prot#'!A:AL,34,FALSE)-VLOOKUP(A110,'SegEnds_NonXtal_Prot#'!A:AL,31,FALSE)</f>
        <v>35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Xtal</v>
      </c>
    </row>
    <row r="111" spans="1:38" x14ac:dyDescent="0.2">
      <c r="A111" s="1" t="s">
        <v>102</v>
      </c>
      <c r="B111" s="1" t="str">
        <f>VLOOKUP(A111,Xtal_Templ!A:B,2,FALSE)</f>
        <v>adrb2_human</v>
      </c>
      <c r="C111" s="5">
        <f>VLOOKUP($B111&amp;"__wt",'SegEnds_Xtal_BW#'!$A:$Z,3,FALSE)</f>
        <v>25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INDEX(ICL3_classA!$G$2:$G$39,MATCH(MIN(ABS(AI111-ICL3_classA!$F$2:$F$39)),ABS(AI111-ICL3_classA!$F$2:$F$39),0))</f>
        <v>76</v>
      </c>
      <c r="U111" s="1">
        <f t="array" ref="U111">INDEX(ICL3_classA!$H$2:$H$39,MATCH(MIN(ABS(AI111-ICL3_classA!$F$2:$F$39)),ABS(AI111-ICL3_classA!$F$2:$F$39),0))</f>
        <v>24</v>
      </c>
      <c r="V111" s="1">
        <v>61</v>
      </c>
      <c r="W111" s="1">
        <v>31</v>
      </c>
      <c r="X111" s="123">
        <f>VLOOKUP($B111&amp;"__wt",'SegEnds_Xtal_BW#'!$A:$Z,24,FALSE)</f>
        <v>55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20</v>
      </c>
      <c r="AH111" s="1">
        <f>VLOOKUP(A111,'SegEnds_NonXtal_Prot#'!A:AL,28,FALSE)-VLOOKUP(A111,'SegEnds_NonXtal_Prot#'!A:AL,22,FALSE)</f>
        <v>54</v>
      </c>
      <c r="AI111" s="1">
        <f>VLOOKUP(A111,'SegEnds_NonXtal_Prot#'!A:AL,31,FALSE)-VLOOKUP(A111,'SegEnds_NonXtal_Prot#'!A:AL,28,FALSE)</f>
        <v>91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9</v>
      </c>
      <c r="AL111" s="1" t="str">
        <f>IF(ISERROR(MATCH(A111,'SegEnds_Xtal_Prot#'!B:B, 0)), "NoXtal", "Xtal")</f>
        <v>NoXtal</v>
      </c>
    </row>
    <row r="112" spans="1:38" x14ac:dyDescent="0.2">
      <c r="A112" s="1" t="s">
        <v>158</v>
      </c>
      <c r="B112" s="1" t="str">
        <f>VLOOKUP(A112,Xtal_Templ!A:B,2,FALSE)</f>
        <v>agtr1_human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34</v>
      </c>
      <c r="T112" s="1">
        <f t="array" ref="T112">INDEX(ICL3_classA!$G$2:$G$39,MATCH(MIN(ABS(AI112-ICL3_classA!$F$2:$F$39)),ABS(AI112-ICL3_classA!$F$2:$F$39),0))</f>
        <v>68</v>
      </c>
      <c r="U112" s="1">
        <f t="array" ref="U112">INDEX(ICL3_classA!$H$2:$H$39,MATCH(MIN(ABS(AI112-ICL3_classA!$F$2:$F$39)),ABS(AI112-ICL3_classA!$F$2:$F$39),0))</f>
        <v>24</v>
      </c>
      <c r="V112" s="1">
        <v>64</v>
      </c>
      <c r="W112" s="1">
        <v>24</v>
      </c>
      <c r="X112" s="123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27</v>
      </c>
      <c r="AH112" s="1">
        <f>VLOOKUP(A112,'SegEnds_NonXtal_Prot#'!A:AL,28,FALSE)-VLOOKUP(A112,'SegEnds_NonXtal_Prot#'!A:AL,22,FALSE)</f>
        <v>54</v>
      </c>
      <c r="AI112" s="1">
        <f>VLOOKUP(A112,'SegEnds_NonXtal_Prot#'!A:AL,31,FALSE)-VLOOKUP(A112,'SegEnds_NonXtal_Prot#'!A:AL,28,FALSE)</f>
        <v>48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Xtal</v>
      </c>
    </row>
    <row r="113" spans="1:38" x14ac:dyDescent="0.2">
      <c r="A113" s="1" t="s">
        <v>159</v>
      </c>
      <c r="B113" s="1" t="str">
        <f>VLOOKUP(A113,Xtal_Templ!A:B,2,FALSE)</f>
        <v>agtr2_human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38</v>
      </c>
      <c r="H113" s="12">
        <f>VLOOKUP($B113&amp;"__wt",'SegEnds_Xtal_BW#'!$A:$Z,8,FALSE)</f>
        <v>66</v>
      </c>
      <c r="I113" s="1">
        <f>VLOOKUP($B113&amp;"__wt",'SegEnds_Xtal_BW#'!$A:$Z,9,FALSE)</f>
        <v>47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INDEX(ICL3_classA!$G$2:$G$39,MATCH(MIN(ABS(AI113-ICL3_classA!$F$2:$F$39)),ABS(AI113-ICL3_classA!$F$2:$F$39),0))</f>
        <v>68</v>
      </c>
      <c r="U113" s="1">
        <f t="array" ref="U113">INDEX(ICL3_classA!$H$2:$H$39,MATCH(MIN(ABS(AI113-ICL3_classA!$F$2:$F$39)),ABS(AI113-ICL3_classA!$F$2:$F$39),0))</f>
        <v>24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19</v>
      </c>
      <c r="AG113" s="1">
        <f>VLOOKUP(A113,'SegEnds_NonXtal_Prot#'!A:AL,28,FALSE)-VLOOKUP(A113,'SegEnds_NonXtal_Prot#'!A:AL,25,FALSE)</f>
        <v>28</v>
      </c>
      <c r="AH113" s="1">
        <f>VLOOKUP(A113,'SegEnds_NonXtal_Prot#'!A:AL,28,FALSE)-VLOOKUP(A113,'SegEnds_NonXtal_Prot#'!A:AL,22,FALSE)</f>
        <v>55</v>
      </c>
      <c r="AI113" s="1">
        <f>VLOOKUP(A113,'SegEnds_NonXtal_Prot#'!A:AL,31,FALSE)-VLOOKUP(A113,'SegEnds_NonXtal_Prot#'!A:AL,28,FALSE)</f>
        <v>48</v>
      </c>
      <c r="AJ113" s="1">
        <f>VLOOKUP(A113,'SegEnds_NonXtal_Prot#'!A:AL,34,FALSE)-VLOOKUP(A113,'SegEnds_NonXtal_Prot#'!A:AL,31,FALSE)</f>
        <v>44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160</v>
      </c>
      <c r="B114" s="1" t="str">
        <f>VLOOKUP(A114,Xtal_Templ!A:B,2,FALSE)</f>
        <v>apj_human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52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f>VLOOKUP($B114&amp;"__wt",'SegEnds_Xtal_BW#'!$A:$Z,14,FALSE)</f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INDEX(ICL3_classA!$G$2:$G$39,MATCH(MIN(ABS(AI114-ICL3_classA!$F$2:$F$39)),ABS(AI114-ICL3_classA!$F$2:$F$39),0))</f>
        <v>72</v>
      </c>
      <c r="U114" s="1">
        <f t="array" ref="U114">INDEX(ICL3_classA!$H$2:$H$39,MATCH(MIN(ABS(AI114-ICL3_classA!$F$2:$F$39)),ABS(AI114-ICL3_classA!$F$2:$F$39),0))</f>
        <v>29</v>
      </c>
      <c r="V114" s="108">
        <v>63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1">
        <f>VLOOKUP(A114,'SegEnds_NonXtal_Prot#'!A:AL,10,FALSE)-VLOOKUP(A114,'SegEnds_NonXtal_Prot#'!A:AL,7,FALSE)</f>
        <v>16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32</v>
      </c>
      <c r="AH114" s="1">
        <f>VLOOKUP(A114,'SegEnds_NonXtal_Prot#'!A:AL,28,FALSE)-VLOOKUP(A114,'SegEnds_NonXtal_Prot#'!A:AL,22,FALSE)</f>
        <v>59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43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161</v>
      </c>
      <c r="B115" s="1" t="str">
        <f>VLOOKUP(A115,Xtal_Templ!A:B,2,FALSE)</f>
        <v>agtr1_human</v>
      </c>
      <c r="C115" s="5">
        <f>VLOOKUP($B115&amp;"__wt",'SegEnds_Xtal_BW#'!$A:$Z,3,FALSE)</f>
        <v>28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34</v>
      </c>
      <c r="T115" s="1">
        <f t="array" ref="T115">INDEX(ICL3_classA!$G$2:$G$39,MATCH(MIN(ABS(AI115-ICL3_classA!$F$2:$F$39)),ABS(AI115-ICL3_classA!$F$2:$F$39),0))</f>
        <v>68</v>
      </c>
      <c r="U115" s="1">
        <f t="array" ref="U115">INDEX(ICL3_classA!$H$2:$H$39,MATCH(MIN(ABS(AI115-ICL3_classA!$F$2:$F$39)),ABS(AI115-ICL3_classA!$F$2:$F$39),0))</f>
        <v>23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52</v>
      </c>
      <c r="AI115" s="1">
        <f>VLOOKUP(A115,'SegEnds_NonXtal_Prot#'!A:AL,31,FALSE)-VLOOKUP(A115,'SegEnds_NonXtal_Prot#'!A:AL,28,FALSE)</f>
        <v>51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162</v>
      </c>
      <c r="B116" s="1" t="str">
        <f>VLOOKUP(A116,Xtal_Templ!A:B,2,FALSE)</f>
        <v>agtr2_human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47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INDEX(ICL3_classA!$G$2:$G$39,MATCH(MIN(ABS(AI116-ICL3_classA!$F$2:$F$39)),ABS(AI116-ICL3_classA!$F$2:$F$39),0))</f>
        <v>68</v>
      </c>
      <c r="U116" s="1">
        <f t="array" ref="U116">INDEX(ICL3_classA!$H$2:$H$39,MATCH(MIN(ABS(AI116-ICL3_classA!$F$2:$F$39)),ABS(AI116-ICL3_classA!$F$2:$F$39),0))</f>
        <v>24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54</v>
      </c>
      <c r="AI116" s="1">
        <f>VLOOKUP(A116,'SegEnds_NonXtal_Prot#'!A:AL,31,FALSE)-VLOOKUP(A116,'SegEnds_NonXtal_Prot#'!A:AL,28,FALSE)</f>
        <v>49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163</v>
      </c>
      <c r="B117" s="1" t="str">
        <f>VLOOKUP(A117,Xtal_Templ!A:B,2,FALSE)</f>
        <v>ednrb_human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52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28</v>
      </c>
      <c r="T117" s="1">
        <f t="array" ref="T117">INDEX(ICL3_classA!$G$2:$G$39,MATCH(MIN(ABS(AI117-ICL3_classA!$F$2:$F$39)),ABS(AI117-ICL3_classA!$F$2:$F$39),0))</f>
        <v>73</v>
      </c>
      <c r="U117" s="1">
        <f t="array" ref="U117">INDEX(ICL3_classA!$H$2:$H$39,MATCH(MIN(ABS(AI117-ICL3_classA!$F$2:$F$39)),ABS(AI117-ICL3_classA!$F$2:$F$39),0))</f>
        <v>22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26</v>
      </c>
      <c r="AH117" s="1">
        <f>VLOOKUP(A117,'SegEnds_NonXtal_Prot#'!A:AL,28,FALSE)-VLOOKUP(A117,'SegEnds_NonXtal_Prot#'!A:AL,22,FALSE)</f>
        <v>57</v>
      </c>
      <c r="AI117" s="1">
        <f>VLOOKUP(A117,'SegEnds_NonXtal_Prot#'!A:AL,31,FALSE)-VLOOKUP(A117,'SegEnds_NonXtal_Prot#'!A:AL,28,FALSE)</f>
        <v>57</v>
      </c>
      <c r="AJ117" s="1">
        <f>VLOOKUP(A117,'SegEnds_NonXtal_Prot#'!A:AL,34,FALSE)-VLOOKUP(A117,'SegEnds_NonXtal_Prot#'!A:AL,31,FALSE)</f>
        <v>41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164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INDEX(ICL3_classA!$G$2:$G$39,MATCH(MIN(ABS(AI118-ICL3_classA!$F$2:$F$39)),ABS(AI118-ICL3_classA!$F$2:$F$39),0))</f>
        <v>68</v>
      </c>
      <c r="U118" s="108">
        <v>31</v>
      </c>
      <c r="V118" s="1">
        <v>61</v>
      </c>
      <c r="W118" s="108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176</v>
      </c>
      <c r="AH118" s="1">
        <f>VLOOKUP(A118,'SegEnds_NonXtal_Prot#'!A:AL,28,FALSE)-VLOOKUP(A118,'SegEnds_NonXtal_Prot#'!A:AL,22,FALSE)</f>
        <v>201</v>
      </c>
      <c r="AI118" s="1">
        <f>VLOOKUP(A118,'SegEnds_NonXtal_Prot#'!A:AL,31,FALSE)-VLOOKUP(A118,'SegEnds_NonXtal_Prot#'!A:AL,28,FALSE)</f>
        <v>44</v>
      </c>
      <c r="AJ118" s="1">
        <f>VLOOKUP(A118,'SegEnds_NonXtal_Prot#'!A:AL,34,FALSE)-VLOOKUP(A118,'SegEnds_NonXtal_Prot#'!A:AL,31,FALSE)</f>
        <v>40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165</v>
      </c>
      <c r="B119" s="1" t="str">
        <f>VLOOKUP(A119,Xtal_Templ!A:B,2,FALSE)</f>
        <v>c5ar1_human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INDEX(ICL3_classA!$G$2:$G$39,MATCH(MIN(ABS(AI119-ICL3_classA!$F$2:$F$39)),ABS(AI119-ICL3_classA!$F$2:$F$39),0))</f>
        <v>68</v>
      </c>
      <c r="U119" s="108">
        <v>31</v>
      </c>
      <c r="V119" s="1">
        <v>61</v>
      </c>
      <c r="W119" s="108">
        <v>25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53</v>
      </c>
      <c r="AI119" s="1">
        <f>VLOOKUP(A119,'SegEnds_NonXtal_Prot#'!A:AL,31,FALSE)-VLOOKUP(A119,'SegEnds_NonXtal_Prot#'!A:AL,28,FALSE)</f>
        <v>43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166</v>
      </c>
      <c r="B120" s="1" t="str">
        <f>VLOOKUP(A120,Xtal_Templ!A:B,2,FALSE)</f>
        <v>c5ar1_human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31</v>
      </c>
      <c r="T120" s="1">
        <f t="array" ref="T120">INDEX(ICL3_classA!$G$2:$G$39,MATCH(MIN(ABS(AI120-ICL3_classA!$F$2:$F$39)),ABS(AI120-ICL3_classA!$F$2:$F$39),0))</f>
        <v>64</v>
      </c>
      <c r="U120" s="108">
        <v>31</v>
      </c>
      <c r="V120" s="1">
        <v>61</v>
      </c>
      <c r="W120" s="108">
        <v>25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56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53</v>
      </c>
      <c r="AI120" s="1">
        <f>VLOOKUP(A120,'SegEnds_NonXtal_Prot#'!A:AL,31,FALSE)-VLOOKUP(A120,'SegEnds_NonXtal_Prot#'!A:AL,28,FALSE)</f>
        <v>36</v>
      </c>
      <c r="AJ120" s="1">
        <f>VLOOKUP(A120,'SegEnds_NonXtal_Prot#'!A:AL,34,FALSE)-VLOOKUP(A120,'SegEnds_NonXtal_Prot#'!A:AL,31,FALSE)</f>
        <v>40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167</v>
      </c>
      <c r="B121" s="1" t="str">
        <f>VLOOKUP(A121,Xtal_Templ!A:B,2,FALSE)</f>
        <v>ox1r_human</v>
      </c>
      <c r="C121" s="5">
        <f>VLOOKUP($B121&amp;"__wt",'SegEnds_Xtal_BW#'!$A:$Z,3,FALSE)</f>
        <v>32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74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28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55</v>
      </c>
      <c r="AI121" s="1">
        <f>VLOOKUP(A121,'SegEnds_NonXtal_Prot#'!A:AL,31,FALSE)-VLOOKUP(A121,'SegEnds_NonXtal_Prot#'!A:AL,28,FALSE)</f>
        <v>107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179</v>
      </c>
      <c r="B122" s="1" t="str">
        <f>VLOOKUP(A122,Xtal_Templ!A:B,2,FALSE)</f>
        <v>cltr1_human</v>
      </c>
      <c r="C122" s="5">
        <f>VLOOKUP($B122&amp;"__wt",'SegEnds_Xtal_BW#'!$A:$Z,3,FALSE)</f>
        <v>20</v>
      </c>
      <c r="D122" s="1">
        <f>VLOOKUP($B122&amp;"__wt",'SegEnds_Xtal_BW#'!$A:$Z,4,FALSE)</f>
        <v>60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28</v>
      </c>
      <c r="T122" s="1">
        <f t="array" ref="T122">INDEX(ICL3_classA!$G$2:$G$39,MATCH(MIN(ABS(AI122-ICL3_classA!$F$2:$F$39)),ABS(AI122-ICL3_classA!$F$2:$F$39),0))</f>
        <v>67</v>
      </c>
      <c r="U122" s="1">
        <f t="array" ref="U122">INDEX(ICL3_classA!$H$2:$H$39,MATCH(MIN(ABS(AI122-ICL3_classA!$F$2:$F$39)),ABS(AI122-ICL3_classA!$F$2:$F$39),0))</f>
        <v>26</v>
      </c>
      <c r="V122" s="1">
        <v>64</v>
      </c>
      <c r="W122" s="1">
        <v>24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47</v>
      </c>
      <c r="AJ122" s="1">
        <f>VLOOKUP(A122,'SegEnds_NonXtal_Prot#'!A:AL,34,FALSE)-VLOOKUP(A122,'SegEnds_NonXtal_Prot#'!A:AL,31,FALSE)</f>
        <v>44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Xtal</v>
      </c>
    </row>
    <row r="123" spans="1:38" x14ac:dyDescent="0.2">
      <c r="A123" s="1" t="s">
        <v>180</v>
      </c>
      <c r="B123" s="1" t="str">
        <f>VLOOKUP(A123,Xtal_Templ!A:B,2,FALSE)</f>
        <v>cltr2_human</v>
      </c>
      <c r="C123" s="5">
        <f>VLOOKUP($B123&amp;"__wt",'SegEnds_Xtal_BW#'!$A:$Z,3,FALSE)</f>
        <v>25</v>
      </c>
      <c r="D123" s="1">
        <f>VLOOKUP($B123&amp;"__wt",'SegEnds_Xtal_BW#'!$A:$Z,4,FALSE)</f>
        <v>60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32</v>
      </c>
      <c r="T123" s="1">
        <f t="array" ref="T123">INDEX(ICL3_classA!$G$2:$G$39,MATCH(MIN(ABS(AI123-ICL3_classA!$F$2:$F$39)),ABS(AI123-ICL3_classA!$F$2:$F$39),0))</f>
        <v>68</v>
      </c>
      <c r="U123" s="1">
        <f t="array" ref="U123">INDEX(ICL3_classA!$H$2:$H$39,MATCH(MIN(ABS(AI123-ICL3_classA!$F$2:$F$39)),ABS(AI123-ICL3_classA!$F$2:$F$39),0))</f>
        <v>24</v>
      </c>
      <c r="V123" s="1">
        <f>VLOOKUP($B123&amp;"__wt",'SegEnds_Xtal_BW#'!$A:$Z,22,FALSE)</f>
        <v>62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26</v>
      </c>
      <c r="AH123" s="1">
        <f>VLOOKUP(A123,'SegEnds_NonXtal_Prot#'!A:AL,28,FALSE)-VLOOKUP(A123,'SegEnds_NonXtal_Prot#'!A:AL,22,FALSE)</f>
        <v>50</v>
      </c>
      <c r="AI123" s="1">
        <f>VLOOKUP(A123,'SegEnds_NonXtal_Prot#'!A:AL,31,FALSE)-VLOOKUP(A123,'SegEnds_NonXtal_Prot#'!A:AL,28,FALSE)</f>
        <v>49</v>
      </c>
      <c r="AJ123" s="1">
        <f>VLOOKUP(A123,'SegEnds_NonXtal_Prot#'!A:AL,34,FALSE)-VLOOKUP(A123,'SegEnds_NonXtal_Prot#'!A:AL,31,FALSE)</f>
        <v>40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Xtal</v>
      </c>
    </row>
    <row r="124" spans="1:38" x14ac:dyDescent="0.2">
      <c r="A124" s="1" t="s">
        <v>181</v>
      </c>
      <c r="B124" s="1" t="str">
        <f>VLOOKUP(A124,Xtal_Templ!A:B,2,FALSE)</f>
        <v>agtr1_human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INDEX(ICL3_classA!$G$2:$G$39,MATCH(MIN(ABS(AI124-ICL3_classA!$F$2:$F$39)),ABS(AI124-ICL3_classA!$F$2:$F$39),0))</f>
        <v>68</v>
      </c>
      <c r="U124" s="1">
        <f t="array" ref="U124">INDEX(ICL3_classA!$H$2:$H$39,MATCH(MIN(ABS(AI124-ICL3_classA!$F$2:$F$39)),ABS(AI124-ICL3_classA!$F$2:$F$39),0))</f>
        <v>30</v>
      </c>
      <c r="V124" s="1">
        <v>61</v>
      </c>
      <c r="W124" s="108">
        <v>25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27</v>
      </c>
      <c r="AC124" s="1" t="e">
        <f>VLOOKUP(A124,'SegEnds_NonXtal_Prot#'!A:AL,10,FALSE)-VLOOKUP(A124,'SegEnds_NonXtal_Prot#'!A:AL,7,FALSE)</f>
        <v>#VALUE!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43</v>
      </c>
      <c r="AH124" s="1">
        <f>VLOOKUP(A124,'SegEnds_NonXtal_Prot#'!A:AL,28,FALSE)-VLOOKUP(A124,'SegEnds_NonXtal_Prot#'!A:AL,22,FALSE)</f>
        <v>68</v>
      </c>
      <c r="AI124" s="1">
        <f>VLOOKUP(A124,'SegEnds_NonXtal_Prot#'!A:AL,31,FALSE)-VLOOKUP(A124,'SegEnds_NonXtal_Prot#'!A:AL,28,FALSE)</f>
        <v>43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191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35</v>
      </c>
      <c r="T125" s="1">
        <f t="array" ref="T125">INDEX(ICL3_classA!$G$2:$G$39,MATCH(MIN(ABS(AI125-ICL3_classA!$F$2:$F$39)),ABS(AI125-ICL3_classA!$F$2:$F$39),0))</f>
        <v>75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"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21</v>
      </c>
      <c r="AG125" s="1">
        <f>VLOOKUP(A125,'SegEnds_NonXtal_Prot#'!A:AL,28,FALSE)-VLOOKUP(A125,'SegEnds_NonXtal_Prot#'!A:AL,25,FALSE)</f>
        <v>19</v>
      </c>
      <c r="AH125" s="1">
        <f>VLOOKUP(A125,'SegEnds_NonXtal_Prot#'!A:AL,28,FALSE)-VLOOKUP(A125,'SegEnds_NonXtal_Prot#'!A:AL,22,FALSE)</f>
        <v>41</v>
      </c>
      <c r="AI125" s="1">
        <f>VLOOKUP(A125,'SegEnds_NonXtal_Prot#'!A:AL,31,FALSE)-VLOOKUP(A125,'SegEnds_NonXtal_Prot#'!A:AL,28,FALSE)</f>
        <v>187</v>
      </c>
      <c r="AJ125" s="1">
        <f>VLOOKUP(A125,'SegEnds_NonXtal_Prot#'!A:AL,34,FALSE)-VLOOKUP(A125,'SegEnds_NonXtal_Prot#'!A:AL,31,FALSE)</f>
        <v>35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Xtal</v>
      </c>
    </row>
    <row r="126" spans="1:38" x14ac:dyDescent="0.2">
      <c r="A126" s="1" t="s">
        <v>196</v>
      </c>
      <c r="B126" s="1" t="str">
        <f>VLOOKUP(A126,Xtal_Templ!A:B,2,FALSE)</f>
        <v>ednrb_human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52</v>
      </c>
      <c r="G126" s="1">
        <v>38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28</v>
      </c>
      <c r="T126" s="1">
        <f t="array" ref="T126">INDEX(ICL3_classA!$G$2:$G$39,MATCH(MIN(ABS(AI126-ICL3_classA!$F$2:$F$39)),ABS(AI126-ICL3_classA!$F$2:$F$39),0))</f>
        <v>72</v>
      </c>
      <c r="U126" s="1">
        <f t="array" ref="U126">INDEX(ICL3_classA!$H$2:$H$39,MATCH(MIN(ABS(AI126-ICL3_classA!$F$2:$F$39)),ABS(AI126-ICL3_classA!$F$2:$F$39),0))</f>
        <v>24</v>
      </c>
      <c r="V126" s="1">
        <v>62</v>
      </c>
      <c r="W126" s="1">
        <v>24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30</v>
      </c>
      <c r="AH126" s="1">
        <f>VLOOKUP(A126,'SegEnds_NonXtal_Prot#'!A:AL,28,FALSE)-VLOOKUP(A126,'SegEnds_NonXtal_Prot#'!A:AL,22,FALSE)</f>
        <v>59</v>
      </c>
      <c r="AI126" s="1">
        <f>VLOOKUP(A126,'SegEnds_NonXtal_Prot#'!A:AL,31,FALSE)-VLOOKUP(A126,'SegEnds_NonXtal_Prot#'!A:AL,28,FALSE)</f>
        <v>53</v>
      </c>
      <c r="AJ126" s="1">
        <f>VLOOKUP(A126,'SegEnds_NonXtal_Prot#'!A:AL,34,FALSE)-VLOOKUP(A126,'SegEnds_NonXtal_Prot#'!A:AL,31,FALSE)</f>
        <v>45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Xtal</v>
      </c>
    </row>
    <row r="127" spans="1:38" x14ac:dyDescent="0.2">
      <c r="A127" s="3" t="s">
        <v>1692</v>
      </c>
      <c r="B127" s="1" t="str">
        <f>VLOOKUP(A127,Xtal_Templ!A:B,2,FALSE)</f>
        <v>ednrb_human</v>
      </c>
      <c r="C127" s="5">
        <f>VLOOKUP($B127&amp;"__wt",'SegEnds_Xtal_BW#'!$A:$Z,3,FALSE)</f>
        <v>22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52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21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28</v>
      </c>
      <c r="T127" s="1">
        <f t="array" ref="T127">INDEX(ICL3_classA!$G$2:$G$39,MATCH(MIN(ABS(AI127-ICL3_classA!$F$2:$F$39)),ABS(AI127-ICL3_classA!$F$2:$F$39),0))</f>
        <v>72</v>
      </c>
      <c r="U127" s="1">
        <f t="array" ref="U127">INDEX(ICL3_classA!$H$2:$H$39,MATCH(MIN(ABS(AI127-ICL3_classA!$F$2:$F$39)),ABS(AI127-ICL3_classA!$F$2:$F$39),0))</f>
        <v>24</v>
      </c>
      <c r="V127" s="1">
        <v>61</v>
      </c>
      <c r="W127" s="128">
        <f>VLOOKUP($B127&amp;"__wt",'SegEnds_Xtal_BW#'!$A:$Z,23,FALSE)</f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60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 t="e">
        <f>VLOOKUP(A127,'SegEnds_NonXtal_Prot#'!A:AL,13,FALSE)-VLOOKUP(A127,'SegEnds_NonXtal_Prot#'!A:AL,10,FALSE)</f>
        <v>#VALUE!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35</v>
      </c>
      <c r="AH127" s="1">
        <f>VLOOKUP(A127,'SegEnds_NonXtal_Prot#'!A:AL,28,FALSE)-VLOOKUP(A127,'SegEnds_NonXtal_Prot#'!A:AL,22,FALSE)</f>
        <v>65</v>
      </c>
      <c r="AI127" s="1">
        <f>VLOOKUP(A127,'SegEnds_NonXtal_Prot#'!A:AL,31,FALSE)-VLOOKUP(A127,'SegEnds_NonXtal_Prot#'!A:AL,28,FALSE)</f>
        <v>53</v>
      </c>
      <c r="AJ127" s="1">
        <f>VLOOKUP(A127,'SegEnds_NonXtal_Prot#'!A:AL,34,FALSE)-VLOOKUP(A127,'SegEnds_NonXtal_Prot#'!A:AL,31,FALSE)</f>
        <v>39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1168</v>
      </c>
      <c r="B128" s="1" t="str">
        <f>VLOOKUP(A128,Xtal_Templ!A:B,2,FALSE)</f>
        <v>ffar1_human</v>
      </c>
      <c r="C128" s="5">
        <f>VLOOKUP($B128&amp;"__wt",'SegEnds_Xtal_BW#'!$A:$Z,3,FALSE)</f>
        <v>31</v>
      </c>
      <c r="D128" s="1">
        <f>VLOOKUP($B128&amp;"__wt",'SegEnds_Xtal_BW#'!$A:$Z,4,FALSE)</f>
        <v>64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f>VLOOKUP($B128&amp;"__wt",'SegEnds_Xtal_BW#'!$A:$Z,15,FALSE)</f>
        <v>38</v>
      </c>
      <c r="P128" s="1">
        <f>VLOOKUP($B128&amp;"__wt",'SegEnds_Xtal_BW#'!$A:$Z,16,FALSE)</f>
        <v>65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67</v>
      </c>
      <c r="U128" s="1">
        <f t="array" ref="U128">INDEX(ICL3_classA!$H$2:$H$39,MATCH(MIN(ABS(AI128-ICL3_classA!$F$2:$F$39)),ABS(AI128-ICL3_classA!$F$2:$F$39),0))</f>
        <v>28</v>
      </c>
      <c r="V128" s="1">
        <v>61</v>
      </c>
      <c r="W128" s="1">
        <v>32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29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24</v>
      </c>
      <c r="AH128" s="1">
        <f>VLOOKUP(A128,'SegEnds_NonXtal_Prot#'!A:AL,28,FALSE)-VLOOKUP(A128,'SegEnds_NonXtal_Prot#'!A:AL,22,FALSE)</f>
        <v>63</v>
      </c>
      <c r="AI128" s="1">
        <f>VLOOKUP(A128,'SegEnds_NonXtal_Prot#'!A:AL,31,FALSE)-VLOOKUP(A128,'SegEnds_NonXtal_Prot#'!A:AL,28,FALSE)</f>
        <v>45</v>
      </c>
      <c r="AJ128" s="1">
        <f>VLOOKUP(A128,'SegEnds_NonXtal_Prot#'!A:AL,34,FALSE)-VLOOKUP(A128,'SegEnds_NonXtal_Prot#'!A:AL,31,FALSE)</f>
        <v>34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Xtal</v>
      </c>
    </row>
    <row r="129" spans="1:38" x14ac:dyDescent="0.2">
      <c r="A129" s="1" t="s">
        <v>197</v>
      </c>
      <c r="B129" s="1" t="str">
        <f>VLOOKUP(A129,Xtal_Templ!A:B,2,FALSE)</f>
        <v>par2_human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47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62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INDEX(ICL3_classA!$G$2:$G$39,MATCH(MIN(ABS(AI129-ICL3_classA!$F$2:$F$39)),ABS(AI129-ICL3_classA!$F$2:$F$39),0))</f>
        <v>67</v>
      </c>
      <c r="U129" s="1">
        <f t="array" ref="U129">INDEX(ICL3_classA!$H$2:$H$39,MATCH(MIN(ABS(AI129-ICL3_classA!$F$2:$F$39)),ABS(AI129-ICL3_classA!$F$2:$F$39),0))</f>
        <v>26</v>
      </c>
      <c r="V129" s="1">
        <v>61</v>
      </c>
      <c r="W129" s="1">
        <v>33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30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57</v>
      </c>
      <c r="AI129" s="1">
        <f>VLOOKUP(A129,'SegEnds_NonXtal_Prot#'!A:AL,31,FALSE)-VLOOKUP(A129,'SegEnds_NonXtal_Prot#'!A:AL,28,FALSE)</f>
        <v>46</v>
      </c>
      <c r="AJ129" s="1">
        <f>VLOOKUP(A129,'SegEnds_NonXtal_Prot#'!A:AL,34,FALSE)-VLOOKUP(A129,'SegEnds_NonXtal_Prot#'!A:AL,31,FALSE)</f>
        <v>33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198</v>
      </c>
      <c r="B130" s="1" t="str">
        <f>VLOOKUP(A130,Xtal_Templ!A:B,2,FALSE)</f>
        <v>par1_human</v>
      </c>
      <c r="C130" s="5">
        <f>VLOOKUP($B130&amp;"__wt",'SegEnds_Xtal_BW#'!$A:$Z,3,FALSE)</f>
        <v>29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f>VLOOKUP($B130&amp;"__wt",'SegEnds_Xtal_BW#'!$A:$Z,15,FALSE)</f>
        <v>38</v>
      </c>
      <c r="P130" s="1">
        <f>VLOOKUP($B130&amp;"__wt",'SegEnds_Xtal_BW#'!$A:$Z,16,FALSE)</f>
        <v>63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32</v>
      </c>
      <c r="T130" s="1">
        <f t="array" ref="T130">INDEX(ICL3_classA!$G$2:$G$39,MATCH(MIN(ABS(AI130-ICL3_classA!$F$2:$F$39)),ABS(AI130-ICL3_classA!$F$2:$F$39),0))</f>
        <v>68</v>
      </c>
      <c r="U130" s="1">
        <f t="array" ref="U130">INDEX(ICL3_classA!$H$2:$H$39,MATCH(MIN(ABS(AI130-ICL3_classA!$F$2:$F$39)),ABS(AI130-ICL3_classA!$F$2:$F$39),0))</f>
        <v>28</v>
      </c>
      <c r="V130" s="1">
        <v>61</v>
      </c>
      <c r="W130" s="1">
        <v>33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29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27</v>
      </c>
      <c r="AH130" s="1">
        <f>VLOOKUP(A130,'SegEnds_NonXtal_Prot#'!A:AL,28,FALSE)-VLOOKUP(A130,'SegEnds_NonXtal_Prot#'!A:AL,22,FALSE)</f>
        <v>56</v>
      </c>
      <c r="AI130" s="1">
        <f>VLOOKUP(A130,'SegEnds_NonXtal_Prot#'!A:AL,31,FALSE)-VLOOKUP(A130,'SegEnds_NonXtal_Prot#'!A:AL,28,FALSE)</f>
        <v>44</v>
      </c>
      <c r="AJ130" s="1">
        <f>VLOOKUP(A130,'SegEnds_NonXtal_Prot#'!A:AL,34,FALSE)-VLOOKUP(A130,'SegEnds_NonXtal_Prot#'!A:AL,31,FALSE)</f>
        <v>33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200</v>
      </c>
      <c r="B131" s="1" t="str">
        <f>VLOOKUP(A131,Xtal_Templ!A:B,2,FALSE)</f>
        <v>fpr2_human</v>
      </c>
      <c r="C131" s="5">
        <f>VLOOKUP($B131&amp;"__wt",'SegEnds_Xtal_BW#'!$A:$Z,3,FALSE)</f>
        <v>25</v>
      </c>
      <c r="D131" s="1">
        <f>VLOOKUP($B131&amp;"__wt",'SegEnds_Xtal_BW#'!$A:$Z,4,FALSE)</f>
        <v>61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23</v>
      </c>
      <c r="T131" s="1">
        <f t="array" ref="T131">INDEX(ICL3_classA!$G$2:$G$39,MATCH(MIN(ABS(AI131-ICL3_classA!$F$2:$F$39)),ABS(AI131-ICL3_classA!$F$2:$F$39),0))</f>
        <v>68</v>
      </c>
      <c r="U131" s="1">
        <f t="array" ref="U131">INDEX(ICL3_classA!$H$2:$H$39,MATCH(MIN(ABS(AI131-ICL3_classA!$F$2:$F$39)),ABS(AI131-ICL3_classA!$F$2:$F$39),0))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58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37</v>
      </c>
      <c r="AH131" s="1">
        <f>VLOOKUP(A131,'SegEnds_NonXtal_Prot#'!A:AL,28,FALSE)-VLOOKUP(A131,'SegEnds_NonXtal_Prot#'!A:AL,22,FALSE)</f>
        <v>63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42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201</v>
      </c>
      <c r="B132" s="1" t="str">
        <f>VLOOKUP(A132,Xtal_Templ!A:B,2,FALSE)</f>
        <v>fpr2_human</v>
      </c>
      <c r="C132" s="5">
        <f>VLOOKUP($B132&amp;"__wt",'SegEnds_Xtal_BW#'!$A:$Z,3,FALSE)</f>
        <v>25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23</v>
      </c>
      <c r="T132" s="108">
        <v>69</v>
      </c>
      <c r="U132" s="108">
        <v>31</v>
      </c>
      <c r="V132" s="1">
        <v>61</v>
      </c>
      <c r="W132" s="108">
        <f>VLOOKUP($B132&amp;"__wt",'SegEnds_Xtal_BW#'!$A:$Z,23,FALSE)</f>
        <v>28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37</v>
      </c>
      <c r="AH132" s="1">
        <f>VLOOKUP(A132,'SegEnds_NonXtal_Prot#'!A:AL,28,FALSE)-VLOOKUP(A132,'SegEnds_NonXtal_Prot#'!A:AL,22,FALSE)</f>
        <v>63</v>
      </c>
      <c r="AI132" s="1">
        <f>VLOOKUP(A132,'SegEnds_NonXtal_Prot#'!A:AL,31,FALSE)-VLOOKUP(A132,'SegEnds_NonXtal_Prot#'!A:AL,28,FALSE)</f>
        <v>43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Xtal</v>
      </c>
    </row>
    <row r="133" spans="1:38" x14ac:dyDescent="0.2">
      <c r="A133" s="1" t="s">
        <v>202</v>
      </c>
      <c r="B133" s="1" t="str">
        <f>VLOOKUP(A133,Xtal_Templ!A:B,2,FALSE)</f>
        <v>fpr2_human</v>
      </c>
      <c r="C133" s="5">
        <f>VLOOKUP($B133&amp;"__wt",'SegEnds_Xtal_BW#'!$A:$Z,3,FALSE)</f>
        <v>25</v>
      </c>
      <c r="D133" s="1">
        <f>VLOOKUP($B133&amp;"__wt",'SegEnds_Xtal_BW#'!$A:$Z,4,FALSE)</f>
        <v>61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23</v>
      </c>
      <c r="T133" s="1">
        <f t="array" ref="T133">INDEX(ICL3_classA!$G$2:$G$39,MATCH(MIN(ABS(AI133-ICL3_classA!$F$2:$F$39)),ABS(AI133-ICL3_classA!$F$2:$F$39),0))</f>
        <v>68</v>
      </c>
      <c r="U133" s="1">
        <f t="array" ref="U133">INDEX(ICL3_classA!$H$2:$H$39,MATCH(MIN(ABS(AI133-ICL3_classA!$F$2:$F$39)),ABS(AI133-ICL3_classA!$F$2:$F$39),0))</f>
        <v>30</v>
      </c>
      <c r="V133" s="1">
        <v>61</v>
      </c>
      <c r="W133" s="1">
        <v>24</v>
      </c>
      <c r="X133" s="108"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37</v>
      </c>
      <c r="AH133" s="1">
        <f>VLOOKUP(A133,'SegEnds_NonXtal_Prot#'!A:AL,28,FALSE)-VLOOKUP(A133,'SegEnds_NonXtal_Prot#'!A:AL,22,FALSE)</f>
        <v>63</v>
      </c>
      <c r="AI133" s="1">
        <f>VLOOKUP(A133,'SegEnds_NonXtal_Prot#'!A:AL,31,FALSE)-VLOOKUP(A133,'SegEnds_NonXtal_Prot#'!A:AL,28,FALSE)</f>
        <v>43</v>
      </c>
      <c r="AJ133" s="1">
        <f>VLOOKUP(A133,'SegEnds_NonXtal_Prot#'!A:AL,34,FALSE)-VLOOKUP(A133,'SegEnds_NonXtal_Prot#'!A:AL,31,FALSE)</f>
        <v>43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204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INDEX(ICL3_classA!$G$2:$G$39,MATCH(MIN(ABS(AI134-ICL3_classA!$F$2:$F$39)),ABS(AI134-ICL3_classA!$F$2:$F$39),0))</f>
        <v>72</v>
      </c>
      <c r="U134" s="1">
        <f t="array" ref="U134">INDEX(ICL3_classA!$H$2:$H$39,MATCH(MIN(ABS(AI134-ICL3_classA!$F$2:$F$39)),ABS(AI134-ICL3_classA!$F$2:$F$39),0))</f>
        <v>29</v>
      </c>
      <c r="V134" s="1">
        <v>61</v>
      </c>
      <c r="W134" s="128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30</v>
      </c>
      <c r="AC134" s="1" t="e">
        <f>VLOOKUP(A134,'SegEnds_NonXtal_Prot#'!A:AL,10,FALSE)-VLOOKUP(A134,'SegEnds_NonXtal_Prot#'!A:AL,7,FALSE)</f>
        <v>#VALUE!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50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205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INDEX(ICL3_classA!$G$2:$G$39,MATCH(MIN(ABS(AI135-ICL3_classA!$F$2:$F$39)),ABS(AI135-ICL3_classA!$F$2:$F$39),0))</f>
        <v>72</v>
      </c>
      <c r="U135" s="1">
        <f t="array" ref="U135">INDEX(ICL3_classA!$H$2:$H$39,MATCH(MIN(ABS(AI135-ICL3_classA!$F$2:$F$39)),ABS(AI135-ICL3_classA!$F$2:$F$39),0))</f>
        <v>23</v>
      </c>
      <c r="V135" s="1">
        <v>61</v>
      </c>
      <c r="W135" s="128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24</v>
      </c>
      <c r="AH135" s="1">
        <f>VLOOKUP(A135,'SegEnds_NonXtal_Prot#'!A:AL,28,FALSE)-VLOOKUP(A135,'SegEnds_NonXtal_Prot#'!A:AL,22,FALSE)</f>
        <v>49</v>
      </c>
      <c r="AI135" s="1">
        <f>VLOOKUP(A135,'SegEnds_NonXtal_Prot#'!A:AL,31,FALSE)-VLOOKUP(A135,'SegEnds_NonXtal_Prot#'!A:AL,28,FALSE)</f>
        <v>52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206</v>
      </c>
      <c r="B136" s="1" t="str">
        <f>VLOOKUP(A136,Xtal_Templ!A:B,2,FALSE)</f>
        <v>oprk_human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72</v>
      </c>
      <c r="U136" s="1">
        <f t="array" ref="U136">INDEX(ICL3_classA!$H$2:$H$39,MATCH(MIN(ABS(AI136-ICL3_classA!$F$2:$F$39)),ABS(AI136-ICL3_classA!$F$2:$F$39),0))</f>
        <v>24</v>
      </c>
      <c r="V136" s="1">
        <v>61</v>
      </c>
      <c r="W136" s="128">
        <f>VLOOKUP($B136&amp;"__wt",'SegEnds_Xtal_BW#'!$A:$Z,23,FALSE)</f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33</v>
      </c>
      <c r="AC136" s="1">
        <f>VLOOKUP(A136,'SegEnds_NonXtal_Prot#'!A:AL,10,FALSE)-VLOOKUP(A136,'SegEnds_NonXtal_Prot#'!A:AL,7,FALSE)</f>
        <v>19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24</v>
      </c>
      <c r="AH136" s="1">
        <f>VLOOKUP(A136,'SegEnds_NonXtal_Prot#'!A:AL,28,FALSE)-VLOOKUP(A136,'SegEnds_NonXtal_Prot#'!A:AL,22,FALSE)</f>
        <v>49</v>
      </c>
      <c r="AI136" s="1">
        <f>VLOOKUP(A136,'SegEnds_NonXtal_Prot#'!A:AL,31,FALSE)-VLOOKUP(A136,'SegEnds_NonXtal_Prot#'!A:AL,28,FALSE)</f>
        <v>54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207</v>
      </c>
      <c r="B137" s="1" t="str">
        <f>VLOOKUP(A137,Xtal_Templ!A:B,2,FALSE)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INDEX(ICL3_classA!$G$2:$G$39,MATCH(MIN(ABS(AI137-ICL3_classA!$F$2:$F$39)),ABS(AI137-ICL3_classA!$F$2:$F$39),0))</f>
        <v>76</v>
      </c>
      <c r="U137" s="1">
        <f t="array" ref="U137">INDEX(ICL3_classA!$H$2:$H$39,MATCH(MIN(ABS(AI137-ICL3_classA!$F$2:$F$39)),ABS(AI137-ICL3_classA!$F$2:$F$39),0))</f>
        <v>24</v>
      </c>
      <c r="V137" s="1">
        <v>61</v>
      </c>
      <c r="W137" s="128">
        <f>VLOOKUP($B137&amp;"__wt",'SegEnds_Xtal_BW#'!$A:$Z,23,FALSE)</f>
        <v>27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63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51</v>
      </c>
      <c r="AI137" s="1">
        <f>VLOOKUP(A137,'SegEnds_NonXtal_Prot#'!A:AL,31,FALSE)-VLOOKUP(A137,'SegEnds_NonXtal_Prot#'!A:AL,28,FALSE)</f>
        <v>118</v>
      </c>
      <c r="AJ137" s="1">
        <f>VLOOKUP(A137,'SegEnds_NonXtal_Prot#'!A:AL,34,FALSE)-VLOOKUP(A137,'SegEnds_NonXtal_Prot#'!A:AL,31,FALSE)</f>
        <v>39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208</v>
      </c>
      <c r="B138" s="1" t="str">
        <f>VLOOKUP(A138,Xtal_Templ!A:B,2,FALSE)</f>
        <v>ntr1_human</v>
      </c>
      <c r="C138" s="5">
        <f>VLOOKUP($B138&amp;"__wt",'SegEnds_Xtal_BW#'!$A:$Z,3,FALSE)</f>
        <v>28</v>
      </c>
      <c r="D138" s="1">
        <f>VLOOKUP($B138&amp;"__wt",'SegEnds_Xtal_BW#'!$A:$Z,4,FALSE)</f>
        <v>60</v>
      </c>
      <c r="E138" s="1" t="str">
        <f>VLOOKUP($B138&amp;"__wt",'SegEnds_Xtal_BW#'!$A:$Z,5,FALSE)</f>
        <v>-</v>
      </c>
      <c r="F138" s="1" t="str">
        <f>VLOOKUP($B138&amp;"__wt",'SegEnds_Xtal_BW#'!$A:$Z,6,FALSE)</f>
        <v>-</v>
      </c>
      <c r="G138" s="1">
        <v>37</v>
      </c>
      <c r="H138" s="12"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INDEX(ICL3_classA!$G$2:$G$39,MATCH(MIN(ABS(AI138-ICL3_classA!$F$2:$F$39)),ABS(AI138-ICL3_classA!$F$2:$F$39),0))</f>
        <v>72</v>
      </c>
      <c r="U138" s="1">
        <f t="array" ref="U138">INDEX(ICL3_classA!$H$2:$H$39,MATCH(MIN(ABS(AI138-ICL3_classA!$F$2:$F$39)),ABS(AI138-ICL3_classA!$F$2:$F$39),0))</f>
        <v>24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62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26</v>
      </c>
      <c r="AH138" s="1">
        <f>VLOOKUP(A138,'SegEnds_NonXtal_Prot#'!A:AL,28,FALSE)-VLOOKUP(A138,'SegEnds_NonXtal_Prot#'!A:AL,22,FALSE)</f>
        <v>56</v>
      </c>
      <c r="AI138" s="1">
        <f>VLOOKUP(A138,'SegEnds_NonXtal_Prot#'!A:AL,31,FALSE)-VLOOKUP(A138,'SegEnds_NonXtal_Prot#'!A:AL,28,FALSE)</f>
        <v>54</v>
      </c>
      <c r="AJ138" s="1">
        <f>VLOOKUP(A138,'SegEnds_NonXtal_Prot#'!A:AL,34,FALSE)-VLOOKUP(A138,'SegEnds_NonXtal_Prot#'!A:AL,31,FALSE)</f>
        <v>42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209</v>
      </c>
      <c r="B139" s="1" t="str">
        <f>VLOOKUP(A139,Xtal_Templ!A:B,2,FALSE)</f>
        <v>apj_human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52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53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INDEX(ICL3_classA!$G$2:$G$39,MATCH(MIN(ABS(AI139-ICL3_classA!$F$2:$F$39)),ABS(AI139-ICL3_classA!$F$2:$F$39),0))</f>
        <v>74</v>
      </c>
      <c r="U139" s="1">
        <f t="array" ref="U139">INDEX(ICL3_classA!$H$2:$H$39,MATCH(MIN(ABS(AI139-ICL3_classA!$F$2:$F$39)),ABS(AI139-ICL3_classA!$F$2:$F$39),0))</f>
        <v>21</v>
      </c>
      <c r="V139" s="1">
        <v>61</v>
      </c>
      <c r="W139" s="108">
        <v>25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61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34</v>
      </c>
      <c r="AC139" s="1">
        <f>VLOOKUP(A139,'SegEnds_NonXtal_Prot#'!A:AL,10,FALSE)-VLOOKUP(A139,'SegEnds_NonXtal_Prot#'!A:AL,7,FALSE)</f>
        <v>14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18</v>
      </c>
      <c r="AG139" s="1">
        <f>VLOOKUP(A139,'SegEnds_NonXtal_Prot#'!A:AL,28,FALSE)-VLOOKUP(A139,'SegEnds_NonXtal_Prot#'!A:AL,25,FALSE)</f>
        <v>23</v>
      </c>
      <c r="AH139" s="1">
        <f>VLOOKUP(A139,'SegEnds_NonXtal_Prot#'!A:AL,28,FALSE)-VLOOKUP(A139,'SegEnds_NonXtal_Prot#'!A:AL,22,FALSE)</f>
        <v>59</v>
      </c>
      <c r="AI139" s="1">
        <f>VLOOKUP(A139,'SegEnds_NonXtal_Prot#'!A:AL,31,FALSE)-VLOOKUP(A139,'SegEnds_NonXtal_Prot#'!A:AL,28,FALSE)</f>
        <v>59</v>
      </c>
      <c r="AJ139" s="1">
        <f>VLOOKUP(A139,'SegEnds_NonXtal_Prot#'!A:AL,34,FALSE)-VLOOKUP(A139,'SegEnds_NonXtal_Prot#'!A:AL,31,FALSE)</f>
        <v>38</v>
      </c>
      <c r="AK139" s="1" t="e">
        <f>VLOOKUP(A139,'SegEnds_NonXtal_Prot#'!A:AL,37,FALSE)-VLOOKUP(A139,'SegEnds_NonXtal_Prot#'!A:AL,34,FALSE)</f>
        <v>#VALUE!</v>
      </c>
      <c r="AL139" s="1" t="str">
        <f>IF(ISERROR(MATCH(A139,'SegEnds_Xtal_Prot#'!B:B, 0)), "NoXtal", "Xtal")</f>
        <v>NoXtal</v>
      </c>
    </row>
    <row r="140" spans="1:38" x14ac:dyDescent="0.2">
      <c r="A140" s="1" t="s">
        <v>211</v>
      </c>
      <c r="B140" s="1" t="str">
        <f>VLOOKUP(A140,Xtal_Templ!A:B,2,FALSE)</f>
        <v>5ht2c_human</v>
      </c>
      <c r="C140" s="5">
        <f>VLOOKUP($B140&amp;"__wt",'SegEnds_Xtal_BW#'!$A:$Z,3,FALSE)</f>
        <v>33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68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67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INDEX(ICL3_classA!$G$2:$G$39,MATCH(MIN(ABS(AI140-ICL3_classA!$F$2:$F$39)),ABS(AI140-ICL3_classA!$F$2:$F$39),0))</f>
        <v>75</v>
      </c>
      <c r="U140" s="1">
        <f t="array" ref="U140">INDEX(ICL3_classA!$H$2:$H$39,MATCH(MIN(ABS(AI140-ICL3_classA!$F$2:$F$39)),ABS(AI140-ICL3_classA!$F$2:$F$39),0))</f>
        <v>24</v>
      </c>
      <c r="V140" s="1">
        <v>61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60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22</v>
      </c>
      <c r="AH140" s="1">
        <f>VLOOKUP(A140,'SegEnds_NonXtal_Prot#'!A:AL,28,FALSE)-VLOOKUP(A140,'SegEnds_NonXtal_Prot#'!A:AL,22,FALSE)</f>
        <v>48</v>
      </c>
      <c r="AI140" s="1">
        <f>VLOOKUP(A140,'SegEnds_NonXtal_Prot#'!A:AL,31,FALSE)-VLOOKUP(A140,'SegEnds_NonXtal_Prot#'!A:AL,28,FALSE)</f>
        <v>210</v>
      </c>
      <c r="AJ140" s="1">
        <f>VLOOKUP(A140,'SegEnds_NonXtal_Prot#'!A:AL,34,FALSE)-VLOOKUP(A140,'SegEnds_NonXtal_Prot#'!A:AL,31,FALSE)</f>
        <v>37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212</v>
      </c>
      <c r="B141" s="1" t="str">
        <f>VLOOKUP(A141,Xtal_Templ!A:B,2,FALSE)</f>
        <v>acm5_human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8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69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v>35</v>
      </c>
      <c r="T141" s="1">
        <f t="array" ref="T141">INDEX(ICL3_classA!$G$2:$G$39,MATCH(MIN(ABS(AI141-ICL3_classA!$F$2:$F$39)),ABS(AI141-ICL3_classA!$F$2:$F$39),0))</f>
        <v>74</v>
      </c>
      <c r="U141" s="1">
        <f t="array" ref="U141">INDEX(ICL3_classA!$H$2:$H$39,MATCH(MIN(ABS(AI141-ICL3_classA!$F$2:$F$39)),ABS(AI141-ICL3_classA!$F$2:$F$39),0))</f>
        <v>21</v>
      </c>
      <c r="V141" s="1">
        <v>61</v>
      </c>
      <c r="W141" s="1"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29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21</v>
      </c>
      <c r="AH141" s="1">
        <f>VLOOKUP(A141,'SegEnds_NonXtal_Prot#'!A:AL,28,FALSE)-VLOOKUP(A141,'SegEnds_NonXtal_Prot#'!A:AL,22,FALSE)</f>
        <v>46</v>
      </c>
      <c r="AI141" s="1">
        <f>VLOOKUP(A141,'SegEnds_NonXtal_Prot#'!A:AL,31,FALSE)-VLOOKUP(A141,'SegEnds_NonXtal_Prot#'!A:AL,28,FALSE)</f>
        <v>64</v>
      </c>
      <c r="AJ141" s="1">
        <f>VLOOKUP(A141,'SegEnds_NonXtal_Prot#'!A:AL,34,FALSE)-VLOOKUP(A141,'SegEnds_NonXtal_Prot#'!A:AL,31,FALSE)</f>
        <v>36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213</v>
      </c>
      <c r="B142" s="1" t="str">
        <f>VLOOKUP(A142,Xtal_Templ!A:B,2,FALSE)</f>
        <v>p2ry1_human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32</v>
      </c>
      <c r="T142" s="1">
        <f t="array" ref="T142">INDEX(ICL3_classA!$G$2:$G$39,MATCH(MIN(ABS(AI142-ICL3_classA!$F$2:$F$39)),ABS(AI142-ICL3_classA!$F$2:$F$39),0))</f>
        <v>67</v>
      </c>
      <c r="U142" s="1">
        <f t="array" ref="U142">INDEX(ICL3_classA!$H$2:$H$39,MATCH(MIN(ABS(AI142-ICL3_classA!$F$2:$F$39)),ABS(AI142-ICL3_classA!$F$2:$F$39),0))</f>
        <v>26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 t="e">
        <f>VLOOKUP(A142,'SegEnds_NonXtal_Prot#'!A:AL,22,FALSE)-VLOOKUP(A142,'SegEnds_NonXtal_Prot#'!A:AL,19,FALSE)</f>
        <v>#VALUE!</v>
      </c>
      <c r="AG142" s="1">
        <f>VLOOKUP(A142,'SegEnds_NonXtal_Prot#'!A:AL,28,FALSE)-VLOOKUP(A142,'SegEnds_NonXtal_Prot#'!A:AL,25,FALSE)</f>
        <v>25</v>
      </c>
      <c r="AH142" s="1">
        <f>VLOOKUP(A142,'SegEnds_NonXtal_Prot#'!A:AL,28,FALSE)-VLOOKUP(A142,'SegEnds_NonXtal_Prot#'!A:AL,22,FALSE)</f>
        <v>44</v>
      </c>
      <c r="AI142" s="1">
        <f>VLOOKUP(A142,'SegEnds_NonXtal_Prot#'!A:AL,31,FALSE)-VLOOKUP(A142,'SegEnds_NonXtal_Prot#'!A:AL,28,FALSE)</f>
        <v>46</v>
      </c>
      <c r="AJ142" s="1">
        <f>VLOOKUP(A142,'SegEnds_NonXtal_Prot#'!A:AL,34,FALSE)-VLOOKUP(A142,'SegEnds_NonXtal_Prot#'!A:AL,31,FALSE)</f>
        <v>48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222</v>
      </c>
      <c r="B143" s="1" t="str">
        <f>VLOOKUP(A143,Xtal_Templ!A:B,2,FALSE)</f>
        <v>agtr2_human</v>
      </c>
      <c r="C143" s="5">
        <f>VLOOKUP($B143&amp;"__wt",'SegEnds_Xtal_BW#'!$A:$Z,3,FALSE)</f>
        <v>33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47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56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61</v>
      </c>
      <c r="W143" s="108">
        <v>25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30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19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223</v>
      </c>
      <c r="B144" s="1" t="str">
        <f>VLOOKUP(A144,Xtal_Templ!A:B,2,FALSE)</f>
        <v>fpr2_human</v>
      </c>
      <c r="C144" s="5">
        <f>VLOOKUP($B144&amp;"__wt",'SegEnds_Xtal_BW#'!$A:$Z,3,FALSE)</f>
        <v>25</v>
      </c>
      <c r="D144" s="1">
        <f>VLOOKUP($B144&amp;"__wt",'SegEnds_Xtal_BW#'!$A:$Z,4,FALSE)</f>
        <v>61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58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30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22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48</v>
      </c>
      <c r="AJ144" s="1">
        <f>VLOOKUP(A144,'SegEnds_NonXtal_Prot#'!A:AL,34,FALSE)-VLOOKUP(A144,'SegEnds_NonXtal_Prot#'!A:AL,31,FALSE)</f>
        <v>40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226</v>
      </c>
      <c r="B145" s="1" t="str">
        <f>VLOOKUP(A145,Xtal_Templ!A:B,2,FALSE)</f>
        <v>5ht1b_human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v>38</v>
      </c>
      <c r="P145" s="1">
        <v>63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INDEX(ICL3_classA!$G$2:$G$39,MATCH(MIN(ABS(AI145-ICL3_classA!$F$2:$F$39)),ABS(AI145-ICL3_classA!$F$2:$F$39),0))</f>
        <v>76</v>
      </c>
      <c r="U145" s="1">
        <f t="array" ref="U145">INDEX(ICL3_classA!$H$2:$H$39,MATCH(MIN(ABS(AI145-ICL3_classA!$F$2:$F$39)),ABS(AI145-ICL3_classA!$F$2:$F$39),0))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48</v>
      </c>
      <c r="AI145" s="1">
        <f>VLOOKUP(A145,'SegEnds_NonXtal_Prot#'!A:AL,31,FALSE)-VLOOKUP(A145,'SegEnds_NonXtal_Prot#'!A:AL,28,FALSE)</f>
        <v>85</v>
      </c>
      <c r="AJ145" s="1">
        <f>VLOOKUP(A145,'SegEnds_NonXtal_Prot#'!A:AL,34,FALSE)-VLOOKUP(A145,'SegEnds_NonXtal_Prot#'!A:AL,31,FALSE)</f>
        <v>36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228</v>
      </c>
      <c r="B146" s="1" t="str">
        <f>VLOOKUP(A146,Xtal_Templ!A:B,2,FALSE)</f>
        <v>p2y12_human</v>
      </c>
      <c r="C146" s="5">
        <f>VLOOKUP($B146&amp;"__wt",'SegEnds_Xtal_BW#'!$A:$Z,3,FALSE)</f>
        <v>28</v>
      </c>
      <c r="D146" s="1">
        <f>VLOOKUP($B146&amp;"__wt",'SegEnds_Xtal_BW#'!$A:$Z,4,FALSE)</f>
        <v>60</v>
      </c>
      <c r="E146" s="1" t="str">
        <f>VLOOKUP($B146&amp;"__wt",'SegEnds_Xtal_BW#'!$A:$Z,5,FALSE)</f>
        <v>-</v>
      </c>
      <c r="F146" s="1" t="str">
        <f>VLOOKUP($B146&amp;"__wt",'SegEnds_Xtal_BW#'!$A:$Z,6,FALSE)</f>
        <v>-</v>
      </c>
      <c r="G146" s="1">
        <v>37</v>
      </c>
      <c r="H146" s="12">
        <f>VLOOKUP($B146&amp;"__wt",'SegEnds_Xtal_BW#'!$A:$Z,8,FALSE)</f>
        <v>66</v>
      </c>
      <c r="I146" s="1" t="str">
        <f>VLOOKUP($B146&amp;"__wt",'SegEnds_Xtal_BW#'!$A:$Z,9,FALSE)</f>
        <v>-</v>
      </c>
      <c r="J146" s="1" t="str">
        <f>VLOOKUP($B146&amp;"__wt",'SegEnds_Xtal_BW#'!$A:$Z,10,FALSE)</f>
        <v>-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INDEX(ICL3_classA!$G$2:$G$39,MATCH(MIN(ABS(AI146-ICL3_classA!$F$2:$F$39)),ABS(AI146-ICL3_classA!$F$2:$F$39),0))</f>
        <v>67</v>
      </c>
      <c r="U146" s="1">
        <f t="array" ref="U146">INDEX(ICL3_classA!$H$2:$H$39,MATCH(MIN(ABS(AI146-ICL3_classA!$F$2:$F$39)),ABS(AI146-ICL3_classA!$F$2:$F$39),0))</f>
        <v>26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57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26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47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232</v>
      </c>
      <c r="B147" s="1" t="str">
        <f>VLOOKUP(A147,Xtal_Templ!A:B,2,FALSE)</f>
        <v>apj_human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52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INDEX(ICL3_classA!$G$2:$G$39,MATCH(MIN(ABS(AI147-ICL3_classA!$F$2:$F$39)),ABS(AI147-ICL3_classA!$F$2:$F$39),0))</f>
        <v>68</v>
      </c>
      <c r="U147" s="1">
        <f t="array" ref="U147">INDEX(ICL3_classA!$H$2:$H$39,MATCH(MIN(ABS(AI147-ICL3_classA!$F$2:$F$39)),ABS(AI147-ICL3_classA!$F$2:$F$39),0))</f>
        <v>30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43</v>
      </c>
      <c r="AJ147" s="1">
        <f>VLOOKUP(A147,'SegEnds_NonXtal_Prot#'!A:AL,34,FALSE)-VLOOKUP(A147,'SegEnds_NonXtal_Prot#'!A:AL,31,FALSE)</f>
        <v>44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233</v>
      </c>
      <c r="B148" s="1" t="str">
        <f>VLOOKUP(A148,Xtal_Templ!A:B,2,FALSE)</f>
        <v>ccr5_human</v>
      </c>
      <c r="C148" s="5">
        <f>VLOOKUP($B148&amp;"__wt",'SegEnds_Xtal_BW#'!$A:$Z,3,FALSE)</f>
        <v>24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INDEX(ICL3_classA!$G$2:$G$39,MATCH(MIN(ABS(AI148-ICL3_classA!$F$2:$F$39)),ABS(AI148-ICL3_classA!$F$2:$F$39),0))</f>
        <v>68</v>
      </c>
      <c r="U148" s="1">
        <f t="array" ref="U148">INDEX(ICL3_classA!$H$2:$H$39,MATCH(MIN(ABS(AI148-ICL3_classA!$F$2:$F$39)),ABS(AI148-ICL3_classA!$F$2:$F$39),0))</f>
        <v>23</v>
      </c>
      <c r="V148" s="1">
        <v>64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51</v>
      </c>
      <c r="AJ148" s="1">
        <f>VLOOKUP(A148,'SegEnds_NonXtal_Prot#'!A:AL,34,FALSE)-VLOOKUP(A148,'SegEnds_NonXtal_Prot#'!A:AL,31,FALSE)</f>
        <v>46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236</v>
      </c>
      <c r="B149" s="1" t="str">
        <f>VLOOKUP(A149,Xtal_Templ!A:B,2,FALSE)</f>
        <v>fpr2_human</v>
      </c>
      <c r="C149" s="5">
        <f>VLOOKUP($B149&amp;"__wt",'SegEnds_Xtal_BW#'!$A:$Z,3,FALSE)</f>
        <v>25</v>
      </c>
      <c r="D149" s="1">
        <f>VLOOKUP($B149&amp;"__wt",'SegEnds_Xtal_BW#'!$A:$Z,4,FALSE)</f>
        <v>61</v>
      </c>
      <c r="E149" s="1" t="str">
        <f>VLOOKUP($B149&amp;"__wt",'SegEnds_Xtal_BW#'!$A:$Z,5,FALSE)</f>
        <v>-</v>
      </c>
      <c r="F149" s="1" t="str">
        <f>VLOOKUP($B149&amp;"__wt",'SegEnds_Xtal_BW#'!$A:$Z,6,FALSE)</f>
        <v>-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23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27</v>
      </c>
      <c r="AC149" s="1" t="e">
        <f>VLOOKUP(A149,'SegEnds_NonXtal_Prot#'!A:AL,10,FALSE)-VLOOKUP(A149,'SegEnds_NonXtal_Prot#'!A:AL,7,FALSE)</f>
        <v>#VALUE!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31</v>
      </c>
      <c r="AH149" s="1">
        <f>VLOOKUP(A149,'SegEnds_NonXtal_Prot#'!A:AL,28,FALSE)-VLOOKUP(A149,'SegEnds_NonXtal_Prot#'!A:AL,22,FALSE)</f>
        <v>56</v>
      </c>
      <c r="AI149" s="1">
        <f>VLOOKUP(A149,'SegEnds_NonXtal_Prot#'!A:AL,31,FALSE)-VLOOKUP(A149,'SegEnds_NonXtal_Prot#'!A:AL,28,FALSE)</f>
        <v>43</v>
      </c>
      <c r="AJ149" s="1">
        <f>VLOOKUP(A149,'SegEnds_NonXtal_Prot#'!A:AL,34,FALSE)-VLOOKUP(A149,'SegEnds_NonXtal_Prot#'!A:AL,31,FALSE)</f>
        <v>40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238</v>
      </c>
      <c r="B150" s="1" t="str">
        <f>VLOOKUP(A150,Xtal_Templ!A:B,2,FALSE)</f>
        <v>ccr6_human</v>
      </c>
      <c r="C150" s="5">
        <f>VLOOKUP($B150&amp;"__wt",'SegEnds_Xtal_BW#'!$A:$Z,3,FALSE)</f>
        <v>25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24</v>
      </c>
      <c r="V150" s="1">
        <v>61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62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49</v>
      </c>
      <c r="AI150" s="1">
        <f>VLOOKUP(A150,'SegEnds_NonXtal_Prot#'!A:AL,31,FALSE)-VLOOKUP(A150,'SegEnds_NonXtal_Prot#'!A:AL,28,FALSE)</f>
        <v>49</v>
      </c>
      <c r="AJ150" s="1">
        <f>VLOOKUP(A150,'SegEnds_NonXtal_Prot#'!A:AL,34,FALSE)-VLOOKUP(A150,'SegEnds_NonXtal_Prot#'!A:AL,31,FALSE)</f>
        <v>43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239</v>
      </c>
      <c r="B151" s="1" t="str">
        <f>VLOOKUP(A151,Xtal_Templ!A:B,2,FALSE)</f>
        <v>cltr2_human</v>
      </c>
      <c r="C151" s="5">
        <f>VLOOKUP($B151&amp;"__wt",'SegEnds_Xtal_BW#'!$A:$Z,3,FALSE)</f>
        <v>25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08">
        <v>31</v>
      </c>
      <c r="T151" s="1">
        <f t="array" ref="T151">INDEX(ICL3_classA!$G$2:$G$39,MATCH(MIN(ABS(AI151-ICL3_classA!$F$2:$F$39)),ABS(AI151-ICL3_classA!$F$2:$F$39),0))</f>
        <v>67</v>
      </c>
      <c r="U151" s="1">
        <f t="array" ref="U151">INDEX(ICL3_classA!$H$2:$H$39,MATCH(MIN(ABS(AI151-ICL3_classA!$F$2:$F$39)),ABS(AI151-ICL3_classA!$F$2:$F$39),0))</f>
        <v>26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48</v>
      </c>
      <c r="AI151" s="1">
        <f>VLOOKUP(A151,'SegEnds_NonXtal_Prot#'!A:AL,31,FALSE)-VLOOKUP(A151,'SegEnds_NonXtal_Prot#'!A:AL,28,FALSE)</f>
        <v>46</v>
      </c>
      <c r="AJ151" s="1">
        <f>VLOOKUP(A151,'SegEnds_NonXtal_Prot#'!A:AL,34,FALSE)-VLOOKUP(A151,'SegEnds_NonXtal_Prot#'!A:AL,31,FALSE)</f>
        <v>44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4" t="s">
        <v>241</v>
      </c>
      <c r="B152" s="4" t="str">
        <f>VLOOKUP(A152,Xtal_Templ!A:B,2,FALSE)</f>
        <v>ox2r_human</v>
      </c>
      <c r="C152" s="5">
        <f>VLOOKUP($B152&amp;"__wt",'SegEnds_Xtal_BW#'!$A:$Z,3,FALSE)</f>
        <v>31</v>
      </c>
      <c r="D152" s="4">
        <f>VLOOKUP($B152&amp;"__wt",'SegEnds_Xtal_BW#'!$A:$Z,4,FALSE)</f>
        <v>60</v>
      </c>
      <c r="E152" s="4">
        <f>VLOOKUP($B152&amp;"__wt",'SegEnds_Xtal_BW#'!$A:$Z,5,FALSE)</f>
        <v>48</v>
      </c>
      <c r="F152" s="4">
        <f>VLOOKUP($B152&amp;"__wt",'SegEnds_Xtal_BW#'!$A:$Z,6,FALSE)</f>
        <v>51</v>
      </c>
      <c r="G152" s="4">
        <v>37</v>
      </c>
      <c r="H152" s="12">
        <f>VLOOKUP($B152&amp;"__wt",'SegEnds_Xtal_BW#'!$A:$Z,8,FALSE)</f>
        <v>68</v>
      </c>
      <c r="I152" s="4">
        <f>VLOOKUP($B152&amp;"__wt",'SegEnds_Xtal_BW#'!$A:$Z,9,FALSE)</f>
        <v>49</v>
      </c>
      <c r="J152" s="4">
        <f>VLOOKUP($B152&amp;"__wt",'SegEnds_Xtal_BW#'!$A:$Z,10,FALSE)</f>
        <v>52</v>
      </c>
      <c r="K152" s="11">
        <v>18</v>
      </c>
      <c r="L152" s="4">
        <f>VLOOKUP($B152&amp;"__wt",'SegEnds_Xtal_BW#'!$A:$Z,12,FALSE)</f>
        <v>56</v>
      </c>
      <c r="M152" s="4">
        <f>VLOOKUP($B152&amp;"__wt",'SegEnds_Xtal_BW#'!$A:$Z,13,FALSE)</f>
        <v>50</v>
      </c>
      <c r="N152" s="11">
        <v>53</v>
      </c>
      <c r="O152" s="87">
        <f>VLOOKUP($B152&amp;"__wt",'SegEnds_Xtal_BW#'!$A:$Z,15,FALSE)</f>
        <v>38</v>
      </c>
      <c r="P152" s="4">
        <f>VLOOKUP($B152&amp;"__wt",'SegEnds_Xtal_BW#'!$A:$Z,16,FALSE)</f>
        <v>64</v>
      </c>
      <c r="Q152" s="4">
        <f>VLOOKUP($B152&amp;"__wt",'SegEnds_Xtal_BW#'!$A:$Z,17,FALSE)</f>
        <v>50</v>
      </c>
      <c r="R152" s="4">
        <f>VLOOKUP($B152&amp;"__wt",'SegEnds_Xtal_BW#'!$A:$Z,18,FALSE)</f>
        <v>52</v>
      </c>
      <c r="S152" s="4">
        <f>VLOOKUP($B152&amp;"__wt",'SegEnds_Xtal_BW#'!$A:$Z,19,FALSE)</f>
        <v>33</v>
      </c>
      <c r="T152" s="4">
        <f t="array" ref="T152">INDEX(ICL3_classA!$G$2:$G$39,MATCH(MIN(ABS(AI152-ICL3_classA!$F$2:$F$39)),ABS(AI152-ICL3_classA!$F$2:$F$39),0))</f>
        <v>73</v>
      </c>
      <c r="U152" s="4">
        <f t="array" ref="U152">INDEX(ICL3_classA!$H$2:$H$39,MATCH(MIN(ABS(AI152-ICL3_classA!$F$2:$F$39)),ABS(AI152-ICL3_classA!$F$2:$F$39),0))</f>
        <v>22</v>
      </c>
      <c r="V152" s="4">
        <v>61</v>
      </c>
      <c r="W152" s="4">
        <v>31</v>
      </c>
      <c r="X152" s="4">
        <f>VLOOKUP($B152&amp;"__wt",'SegEnds_Xtal_BW#'!$A:$Z,24,FALSE)</f>
        <v>56</v>
      </c>
      <c r="Y152" s="4">
        <f>VLOOKUP($B152&amp;"__wt",'SegEnds_Xtal_BW#'!$A:$Z,25,FALSE)</f>
        <v>47</v>
      </c>
      <c r="Z152" s="4">
        <f>VLOOKUP($B152&amp;"__wt",'SegEnds_Xtal_BW#'!$A:$Z,26,FALSE)</f>
        <v>63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4">
        <f>VLOOKUP(A152,'SegEnds_NonXtal_Prot#'!A:AL,10,FALSE)-VLOOKUP(A152,'SegEnds_NonXtal_Prot#'!A:AL,7,FALSE)</f>
        <v>15</v>
      </c>
      <c r="AD152" s="4">
        <f>VLOOKUP(A152,'SegEnds_NonXtal_Prot#'!A:AL,13,FALSE)-VLOOKUP(A152,'SegEnds_NonXtal_Prot#'!A:AL,10,FALSE)</f>
        <v>20</v>
      </c>
      <c r="AE152" s="4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18</v>
      </c>
      <c r="AG152" s="4">
        <f>VLOOKUP(A152,'SegEnds_NonXtal_Prot#'!A:AL,28,FALSE)-VLOOKUP(A152,'SegEnds_NonXtal_Prot#'!A:AL,25,FALSE)</f>
        <v>25</v>
      </c>
      <c r="AH152" s="1">
        <f>VLOOKUP(A152,'SegEnds_NonXtal_Prot#'!A:AL,28,FALSE)-VLOOKUP(A152,'SegEnds_NonXtal_Prot#'!A:AL,22,FALSE)</f>
        <v>47</v>
      </c>
      <c r="AI152" s="4">
        <f>VLOOKUP(A152,'SegEnds_NonXtal_Prot#'!A:AL,31,FALSE)-VLOOKUP(A152,'SegEnds_NonXtal_Prot#'!A:AL,28,FALSE)</f>
        <v>56</v>
      </c>
      <c r="AJ152" s="4">
        <f>VLOOKUP(A152,'SegEnds_NonXtal_Prot#'!A:AL,34,FALSE)-VLOOKUP(A152,'SegEnds_NonXtal_Prot#'!A:AL,31,FALSE)</f>
        <v>36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243</v>
      </c>
      <c r="B153" s="1" t="str">
        <f>VLOOKUP(A153,Xtal_Templ!A:B,2,FALSE)</f>
        <v>gpr52_human</v>
      </c>
      <c r="C153" s="5">
        <f>VLOOKUP($B153&amp;"__wt",'SegEnds_Xtal_BW#'!$A:$Z,3,FALSE)</f>
        <v>32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08"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v>38</v>
      </c>
      <c r="P153" s="1">
        <f>VLOOKUP($B153&amp;"__wt",'SegEnds_Xtal_BW#'!$A:$Z,16,FALSE)</f>
        <v>62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INDEX(ICL3_classA!$G$2:$G$39,MATCH(MIN(ABS(AI153-ICL3_classA!$F$2:$F$39)),ABS(AI153-ICL3_classA!$F$2:$F$39),0))</f>
        <v>74</v>
      </c>
      <c r="U153" s="1">
        <f t="array" ref="U153">INDEX(ICL3_classA!$H$2:$H$39,MATCH(MIN(ABS(AI153-ICL3_classA!$F$2:$F$39)),ABS(AI153-ICL3_classA!$F$2:$F$39),0))</f>
        <v>21</v>
      </c>
      <c r="V153" s="1">
        <v>61</v>
      </c>
      <c r="W153" s="1">
        <v>32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67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29</v>
      </c>
      <c r="AC153" s="1">
        <f>VLOOKUP(A153,'SegEnds_NonXtal_Prot#'!A:AL,10,FALSE)-VLOOKUP(A153,'SegEnds_NonXtal_Prot#'!A:AL,7,FALSE)</f>
        <v>16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21</v>
      </c>
      <c r="AH153" s="1">
        <f>VLOOKUP(A153,'SegEnds_NonXtal_Prot#'!A:AL,28,FALSE)-VLOOKUP(A153,'SegEnds_NonXtal_Prot#'!A:AL,22,FALSE)</f>
        <v>48</v>
      </c>
      <c r="AI153" s="1">
        <f>VLOOKUP(A153,'SegEnds_NonXtal_Prot#'!A:AL,31,FALSE)-VLOOKUP(A153,'SegEnds_NonXtal_Prot#'!A:AL,28,FALSE)</f>
        <v>65</v>
      </c>
      <c r="AJ153" s="1">
        <f>VLOOKUP(A153,'SegEnds_NonXtal_Prot#'!A:AL,34,FALSE)-VLOOKUP(A153,'SegEnds_NonXtal_Prot#'!A:AL,31,FALSE)</f>
        <v>34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244</v>
      </c>
      <c r="B154" s="1" t="str">
        <f>VLOOKUP(A154,Xtal_Templ!A:B,2,FALSE)</f>
        <v>hrh1_human</v>
      </c>
      <c r="C154" s="5">
        <f>VLOOKUP($B154&amp;"__wt",'SegEnds_Xtal_BW#'!$A:$Z,3,FALSE)</f>
        <v>34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53</v>
      </c>
      <c r="O154" s="87">
        <f>VLOOKUP($B154&amp;"__wt",'SegEnds_Xtal_BW#'!$A:$Z,15,FALSE)</f>
        <v>38</v>
      </c>
      <c r="P154" s="1">
        <v>63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29</v>
      </c>
      <c r="AC154" s="1">
        <f>VLOOKUP(A154,'SegEnds_NonXtal_Prot#'!A:AL,10,FALSE)-VLOOKUP(A154,'SegEnds_NonXtal_Prot#'!A:AL,7,FALSE)</f>
        <v>16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18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58</v>
      </c>
      <c r="AI154" s="1">
        <f>VLOOKUP(A154,'SegEnds_NonXtal_Prot#'!A:AL,31,FALSE)-VLOOKUP(A154,'SegEnds_NonXtal_Prot#'!A:AL,28,FALSE)</f>
        <v>105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245</v>
      </c>
      <c r="B155" s="1" t="str">
        <f>VLOOKUP(A155,Xtal_Templ!A:B,2,FALSE)</f>
        <v>agtr1_human</v>
      </c>
      <c r="C155" s="5">
        <f>VLOOKUP($B155&amp;"__wt",'SegEnds_Xtal_BW#'!$A:$Z,3,FALSE)</f>
        <v>28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34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28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61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23</v>
      </c>
      <c r="AH155" s="1">
        <f>VLOOKUP(A155,'SegEnds_NonXtal_Prot#'!A:AL,28,FALSE)-VLOOKUP(A155,'SegEnds_NonXtal_Prot#'!A:AL,22,FALSE)</f>
        <v>50</v>
      </c>
      <c r="AI155" s="1">
        <f>VLOOKUP(A155,'SegEnds_NonXtal_Prot#'!A:AL,31,FALSE)-VLOOKUP(A155,'SegEnds_NonXtal_Prot#'!A:AL,28,FALSE)</f>
        <v>45</v>
      </c>
      <c r="AJ155" s="1">
        <f>VLOOKUP(A155,'SegEnds_NonXtal_Prot#'!A:AL,34,FALSE)-VLOOKUP(A155,'SegEnds_NonXtal_Prot#'!A:AL,31,FALSE)</f>
        <v>45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246</v>
      </c>
      <c r="B156" s="1" t="str">
        <f>VLOOKUP(A156,Xtal_Templ!A:B,2,FALSE)</f>
        <v>drd2_human</v>
      </c>
      <c r="C156" s="5">
        <f>VLOOKUP($B156&amp;"__wt",'SegEnds_Xtal_BW#'!$A:$Z,3,FALSE)</f>
        <v>29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68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v>35</v>
      </c>
      <c r="T156" s="1">
        <f t="array" ref="T156">INDEX(ICL3_classA!$G$2:$G$39,MATCH(MIN(ABS(AI156-ICL3_classA!$F$2:$F$39)),ABS(AI156-ICL3_classA!$F$2:$F$39),0))</f>
        <v>76</v>
      </c>
      <c r="U156" s="1">
        <f t="array" ref="U156">INDEX(ICL3_classA!$H$2:$H$39,MATCH(MIN(ABS(AI156-ICL3_classA!$F$2:$F$39)),ABS(AI156-ICL3_classA!$F$2:$F$39),0))</f>
        <v>24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>
        <f>VLOOKUP(A156,'SegEnds_NonXtal_Prot#'!A:AL,10,FALSE)-VLOOKUP(A156,'SegEnds_NonXtal_Prot#'!A:AL,7,FALSE)</f>
        <v>16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25</v>
      </c>
      <c r="AH156" s="1">
        <f>VLOOKUP(A156,'SegEnds_NonXtal_Prot#'!A:AL,28,FALSE)-VLOOKUP(A156,'SegEnds_NonXtal_Prot#'!A:AL,22,FALSE)</f>
        <v>53</v>
      </c>
      <c r="AI156" s="1">
        <f>VLOOKUP(A156,'SegEnds_NonXtal_Prot#'!A:AL,31,FALSE)-VLOOKUP(A156,'SegEnds_NonXtal_Prot#'!A:AL,28,FALSE)</f>
        <v>72</v>
      </c>
      <c r="AJ156" s="1">
        <f>VLOOKUP(A156,'SegEnds_NonXtal_Prot#'!A:AL,34,FALSE)-VLOOKUP(A156,'SegEnds_NonXtal_Prot#'!A:AL,31,FALSE)</f>
        <v>35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249</v>
      </c>
      <c r="B157" s="1" t="str">
        <f>VLOOKUP(A157,Xtal_Templ!A:B,2,FALSE)</f>
        <v>oprd_human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31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42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251</v>
      </c>
      <c r="B158" s="1" t="str">
        <f>VLOOKUP(A158,Xtal_Templ!A:B,2,FALSE)</f>
        <v>fpr2_human</v>
      </c>
      <c r="C158" s="5">
        <f>VLOOKUP($B158&amp;"__wt",'SegEnds_Xtal_BW#'!$A:$Z,3,FALSE)</f>
        <v>25</v>
      </c>
      <c r="D158" s="1">
        <f>VLOOKUP($B158&amp;"__wt",'SegEnds_Xtal_BW#'!$A:$Z,4,FALSE)</f>
        <v>61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23</v>
      </c>
      <c r="T158" s="1">
        <f t="array" ref="T158">INDEX(ICL3_classA!$G$2:$G$39,MATCH(MIN(ABS(AI158-ICL3_classA!$F$2:$F$39)),ABS(AI158-ICL3_classA!$F$2:$F$39),0))</f>
        <v>68</v>
      </c>
      <c r="U158" s="1">
        <f t="array" ref="U158">INDEX(ICL3_classA!$H$2:$H$39,MATCH(MIN(ABS(AI158-ICL3_classA!$F$2:$F$39)),ABS(AI158-ICL3_classA!$F$2:$F$39),0))</f>
        <v>30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58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27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38</v>
      </c>
      <c r="AH158" s="1">
        <f>VLOOKUP(A158,'SegEnds_NonXtal_Prot#'!A:AL,28,FALSE)-VLOOKUP(A158,'SegEnds_NonXtal_Prot#'!A:AL,22,FALSE)</f>
        <v>64</v>
      </c>
      <c r="AI158" s="1">
        <f>VLOOKUP(A158,'SegEnds_NonXtal_Prot#'!A:AL,31,FALSE)-VLOOKUP(A158,'SegEnds_NonXtal_Prot#'!A:AL,28,FALSE)</f>
        <v>43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252</v>
      </c>
      <c r="B159" s="1" t="str">
        <f>VLOOKUP(A159,Xtal_Templ!A:B,2,FALSE)</f>
        <v>cltr2_human</v>
      </c>
      <c r="C159" s="5">
        <f>VLOOKUP($B159&amp;"__wt",'SegEnds_Xtal_BW#'!$A:$Z,3,FALSE)</f>
        <v>25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32</v>
      </c>
      <c r="T159" s="1">
        <f t="array" ref="T159">INDEX(ICL3_classA!$G$2:$G$39,MATCH(MIN(ABS(AI159-ICL3_classA!$F$2:$F$39)),ABS(AI159-ICL3_classA!$F$2:$F$39),0))</f>
        <v>68</v>
      </c>
      <c r="U159" s="1">
        <f t="array" ref="U159">INDEX(ICL3_classA!$H$2:$H$39,MATCH(MIN(ABS(AI159-ICL3_classA!$F$2:$F$39)),ABS(AI159-ICL3_classA!$F$2:$F$39),0))</f>
        <v>23</v>
      </c>
      <c r="V159" s="1">
        <v>61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 t="e">
        <f>VLOOKUP(A159,'SegEnds_NonXtal_Prot#'!A:AL,10,FALSE)-VLOOKUP(A159,'SegEnds_NonXtal_Prot#'!A:AL,7,FALSE)</f>
        <v>#VALUE!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51</v>
      </c>
      <c r="AJ159" s="1">
        <f>VLOOKUP(A159,'SegEnds_NonXtal_Prot#'!A:AL,34,FALSE)-VLOOKUP(A159,'SegEnds_NonXtal_Prot#'!A:AL,31,FALSE)</f>
        <v>43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254</v>
      </c>
      <c r="B160" s="1" t="str">
        <f>VLOOKUP(A160,Xtal_Templ!A:B,2,FALSE)</f>
        <v>ednrb_human</v>
      </c>
      <c r="C160" s="5">
        <f>VLOOKUP($B160&amp;"__wt",'SegEnds_Xtal_BW#'!$A:$Z,3,FALSE)</f>
        <v>22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52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28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24</v>
      </c>
      <c r="V160" s="1">
        <v>61</v>
      </c>
      <c r="W160" s="128">
        <f>VLOOKUP($B160&amp;"__wt",'SegEnds_Xtal_BW#'!$A:$Z,23,FALSE)</f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35</v>
      </c>
      <c r="AH160" s="1">
        <f>VLOOKUP(A160,'SegEnds_NonXtal_Prot#'!A:AL,28,FALSE)-VLOOKUP(A160,'SegEnds_NonXtal_Prot#'!A:AL,22,FALSE)</f>
        <v>67</v>
      </c>
      <c r="AI160" s="1">
        <f>VLOOKUP(A160,'SegEnds_NonXtal_Prot#'!A:AL,31,FALSE)-VLOOKUP(A160,'SegEnds_NonXtal_Prot#'!A:AL,28,FALSE)</f>
        <v>53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256</v>
      </c>
      <c r="B161" s="1" t="str">
        <f>VLOOKUP(A161,Xtal_Templ!A:B,2,FALSE)</f>
        <v>ptafr_human</v>
      </c>
      <c r="C161" s="5">
        <f>VLOOKUP($B161&amp;"__wt",'SegEnds_Xtal_BW#'!$A:$Z,3,FALSE)</f>
        <v>27</v>
      </c>
      <c r="D161" s="1">
        <f>VLOOKUP($B161&amp;"__wt",'SegEnds_Xtal_BW#'!$A:$Z,4,FALSE)</f>
        <v>61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INDEX(ICL3_classA!$G$2:$G$39,MATCH(MIN(ABS(AI161-ICL3_classA!$F$2:$F$39)),ABS(AI161-ICL3_classA!$F$2:$F$39),0))</f>
        <v>67</v>
      </c>
      <c r="U161" s="1">
        <f t="array" ref="U161">INDEX(ICL3_classA!$H$2:$H$39,MATCH(MIN(ABS(AI161-ICL3_classA!$F$2:$F$39)),ABS(AI161-ICL3_classA!$F$2:$F$39),0))</f>
        <v>26</v>
      </c>
      <c r="V161" s="1">
        <v>64</v>
      </c>
      <c r="W161" s="1">
        <v>24</v>
      </c>
      <c r="X161" s="1">
        <f>VLOOKUP($B161&amp;"__wt",'SegEnds_Xtal_BW#'!$A:$Z,24,FALSE)</f>
        <v>59</v>
      </c>
      <c r="Y161" s="1">
        <f>VLOOKUP($B161&amp;"__wt",'SegEnds_Xtal_BW#'!$A:$Z,25,FALSE)</f>
        <v>50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 t="e">
        <f>VLOOKUP(A161,'SegEnds_NonXtal_Prot#'!A:AL,10,FALSE)-VLOOKUP(A161,'SegEnds_NonXtal_Prot#'!A:AL,7,FALSE)</f>
        <v>#VALUE!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51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257</v>
      </c>
      <c r="B162" s="1" t="str">
        <f>VLOOKUP(A162,Xtal_Templ!A:B,2,FALSE)</f>
        <v>par1_human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32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28</v>
      </c>
      <c r="V162" s="1">
        <v>61</v>
      </c>
      <c r="W162" s="1">
        <v>33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29</v>
      </c>
      <c r="AC162" s="1" t="e">
        <f>VLOOKUP(A162,'SegEnds_NonXtal_Prot#'!A:AL,10,FALSE)-VLOOKUP(A162,'SegEnds_NonXtal_Prot#'!A:AL,7,FALSE)</f>
        <v>#VALUE!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27</v>
      </c>
      <c r="AH162" s="1">
        <f>VLOOKUP(A162,'SegEnds_NonXtal_Prot#'!A:AL,28,FALSE)-VLOOKUP(A162,'SegEnds_NonXtal_Prot#'!A:AL,22,FALSE)</f>
        <v>56</v>
      </c>
      <c r="AI162" s="1">
        <f>VLOOKUP(A162,'SegEnds_NonXtal_Prot#'!A:AL,31,FALSE)-VLOOKUP(A162,'SegEnds_NonXtal_Prot#'!A:AL,28,FALSE)</f>
        <v>44</v>
      </c>
      <c r="AJ162" s="1">
        <f>VLOOKUP(A162,'SegEnds_NonXtal_Prot#'!A:AL,34,FALSE)-VLOOKUP(A162,'SegEnds_NonXtal_Prot#'!A:AL,31,FALSE)</f>
        <v>33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258</v>
      </c>
      <c r="B163" s="1" t="str">
        <f>VLOOKUP(A163,Xtal_Templ!A:B,2,FALSE)</f>
        <v>drd2_human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58</v>
      </c>
      <c r="O163" s="87">
        <v>38</v>
      </c>
      <c r="P163" s="1">
        <f>VLOOKUP($B163&amp;"__wt",'SegEnds_Xtal_BW#'!$A:$Z,16,FALSE)</f>
        <v>62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INDEX(ICL3_classA!$G$2:$G$39,MATCH(MIN(ABS(AI163-ICL3_classA!$F$2:$F$39)),ABS(AI163-ICL3_classA!$F$2:$F$39),0))</f>
        <v>76</v>
      </c>
      <c r="U163" s="1">
        <f t="array" ref="U163">INDEX(ICL3_classA!$H$2:$H$39,MATCH(MIN(ABS(AI163-ICL3_classA!$F$2:$F$39)),ABS(AI163-ICL3_classA!$F$2:$F$39),0))</f>
        <v>24</v>
      </c>
      <c r="V163" s="1">
        <v>61</v>
      </c>
      <c r="W163" s="128">
        <f>VLOOKUP($B163&amp;"__wt",'SegEnds_Xtal_BW#'!$A:$Z,23,FALSE)</f>
        <v>31</v>
      </c>
      <c r="X163" s="123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>
        <f>VLOOKUP(A163,'SegEnds_NonXtal_Prot#'!A:AL,28,FALSE)-VLOOKUP(A163,'SegEnds_NonXtal_Prot#'!A:AL,25,FALSE)</f>
        <v>25</v>
      </c>
      <c r="AH163" s="1">
        <f>VLOOKUP(A163,'SegEnds_NonXtal_Prot#'!A:AL,28,FALSE)-VLOOKUP(A163,'SegEnds_NonXtal_Prot#'!A:AL,22,FALSE)</f>
        <v>51</v>
      </c>
      <c r="AI163" s="1">
        <f>VLOOKUP(A163,'SegEnds_NonXtal_Prot#'!A:AL,31,FALSE)-VLOOKUP(A163,'SegEnds_NonXtal_Prot#'!A:AL,28,FALSE)</f>
        <v>75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259</v>
      </c>
      <c r="B164" s="1" t="str">
        <f>VLOOKUP(A164,Xtal_Templ!A:B,2,FALSE)</f>
        <v>gpr52_human</v>
      </c>
      <c r="C164" s="5">
        <f>VLOOKUP($B164&amp;"__wt",'SegEnds_Xtal_BW#'!$A:$Z,3,FALSE)</f>
        <v>32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52</v>
      </c>
      <c r="G164" s="1">
        <v>37</v>
      </c>
      <c r="H164" s="108">
        <v>67</v>
      </c>
      <c r="I164" s="1" t="str">
        <f>VLOOKUP($B164&amp;"__wt",'SegEnds_Xtal_BW#'!$A:$Z,9,FALSE)</f>
        <v>-</v>
      </c>
      <c r="J164" s="1" t="str">
        <f>VLOOKUP($B164&amp;"__wt",'SegEnds_Xtal_BW#'!$A:$Z,10,FALSE)</f>
        <v>-</v>
      </c>
      <c r="K164" s="108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08">
        <v>36</v>
      </c>
      <c r="T164" s="1">
        <f t="array" ref="T164">INDEX(ICL3_classA!$G$2:$G$39,MATCH(MIN(ABS(AI164-ICL3_classA!$F$2:$F$39)),ABS(AI164-ICL3_classA!$F$2:$F$39),0))</f>
        <v>74</v>
      </c>
      <c r="U164" s="1">
        <f t="array" ref="U164">INDEX(ICL3_classA!$H$2:$H$39,MATCH(MIN(ABS(AI164-ICL3_classA!$F$2:$F$39)),ABS(AI164-ICL3_classA!$F$2:$F$39),0))</f>
        <v>21</v>
      </c>
      <c r="V164" s="1">
        <v>61</v>
      </c>
      <c r="W164" s="108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67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>
        <f>VLOOKUP(A164,'SegEnds_NonXtal_Prot#'!A:AL,10,FALSE)-VLOOKUP(A164,'SegEnds_NonXtal_Prot#'!A:AL,7,FALSE)</f>
        <v>16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21</v>
      </c>
      <c r="AH164" s="1">
        <f>VLOOKUP(A164,'SegEnds_NonXtal_Prot#'!A:AL,28,FALSE)-VLOOKUP(A164,'SegEnds_NonXtal_Prot#'!A:AL,22,FALSE)</f>
        <v>48</v>
      </c>
      <c r="AI164" s="1">
        <f>VLOOKUP(A164,'SegEnds_NonXtal_Prot#'!A:AL,31,FALSE)-VLOOKUP(A164,'SegEnds_NonXtal_Prot#'!A:AL,28,FALSE)</f>
        <v>66</v>
      </c>
      <c r="AJ164" s="1">
        <f>VLOOKUP(A164,'SegEnds_NonXtal_Prot#'!A:AL,34,FALSE)-VLOOKUP(A164,'SegEnds_NonXtal_Prot#'!A:AL,31,FALSE)</f>
        <v>34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264</v>
      </c>
      <c r="B165" s="1" t="str">
        <f>VLOOKUP(A165,Xtal_Templ!A:B,2,FALSE)</f>
        <v>5ht2c_human</v>
      </c>
      <c r="C165" s="5">
        <f>VLOOKUP($B165&amp;"__wt",'SegEnds_Xtal_BW#'!$A:$Z,3,FALSE)</f>
        <v>33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57</v>
      </c>
      <c r="O165" s="87">
        <v>38</v>
      </c>
      <c r="P165" s="1">
        <f>VLOOKUP($B165&amp;"__wt",'SegEnds_Xtal_BW#'!$A:$Z,16,FALSE)</f>
        <v>67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76</v>
      </c>
      <c r="U165" s="1">
        <f t="array" ref="U165">INDEX(ICL3_classA!$H$2:$H$39,MATCH(MIN(ABS(AI165-ICL3_classA!$F$2:$F$39)),ABS(AI165-ICL3_classA!$F$2:$F$39),0))</f>
        <v>24</v>
      </c>
      <c r="V165" s="1">
        <v>61</v>
      </c>
      <c r="W165" s="128">
        <f>VLOOKUP($B165&amp;"__wt",'SegEnds_Xtal_BW#'!$A:$Z,23,FALSE)</f>
        <v>27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60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 t="e">
        <f>VLOOKUP(A165,'SegEnds_NonXtal_Prot#'!A:AL,22,FALSE)-VLOOKUP(A165,'SegEnds_NonXtal_Prot#'!A:AL,19,FALSE)</f>
        <v>#VALUE!</v>
      </c>
      <c r="AG165" s="1">
        <f>VLOOKUP(A165,'SegEnds_NonXtal_Prot#'!A:AL,28,FALSE)-VLOOKUP(A165,'SegEnds_NonXtal_Prot#'!A:AL,25,FALSE)</f>
        <v>25</v>
      </c>
      <c r="AH165" s="1">
        <f>VLOOKUP(A165,'SegEnds_NonXtal_Prot#'!A:AL,28,FALSE)-VLOOKUP(A165,'SegEnds_NonXtal_Prot#'!A:AL,22,FALSE)</f>
        <v>51</v>
      </c>
      <c r="AI165" s="1">
        <f>VLOOKUP(A165,'SegEnds_NonXtal_Prot#'!A:AL,31,FALSE)-VLOOKUP(A165,'SegEnds_NonXtal_Prot#'!A:AL,28,FALSE)</f>
        <v>75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266</v>
      </c>
      <c r="B166" s="1" t="str">
        <f>VLOOKUP(A166,Xtal_Templ!A:B,2,FALSE)</f>
        <v>drd2_human</v>
      </c>
      <c r="C166" s="5">
        <f>VLOOKUP($B166&amp;"__wt",'SegEnds_Xtal_BW#'!$A:$Z,3,FALSE)</f>
        <v>29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INDEX(ICL3_classA!$G$2:$G$39,MATCH(MIN(ABS(AI166-ICL3_classA!$F$2:$F$39)),ABS(AI166-ICL3_classA!$F$2:$F$39),0))</f>
        <v>76</v>
      </c>
      <c r="U166" s="1">
        <f t="array" ref="U166">INDEX(ICL3_classA!$H$2:$H$39,MATCH(MIN(ABS(AI166-ICL3_classA!$F$2:$F$39)),ABS(AI166-ICL3_classA!$F$2:$F$39),0))</f>
        <v>24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29</v>
      </c>
      <c r="AC166" s="1">
        <f>VLOOKUP(A166,'SegEnds_NonXtal_Prot#'!A:AL,10,FALSE)-VLOOKUP(A166,'SegEnds_NonXtal_Prot#'!A:AL,7,FALSE)</f>
        <v>16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28</v>
      </c>
      <c r="AH166" s="1">
        <f>VLOOKUP(A166,'SegEnds_NonXtal_Prot#'!A:AL,28,FALSE)-VLOOKUP(A166,'SegEnds_NonXtal_Prot#'!A:AL,22,FALSE)</f>
        <v>53</v>
      </c>
      <c r="AI166" s="1">
        <f>VLOOKUP(A166,'SegEnds_NonXtal_Prot#'!A:AL,31,FALSE)-VLOOKUP(A166,'SegEnds_NonXtal_Prot#'!A:AL,28,FALSE)</f>
        <v>72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268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56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33</v>
      </c>
      <c r="T167" s="1">
        <f t="array" ref="T167">INDEX(ICL3_classA!$G$2:$G$39,MATCH(MIN(ABS(AI167-ICL3_classA!$F$2:$F$39)),ABS(AI167-ICL3_classA!$F$2:$F$39),0))</f>
        <v>73</v>
      </c>
      <c r="U167" s="1">
        <f t="array" ref="U167">INDEX(ICL3_classA!$H$2:$H$39,MATCH(MIN(ABS(AI167-ICL3_classA!$F$2:$F$39)),ABS(AI167-ICL3_classA!$F$2:$F$39),0))</f>
        <v>22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 t="e">
        <f>VLOOKUP(A167,'SegEnds_NonXtal_Prot#'!A:AL,22,FALSE)-VLOOKUP(A167,'SegEnds_NonXtal_Prot#'!A:AL,19,FALSE)</f>
        <v>#VALUE!</v>
      </c>
      <c r="AG167" s="1">
        <f>VLOOKUP(A167,'SegEnds_NonXtal_Prot#'!A:AL,28,FALSE)-VLOOKUP(A167,'SegEnds_NonXtal_Prot#'!A:AL,25,FALSE)</f>
        <v>27</v>
      </c>
      <c r="AH167" s="1">
        <f>VLOOKUP(A167,'SegEnds_NonXtal_Prot#'!A:AL,28,FALSE)-VLOOKUP(A167,'SegEnds_NonXtal_Prot#'!A:AL,22,FALSE)</f>
        <v>57</v>
      </c>
      <c r="AI167" s="1">
        <f>VLOOKUP(A167,'SegEnds_NonXtal_Prot#'!A:AL,31,FALSE)-VLOOKUP(A167,'SegEnds_NonXtal_Prot#'!A:AL,28,FALSE)</f>
        <v>56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269</v>
      </c>
      <c r="B168" s="1" t="str">
        <f>VLOOKUP(A168,Xtal_Templ!A:B,2,FALSE)</f>
        <v>5ht2a_human</v>
      </c>
      <c r="C168" s="5">
        <f>VLOOKUP($B168&amp;"__wt",'SegEnds_Xtal_BW#'!$A:$Z,3,FALSE)</f>
        <v>27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67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24</v>
      </c>
      <c r="V168" s="1">
        <v>61</v>
      </c>
      <c r="W168" s="1">
        <v>33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67</v>
      </c>
      <c r="AH168" s="1">
        <f>VLOOKUP(A168,'SegEnds_NonXtal_Prot#'!A:AL,28,FALSE)-VLOOKUP(A168,'SegEnds_NonXtal_Prot#'!A:AL,22,FALSE)</f>
        <v>90</v>
      </c>
      <c r="AI168" s="1">
        <f>VLOOKUP(A168,'SegEnds_NonXtal_Prot#'!A:AL,31,FALSE)-VLOOKUP(A168,'SegEnds_NonXtal_Prot#'!A:AL,28,FALSE)</f>
        <v>99</v>
      </c>
      <c r="AJ168" s="1">
        <f>VLOOKUP(A168,'SegEnds_NonXtal_Prot#'!A:AL,34,FALSE)-VLOOKUP(A168,'SegEnds_NonXtal_Prot#'!A:AL,31,FALSE)</f>
        <v>33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271</v>
      </c>
      <c r="B169" s="1" t="str">
        <f>VLOOKUP(A169,Xtal_Templ!A:B,2,FALSE)</f>
        <v>p2y12_human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 t="str">
        <f>VLOOKUP($B169&amp;"__wt",'SegEnds_Xtal_BW#'!$A:$Z,9,FALSE)</f>
        <v>-</v>
      </c>
      <c r="J169" s="1" t="str">
        <f>VLOOKUP($B169&amp;"__wt",'SegEnds_Xtal_BW#'!$A:$Z,10,FALSE)</f>
        <v>-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24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57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27</v>
      </c>
      <c r="AC169" s="1" t="e">
        <f>VLOOKUP(A169,'SegEnds_NonXtal_Prot#'!A:AL,10,FALSE)-VLOOKUP(A169,'SegEnds_NonXtal_Prot#'!A:AL,7,FALSE)</f>
        <v>#VALUE!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52</v>
      </c>
      <c r="AI169" s="1">
        <f>VLOOKUP(A169,'SegEnds_NonXtal_Prot#'!A:AL,31,FALSE)-VLOOKUP(A169,'SegEnds_NonXtal_Prot#'!A:AL,28,FALSE)</f>
        <v>49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273</v>
      </c>
      <c r="B170" s="1" t="str">
        <f>VLOOKUP(A170,Xtal_Templ!A:B,2,FALSE)</f>
        <v>ednrb_human</v>
      </c>
      <c r="C170" s="5">
        <f>VLOOKUP($B170&amp;"__wt",'SegEnds_Xtal_BW#'!$A:$Z,3,FALSE)</f>
        <v>22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52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28</v>
      </c>
      <c r="T170" s="1">
        <f t="array" ref="T170">INDEX(ICL3_classA!$G$2:$G$39,MATCH(MIN(ABS(AI170-ICL3_classA!$F$2:$F$39)),ABS(AI170-ICL3_classA!$F$2:$F$39),0))</f>
        <v>73</v>
      </c>
      <c r="U170" s="1">
        <f t="array" ref="U170">INDEX(ICL3_classA!$H$2:$H$39,MATCH(MIN(ABS(AI170-ICL3_classA!$F$2:$F$39)),ABS(AI170-ICL3_classA!$F$2:$F$39),0))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60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57</v>
      </c>
      <c r="AJ170" s="1">
        <f>VLOOKUP(A170,'SegEnds_NonXtal_Prot#'!A:AL,34,FALSE)-VLOOKUP(A170,'SegEnds_NonXtal_Prot#'!A:AL,31,FALSE)</f>
        <v>40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274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INDEX(ICL3_classA!$G$2:$G$39,MATCH(MIN(ABS(AI171-ICL3_classA!$F$2:$F$39)),ABS(AI171-ICL3_classA!$F$2:$F$39),0))</f>
        <v>67</v>
      </c>
      <c r="U171" s="1">
        <f t="array" ref="U171">INDEX(ICL3_classA!$H$2:$H$39,MATCH(MIN(ABS(AI171-ICL3_classA!$F$2:$F$39)),ABS(AI171-ICL3_classA!$F$2:$F$39),0))</f>
        <v>26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 t="e">
        <f>VLOOKUP(A171,'SegEnds_NonXtal_Prot#'!A:AL,10,FALSE)-VLOOKUP(A171,'SegEnds_NonXtal_Prot#'!A:AL,7,FALSE)</f>
        <v>#VALUE!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23</v>
      </c>
      <c r="AH171" s="1">
        <f>VLOOKUP(A171,'SegEnds_NonXtal_Prot#'!A:AL,28,FALSE)-VLOOKUP(A171,'SegEnds_NonXtal_Prot#'!A:AL,22,FALSE)</f>
        <v>48</v>
      </c>
      <c r="AI171" s="1">
        <f>VLOOKUP(A171,'SegEnds_NonXtal_Prot#'!A:AL,31,FALSE)-VLOOKUP(A171,'SegEnds_NonXtal_Prot#'!A:AL,28,FALSE)</f>
        <v>47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275</v>
      </c>
      <c r="B172" s="1" t="str">
        <f>VLOOKUP(A172,Xtal_Templ!A:B,2,FALSE)</f>
        <v>cltr2_human</v>
      </c>
      <c r="C172" s="5">
        <f>VLOOKUP($B172&amp;"__wt",'SegEnds_Xtal_BW#'!$A:$Z,3,FALSE)</f>
        <v>25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63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INDEX(ICL3_classA!$G$2:$G$39,MATCH(MIN(ABS(AI172-ICL3_classA!$F$2:$F$39)),ABS(AI172-ICL3_classA!$F$2:$F$39),0))</f>
        <v>67</v>
      </c>
      <c r="U172" s="1">
        <f t="array" ref="U172">INDEX(ICL3_classA!$H$2:$H$39,MATCH(MIN(ABS(AI172-ICL3_classA!$F$2:$F$39)),ABS(AI172-ICL3_classA!$F$2:$F$39),0))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60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 t="e">
        <f>VLOOKUP(A172,'SegEnds_NonXtal_Prot#'!A:AL,10,FALSE)-VLOOKUP(A172,'SegEnds_NonXtal_Prot#'!A:AL,7,FALSE)</f>
        <v>#VALUE!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23</v>
      </c>
      <c r="AH172" s="1">
        <f>VLOOKUP(A172,'SegEnds_NonXtal_Prot#'!A:AL,28,FALSE)-VLOOKUP(A172,'SegEnds_NonXtal_Prot#'!A:AL,22,FALSE)</f>
        <v>48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276</v>
      </c>
      <c r="B173" s="1" t="str">
        <f>VLOOKUP(A173,Xtal_Templ!A:B,2,FALSE)</f>
        <v>p2ry1_human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INDEX(ICL3_classA!$G$2:$G$39,MATCH(MIN(ABS(AI173-ICL3_classA!$F$2:$F$39)),ABS(AI173-ICL3_classA!$F$2:$F$39),0))</f>
        <v>67</v>
      </c>
      <c r="U173" s="1">
        <f t="array" ref="U173">INDEX(ICL3_classA!$H$2:$H$39,MATCH(MIN(ABS(AI173-ICL3_classA!$F$2:$F$39)),ABS(AI173-ICL3_classA!$F$2:$F$39),0))</f>
        <v>26</v>
      </c>
      <c r="V173" s="1">
        <v>64</v>
      </c>
      <c r="W173" s="1">
        <v>24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23</v>
      </c>
      <c r="AH173" s="1">
        <f>VLOOKUP(A173,'SegEnds_NonXtal_Prot#'!A:AL,28,FALSE)-VLOOKUP(A173,'SegEnds_NonXtal_Prot#'!A:AL,22,FALSE)</f>
        <v>48</v>
      </c>
      <c r="AI173" s="1">
        <f>VLOOKUP(A173,'SegEnds_NonXtal_Prot#'!A:AL,31,FALSE)-VLOOKUP(A173,'SegEnds_NonXtal_Prot#'!A:AL,28,FALSE)</f>
        <v>46</v>
      </c>
      <c r="AJ173" s="1">
        <f>VLOOKUP(A173,'SegEnds_NonXtal_Prot#'!A:AL,34,FALSE)-VLOOKUP(A173,'SegEnds_NonXtal_Prot#'!A:AL,31,FALSE)</f>
        <v>45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277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INDEX(ICL3_classA!$G$2:$G$39,MATCH(MIN(ABS(AI174-ICL3_classA!$F$2:$F$39)),ABS(AI174-ICL3_classA!$F$2:$F$39),0))</f>
        <v>76</v>
      </c>
      <c r="U174" s="1">
        <f t="array" ref="U174">INDEX(ICL3_classA!$H$2:$H$39,MATCH(MIN(ABS(AI174-ICL3_classA!$F$2:$F$39)),ABS(AI174-ICL3_classA!$F$2:$F$39),0))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22</v>
      </c>
      <c r="AH174" s="1">
        <f>VLOOKUP(A174,'SegEnds_NonXtal_Prot#'!A:AL,28,FALSE)-VLOOKUP(A174,'SegEnds_NonXtal_Prot#'!A:AL,22,FALSE)</f>
        <v>50</v>
      </c>
      <c r="AI174" s="1">
        <f>VLOOKUP(A174,'SegEnds_NonXtal_Prot#'!A:AL,31,FALSE)-VLOOKUP(A174,'SegEnds_NonXtal_Prot#'!A:AL,28,FALSE)</f>
        <v>228</v>
      </c>
      <c r="AJ174" s="1">
        <f>VLOOKUP(A174,'SegEnds_NonXtal_Prot#'!A:AL,34,FALSE)-VLOOKUP(A174,'SegEnds_NonXtal_Prot#'!A:AL,31,FALSE)</f>
        <v>35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Xtal</v>
      </c>
    </row>
    <row r="175" spans="1:38" x14ac:dyDescent="0.2">
      <c r="A175" s="1" t="s">
        <v>278</v>
      </c>
      <c r="B175" s="1" t="str">
        <f>VLOOKUP(A175,Xtal_Templ!A:B,2,FALSE)</f>
        <v>ada2c_human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62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v>35</v>
      </c>
      <c r="T175" s="1">
        <f t="array" ref="T175">INDEX(ICL3_classA!$G$2:$G$39,MATCH(MIN(ABS(AI175-ICL3_classA!$F$2:$F$39)),ABS(AI175-ICL3_classA!$F$2:$F$39),0))</f>
        <v>73</v>
      </c>
      <c r="U175" s="1">
        <f t="array" ref="U175">INDEX(ICL3_classA!$H$2:$H$39,MATCH(MIN(ABS(AI175-ICL3_classA!$F$2:$F$39)),ABS(AI175-ICL3_classA!$F$2:$F$39),0))</f>
        <v>22</v>
      </c>
      <c r="V175" s="1">
        <v>61</v>
      </c>
      <c r="W175" s="1">
        <v>31</v>
      </c>
      <c r="X175" s="108"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20</v>
      </c>
      <c r="AH175" s="1">
        <f>VLOOKUP(A175,'SegEnds_NonXtal_Prot#'!A:AL,28,FALSE)-VLOOKUP(A175,'SegEnds_NonXtal_Prot#'!A:AL,22,FALSE)</f>
        <v>51</v>
      </c>
      <c r="AI175" s="1">
        <f>VLOOKUP(A175,'SegEnds_NonXtal_Prot#'!A:AL,31,FALSE)-VLOOKUP(A175,'SegEnds_NonXtal_Prot#'!A:AL,28,FALSE)</f>
        <v>55</v>
      </c>
      <c r="AJ175" s="1">
        <f>VLOOKUP(A175,'SegEnds_NonXtal_Prot#'!A:AL,34,FALSE)-VLOOKUP(A175,'SegEnds_NonXtal_Prot#'!A:AL,31,FALSE)</f>
        <v>36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279</v>
      </c>
      <c r="B176" s="1" t="str">
        <f>VLOOKUP(A176,Xtal_Templ!A:B,2,FALSE)</f>
        <v>acm5_human</v>
      </c>
      <c r="C176" s="5">
        <f>VLOOKUP($B176&amp;"__wt",'SegEnds_Xtal_BW#'!$A:$Z,3,FALSE)</f>
        <v>28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68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58</v>
      </c>
      <c r="O176" s="87">
        <f>VLOOKUP($B176&amp;"__wt",'SegEnds_Xtal_BW#'!$A:$Z,15,FALSE)</f>
        <v>38</v>
      </c>
      <c r="P176" s="1">
        <v>63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v>35</v>
      </c>
      <c r="T176" s="1">
        <f t="array" ref="T176">INDEX(ICL3_classA!$G$2:$G$39,MATCH(MIN(ABS(AI176-ICL3_classA!$F$2:$F$39)),ABS(AI176-ICL3_classA!$F$2:$F$39),0))</f>
        <v>75</v>
      </c>
      <c r="U176" s="1">
        <f t="array" ref="U176">INDEX(ICL3_classA!$H$2:$H$39,MATCH(MIN(ABS(AI176-ICL3_classA!$F$2:$F$39)),ABS(AI176-ICL3_classA!$F$2:$F$39),0))</f>
        <v>24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21</v>
      </c>
      <c r="AG176" s="1">
        <f>VLOOKUP(A176,'SegEnds_NonXtal_Prot#'!A:AL,28,FALSE)-VLOOKUP(A176,'SegEnds_NonXtal_Prot#'!A:AL,25,FALSE)</f>
        <v>22</v>
      </c>
      <c r="AH176" s="1">
        <f>VLOOKUP(A176,'SegEnds_NonXtal_Prot#'!A:AL,28,FALSE)-VLOOKUP(A176,'SegEnds_NonXtal_Prot#'!A:AL,22,FALSE)</f>
        <v>50</v>
      </c>
      <c r="AI176" s="1">
        <f>VLOOKUP(A176,'SegEnds_NonXtal_Prot#'!A:AL,31,FALSE)-VLOOKUP(A176,'SegEnds_NonXtal_Prot#'!A:AL,28,FALSE)</f>
        <v>163</v>
      </c>
      <c r="AJ176" s="1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281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74</v>
      </c>
      <c r="U177" s="1">
        <f t="array" ref="U177">INDEX(ICL3_classA!$H$2:$H$39,MATCH(MIN(ABS(AI177-ICL3_classA!$F$2:$F$39)),ABS(AI177-ICL3_classA!$F$2:$F$39),0))</f>
        <v>21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49</v>
      </c>
      <c r="AI177" s="1">
        <f>VLOOKUP(A177,'SegEnds_NonXtal_Prot#'!A:AL,31,FALSE)-VLOOKUP(A177,'SegEnds_NonXtal_Prot#'!A:AL,28,FALSE)</f>
        <v>62</v>
      </c>
      <c r="AJ177" s="1">
        <f>VLOOKUP(A177,'SegEnds_NonXtal_Prot#'!A:AL,34,FALSE)-VLOOKUP(A177,'SegEnds_NonXtal_Prot#'!A:AL,31,FALSE)</f>
        <v>42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294</v>
      </c>
      <c r="B178" s="1" t="str">
        <f>VLOOKUP(A178,Xtal_Templ!A:B,2,FALSE)</f>
        <v>ccr6_human</v>
      </c>
      <c r="C178" s="5">
        <f>VLOOKUP($B178&amp;"__wt",'SegEnds_Xtal_BW#'!$A:$Z,3,FALSE)</f>
        <v>25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08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30</v>
      </c>
      <c r="V178" s="1">
        <v>61</v>
      </c>
      <c r="W178" s="1">
        <v>34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62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26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39</v>
      </c>
      <c r="AI178" s="1">
        <f>VLOOKUP(A178,'SegEnds_NonXtal_Prot#'!A:AL,31,FALSE)-VLOOKUP(A178,'SegEnds_NonXtal_Prot#'!A:AL,28,FALSE)</f>
        <v>42</v>
      </c>
      <c r="AJ178" s="1">
        <f>VLOOKUP(A178,'SegEnds_NonXtal_Prot#'!A:AL,34,FALSE)-VLOOKUP(A178,'SegEnds_NonXtal_Prot#'!A:AL,31,FALSE)</f>
        <v>32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298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INDEX(ICL3_classA!$G$2:$G$39,MATCH(MIN(ABS(AI179-ICL3_classA!$F$2:$F$39)),ABS(AI179-ICL3_classA!$F$2:$F$39),0))</f>
        <v>68</v>
      </c>
      <c r="U179" s="1">
        <f t="array" ref="U179">INDEX(ICL3_classA!$H$2:$H$39,MATCH(MIN(ABS(AI179-ICL3_classA!$F$2:$F$39)),ABS(AI179-ICL3_classA!$F$2:$F$39),0))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31</v>
      </c>
      <c r="AC179" s="1">
        <f>VLOOKUP(A179,'SegEnds_NonXtal_Prot#'!A:AL,10,FALSE)-VLOOKUP(A179,'SegEnds_NonXtal_Prot#'!A:AL,7,FALSE)</f>
        <v>18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26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299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INDEX(ICL3_classA!$G$2:$G$39,MATCH(MIN(ABS(AI180-ICL3_classA!$F$2:$F$39)),ABS(AI180-ICL3_classA!$F$2:$F$39),0))</f>
        <v>73</v>
      </c>
      <c r="U180" s="1">
        <f t="array" ref="U180">INDEX(ICL3_classA!$H$2:$H$39,MATCH(MIN(ABS(AI180-ICL3_classA!$F$2:$F$39)),ABS(AI180-ICL3_classA!$F$2:$F$39),0))</f>
        <v>22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51</v>
      </c>
      <c r="AI180" s="1">
        <f>VLOOKUP(A180,'SegEnds_NonXtal_Prot#'!A:AL,31,FALSE)-VLOOKUP(A180,'SegEnds_NonXtal_Prot#'!A:AL,28,FALSE)</f>
        <v>57</v>
      </c>
      <c r="AJ180" s="1">
        <f>VLOOKUP(A180,'SegEnds_NonXtal_Prot#'!A:AL,34,FALSE)-VLOOKUP(A180,'SegEnds_NonXtal_Prot#'!A:AL,31,FALSE)</f>
        <v>37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301</v>
      </c>
      <c r="B181" s="1" t="str">
        <f>VLOOKUP(A181,Xtal_Templ!A:B,2,FALSE)</f>
        <v>cxcr4_human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32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42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302</v>
      </c>
      <c r="B182" s="1" t="str">
        <f>VLOOKUP(A182,Xtal_Templ!A:B,2,FALSE)</f>
        <v>ccr6_human</v>
      </c>
      <c r="C182" s="5">
        <f>VLOOKUP($B182&amp;"__wt",'SegEnds_Xtal_BW#'!$A:$Z,3,FALSE)</f>
        <v>25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61</v>
      </c>
      <c r="W182" s="1">
        <v>32</v>
      </c>
      <c r="X182" s="108">
        <v>56</v>
      </c>
      <c r="Y182" s="1">
        <f>VLOOKUP($B182&amp;"__wt",'SegEnds_Xtal_BW#'!$A:$Z,25,FALSE)</f>
        <v>47</v>
      </c>
      <c r="Z182" s="1">
        <f>VLOOKUP($B182&amp;"__wt",'SegEnds_Xtal_BW#'!$A:$Z,26,FALSE)</f>
        <v>62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34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305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INDEX(ICL3_classA!$G$2:$G$39,MATCH(MIN(ABS(AI183-ICL3_classA!$F$2:$F$39)),ABS(AI183-ICL3_classA!$F$2:$F$39),0))</f>
        <v>68</v>
      </c>
      <c r="U183" s="1">
        <f t="array" ref="U183">INDEX(ICL3_classA!$H$2:$H$39,MATCH(MIN(ABS(AI183-ICL3_classA!$F$2:$F$39)),ABS(AI183-ICL3_classA!$F$2:$F$39),0))</f>
        <v>30</v>
      </c>
      <c r="V183" s="1">
        <v>61</v>
      </c>
      <c r="W183" s="128">
        <f>VLOOKUP($B183&amp;"__wt",'SegEnds_Xtal_BW#'!$A:$Z,23,FALSE)</f>
        <v>25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42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38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309</v>
      </c>
      <c r="B184" s="1" t="str">
        <f>VLOOKUP(A184,Xtal_Templ!A:B,2,FALSE)</f>
        <v>ntr1_human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INDEX(ICL3_classA!$G$2:$G$39,MATCH(MIN(ABS(AI184-ICL3_classA!$F$2:$F$39)),ABS(AI184-ICL3_classA!$F$2:$F$39),0))</f>
        <v>72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28">
        <f>VLOOKUP($B184&amp;"__wt",'SegEnds_Xtal_BW#'!$A:$Z,23,FALSE)</f>
        <v>24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62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24</v>
      </c>
      <c r="AH184" s="1">
        <f>VLOOKUP(A184,'SegEnds_NonXtal_Prot#'!A:AL,28,FALSE)-VLOOKUP(A184,'SegEnds_NonXtal_Prot#'!A:AL,22,FALSE)</f>
        <v>96</v>
      </c>
      <c r="AI184" s="1">
        <f>VLOOKUP(A184,'SegEnds_NonXtal_Prot#'!A:AL,31,FALSE)-VLOOKUP(A184,'SegEnds_NonXtal_Prot#'!A:AL,28,FALSE)</f>
        <v>54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310</v>
      </c>
      <c r="B185" s="1" t="str">
        <f>VLOOKUP(A185,Xtal_Templ!A:B,2,FALSE)</f>
        <v>mtr1a_human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35</v>
      </c>
      <c r="T185" s="1">
        <f t="array" ref="T185">INDEX(ICL3_classA!$G$2:$G$39,MATCH(MIN(ABS(AI185-ICL3_classA!$F$2:$F$39)),ABS(AI185-ICL3_classA!$F$2:$F$39),0))</f>
        <v>72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28">
        <f>VLOOKUP($B185&amp;"__wt",'SegEnds_Xtal_BW#'!$A:$Z,23,FALSE)</f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22</v>
      </c>
      <c r="AH185" s="1">
        <f>VLOOKUP(A185,'SegEnds_NonXtal_Prot#'!A:AL,28,FALSE)-VLOOKUP(A185,'SegEnds_NonXtal_Prot#'!A:AL,22,FALSE)</f>
        <v>47</v>
      </c>
      <c r="AI185" s="1">
        <f>VLOOKUP(A185,'SegEnds_NonXtal_Prot#'!A:AL,31,FALSE)-VLOOKUP(A185,'SegEnds_NonXtal_Prot#'!A:AL,28,FALSE)</f>
        <v>54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Xtal</v>
      </c>
    </row>
    <row r="186" spans="1:38" x14ac:dyDescent="0.2">
      <c r="A186" s="1" t="s">
        <v>311</v>
      </c>
      <c r="B186" s="1" t="str">
        <f>VLOOKUP(A186,Xtal_Templ!A:B,2,FALSE)</f>
        <v>mtr1b_human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72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28">
        <f>VLOOKUP($B186&amp;"__wt",'SegEnds_Xtal_BW#'!$A:$Z,23,FALSE)</f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22</v>
      </c>
      <c r="AH186" s="1">
        <f>VLOOKUP(A186,'SegEnds_NonXtal_Prot#'!A:AL,28,FALSE)-VLOOKUP(A186,'SegEnds_NonXtal_Prot#'!A:AL,22,FALSE)</f>
        <v>47</v>
      </c>
      <c r="AI186" s="1">
        <f>VLOOKUP(A186,'SegEnds_NonXtal_Prot#'!A:AL,31,FALSE)-VLOOKUP(A186,'SegEnds_NonXtal_Prot#'!A:AL,28,FALSE)</f>
        <v>54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312</v>
      </c>
      <c r="B187" s="1" t="str">
        <f>VLOOKUP(A187,Xtal_Templ!A:B,2,FALSE)</f>
        <v>mtr1a_human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INDEX(ICL3_classA!$G$2:$G$39,MATCH(MIN(ABS(AI187-ICL3_classA!$F$2:$F$39)),ABS(AI187-ICL3_classA!$F$2:$F$39),0))</f>
        <v>72</v>
      </c>
      <c r="U187" s="1">
        <f t="array" ref="U187">INDEX(ICL3_classA!$H$2:$H$39,MATCH(MIN(ABS(AI187-ICL3_classA!$F$2:$F$39)),ABS(AI187-ICL3_classA!$F$2:$F$39),0))</f>
        <v>23</v>
      </c>
      <c r="V187" s="1">
        <v>61</v>
      </c>
      <c r="W187" s="128">
        <f>VLOOKUP($B187&amp;"__wt",'SegEnds_Xtal_BW#'!$A:$Z,23,FALSE)</f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63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22</v>
      </c>
      <c r="AH187" s="1">
        <f>VLOOKUP(A187,'SegEnds_NonXtal_Prot#'!A:AL,28,FALSE)-VLOOKUP(A187,'SegEnds_NonXtal_Prot#'!A:AL,22,FALSE)</f>
        <v>47</v>
      </c>
      <c r="AI187" s="1">
        <f>VLOOKUP(A187,'SegEnds_NonXtal_Prot#'!A:AL,31,FALSE)-VLOOKUP(A187,'SegEnds_NonXtal_Prot#'!A:AL,28,FALSE)</f>
        <v>52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313</v>
      </c>
      <c r="B188" s="1" t="str">
        <f>VLOOKUP(A188,Xtal_Templ!A:B,2,FALSE)</f>
        <v>nk1r_human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2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INDEX(ICL3_classA!$G$2:$G$39,MATCH(MIN(ABS(AI188-ICL3_classA!$F$2:$F$39)),ABS(AI188-ICL3_classA!$F$2:$F$39),0))</f>
        <v>73</v>
      </c>
      <c r="U188" s="1">
        <f t="array" ref="U188">INDEX(ICL3_classA!$H$2:$H$39,MATCH(MIN(ABS(AI188-ICL3_classA!$F$2:$F$39)),ABS(AI188-ICL3_classA!$F$2:$F$39),0))</f>
        <v>22</v>
      </c>
      <c r="V188" s="1">
        <v>61</v>
      </c>
      <c r="W188" s="128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 t="e">
        <f>VLOOKUP(A188,'SegEnds_NonXtal_Prot#'!A:AL,22,FALSE)-VLOOKUP(A188,'SegEnds_NonXtal_Prot#'!A:AL,19,FALSE)</f>
        <v>#VALUE!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55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314</v>
      </c>
      <c r="B189" s="1" t="str">
        <f>VLOOKUP(A189,Xtal_Templ!A:B,2,FALSE)</f>
        <v>nk1r_human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2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73</v>
      </c>
      <c r="U189" s="1">
        <f t="array" ref="U189">INDEX(ICL3_classA!$H$2:$H$39,MATCH(MIN(ABS(AI189-ICL3_classA!$F$2:$F$39)),ABS(AI189-ICL3_classA!$F$2:$F$39),0))</f>
        <v>22</v>
      </c>
      <c r="V189" s="1">
        <v>61</v>
      </c>
      <c r="W189" s="128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 t="e">
        <f>VLOOKUP(A189,'SegEnds_NonXtal_Prot#'!A:AL,22,FALSE)-VLOOKUP(A189,'SegEnds_NonXtal_Prot#'!A:AL,19,FALSE)</f>
        <v>#VALUE!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56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315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28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51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316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28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321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33</v>
      </c>
      <c r="T192" s="1">
        <f t="array" ref="T192">INDEX(ICL3_classA!$G$2:$G$39,MATCH(MIN(ABS(AI192-ICL3_classA!$F$2:$F$39)),ABS(AI192-ICL3_classA!$F$2:$F$39),0))</f>
        <v>73</v>
      </c>
      <c r="U192" s="1">
        <f t="array" ref="U192">INDEX(ICL3_classA!$H$2:$H$39,MATCH(MIN(ABS(AI192-ICL3_classA!$F$2:$F$39)),ABS(AI192-ICL3_classA!$F$2:$F$39),0))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63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25</v>
      </c>
      <c r="AH192" s="1">
        <f>VLOOKUP(A192,'SegEnds_NonXtal_Prot#'!A:AL,28,FALSE)-VLOOKUP(A192,'SegEnds_NonXtal_Prot#'!A:AL,22,FALSE)</f>
        <v>62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322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33</v>
      </c>
      <c r="T193" s="1">
        <f t="array" ref="T193">INDEX(ICL3_classA!$G$2:$G$39,MATCH(MIN(ABS(AI193-ICL3_classA!$F$2:$F$39)),ABS(AI193-ICL3_classA!$F$2:$F$39),0))</f>
        <v>73</v>
      </c>
      <c r="U193" s="1">
        <f t="array" ref="U193">INDEX(ICL3_classA!$H$2:$H$39,MATCH(MIN(ABS(AI193-ICL3_classA!$F$2:$F$39)),ABS(AI193-ICL3_classA!$F$2:$F$39),0))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63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 t="e">
        <f>VLOOKUP(A193,'SegEnds_NonXtal_Prot#'!A:AL,22,FALSE)-VLOOKUP(A193,'SegEnds_NonXtal_Prot#'!A:AL,19,FALSE)</f>
        <v>#VALUE!</v>
      </c>
      <c r="AG193" s="1">
        <f>VLOOKUP(A193,'SegEnds_NonXtal_Prot#'!A:AL,28,FALSE)-VLOOKUP(A193,'SegEnds_NonXtal_Prot#'!A:AL,25,FALSE)</f>
        <v>25</v>
      </c>
      <c r="AH193" s="1">
        <f>VLOOKUP(A193,'SegEnds_NonXtal_Prot#'!A:AL,28,FALSE)-VLOOKUP(A193,'SegEnds_NonXtal_Prot#'!A:AL,22,FALSE)</f>
        <v>63</v>
      </c>
      <c r="AI193" s="1">
        <f>VLOOKUP(A193,'SegEnds_NonXtal_Prot#'!A:AL,31,FALSE)-VLOOKUP(A193,'SegEnds_NonXtal_Prot#'!A:AL,28,FALSE)</f>
        <v>58</v>
      </c>
      <c r="AJ193" s="1">
        <f>VLOOKUP(A193,'SegEnds_NonXtal_Prot#'!A:AL,34,FALSE)-VLOOKUP(A193,'SegEnds_NonXtal_Prot#'!A:AL,31,FALSE)</f>
        <v>41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323</v>
      </c>
      <c r="B194" s="1" t="str">
        <f>VLOOKUP(A194,Xtal_Templ!A:B,2,FALSE)</f>
        <v>5ht2c_human</v>
      </c>
      <c r="C194" s="5">
        <f>VLOOKUP($B194&amp;"__wt",'SegEnds_Xtal_BW#'!$A:$Z,3,FALSE)</f>
        <v>33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53</v>
      </c>
      <c r="O194" s="87">
        <v>38</v>
      </c>
      <c r="P194" s="1">
        <f>VLOOKUP($B194&amp;"__wt",'SegEnds_Xtal_BW#'!$A:$Z,16,FALSE)</f>
        <v>67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35</v>
      </c>
      <c r="T194" s="1">
        <f t="array" ref="T194">INDEX(ICL3_classA!$G$2:$G$39,MATCH(MIN(ABS(AI194-ICL3_classA!$F$2:$F$39)),ABS(AI194-ICL3_classA!$F$2:$F$39),0))</f>
        <v>76</v>
      </c>
      <c r="U194" s="1">
        <f t="array" ref="U194">INDEX(ICL3_classA!$H$2:$H$39,MATCH(MIN(ABS(AI194-ICL3_classA!$F$2:$F$39)),ABS(AI194-ICL3_classA!$F$2:$F$39),0))</f>
        <v>24</v>
      </c>
      <c r="V194" s="1">
        <v>61</v>
      </c>
      <c r="W194" s="128">
        <f>VLOOKUP($B194&amp;"__wt",'SegEnds_Xtal_BW#'!$A:$Z,23,FALSE)</f>
        <v>27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27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18</v>
      </c>
      <c r="AG194" s="1">
        <f>VLOOKUP(A194,'SegEnds_NonXtal_Prot#'!A:AL,28,FALSE)-VLOOKUP(A194,'SegEnds_NonXtal_Prot#'!A:AL,25,FALSE)</f>
        <v>25</v>
      </c>
      <c r="AH194" s="1">
        <f>VLOOKUP(A194,'SegEnds_NonXtal_Prot#'!A:AL,28,FALSE)-VLOOKUP(A194,'SegEnds_NonXtal_Prot#'!A:AL,22,FALSE)</f>
        <v>51</v>
      </c>
      <c r="AI194" s="1">
        <f>VLOOKUP(A194,'SegEnds_NonXtal_Prot#'!A:AL,31,FALSE)-VLOOKUP(A194,'SegEnds_NonXtal_Prot#'!A:AL,28,FALSE)</f>
        <v>67</v>
      </c>
      <c r="AJ194" s="1">
        <f>VLOOKUP(A194,'SegEnds_NonXtal_Prot#'!A:AL,34,FALSE)-VLOOKUP(A194,'SegEnds_NonXtal_Prot#'!A:AL,31,FALSE)</f>
        <v>38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324</v>
      </c>
      <c r="B195" s="1" t="str">
        <f>VLOOKUP(A195,Xtal_Templ!A:B,2,FALSE)</f>
        <v>npy1r_human</v>
      </c>
      <c r="C195" s="5">
        <f>VLOOKUP($B195&amp;"__wt",'SegEnds_Xtal_BW#'!$A:$Z,3,FALSE)</f>
        <v>28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 t="str">
        <f>VLOOKUP($B195&amp;"__wt",'SegEnds_Xtal_BW#'!$A:$Z,13,FALSE)</f>
        <v>-</v>
      </c>
      <c r="N195" s="108" t="s">
        <v>23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28">
        <f>VLOOKUP($B195&amp;"__wt",'SegEnds_Xtal_BW#'!$A:$Z,23,FALSE)</f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60</v>
      </c>
      <c r="AI195" s="1">
        <f>VLOOKUP(A195,'SegEnds_NonXtal_Prot#'!A:AL,31,FALSE)-VLOOKUP(A195,'SegEnds_NonXtal_Prot#'!A:AL,28,FALSE)</f>
        <v>55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325</v>
      </c>
      <c r="B196" s="1" t="str">
        <f>VLOOKUP(A196,Xtal_Templ!A:B,2,FALSE)</f>
        <v>npy1r_human</v>
      </c>
      <c r="C196" s="5">
        <f>VLOOKUP($B196&amp;"__wt",'SegEnds_Xtal_BW#'!$A:$Z,3,FALSE)</f>
        <v>28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 t="str">
        <f>VLOOKUP($B196&amp;"__wt",'SegEnds_Xtal_BW#'!$A:$Z,13,FALSE)</f>
        <v>-</v>
      </c>
      <c r="N196" s="12">
        <v>56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31</v>
      </c>
      <c r="T196" s="1">
        <f t="array" ref="T196">INDEX(ICL3_classA!$G$2:$G$39,MATCH(MIN(ABS(AI196-ICL3_classA!$F$2:$F$39)),ABS(AI196-ICL3_classA!$F$2:$F$39),0))</f>
        <v>72</v>
      </c>
      <c r="U196" s="1">
        <f t="array" ref="U196">INDEX(ICL3_classA!$H$2:$H$39,MATCH(MIN(ABS(AI196-ICL3_classA!$F$2:$F$39)),ABS(AI196-ICL3_classA!$F$2:$F$39),0))</f>
        <v>23</v>
      </c>
      <c r="V196" s="1">
        <v>61</v>
      </c>
      <c r="W196" s="128">
        <f>VLOOKUP($B196&amp;"__wt",'SegEnds_Xtal_BW#'!$A:$Z,23,FALSE)</f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58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326</v>
      </c>
      <c r="B197" s="1" t="str">
        <f>VLOOKUP(A197,Xtal_Templ!A:B,2,FALSE)</f>
        <v>npy1r_human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INDEX(ICL3_classA!$G$2:$G$39,MATCH(MIN(ABS(AI197-ICL3_classA!$F$2:$F$39)),ABS(AI197-ICL3_classA!$F$2:$F$39),0))</f>
        <v>72</v>
      </c>
      <c r="U197" s="1">
        <f t="array" ref="U197">INDEX(ICL3_classA!$H$2:$H$39,MATCH(MIN(ABS(AI197-ICL3_classA!$F$2:$F$39)),ABS(AI197-ICL3_classA!$F$2:$F$39),0))</f>
        <v>24</v>
      </c>
      <c r="V197" s="1">
        <v>61</v>
      </c>
      <c r="W197" s="128">
        <f>VLOOKUP($B197&amp;"__wt",'SegEnds_Xtal_BW#'!$A:$Z,23,FALSE)</f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54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327</v>
      </c>
      <c r="B198" s="1" t="str">
        <f>VLOOKUP(A198,Xtal_Templ!A:B,2,FALSE)</f>
        <v>npy1r_human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08" t="s">
        <v>23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31</v>
      </c>
      <c r="T198" s="1">
        <f t="array" ref="T198">INDEX(ICL3_classA!$G$2:$G$39,MATCH(MIN(ABS(AI198-ICL3_classA!$F$2:$F$39)),ABS(AI198-ICL3_classA!$F$2:$F$39),0))</f>
        <v>76</v>
      </c>
      <c r="U198" s="1">
        <f t="array" ref="U198">INDEX(ICL3_classA!$H$2:$H$39,MATCH(MIN(ABS(AI198-ICL3_classA!$F$2:$F$39)),ABS(AI198-ICL3_classA!$F$2:$F$39),0))</f>
        <v>24</v>
      </c>
      <c r="V198" s="1">
        <v>61</v>
      </c>
      <c r="W198" s="128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59</v>
      </c>
      <c r="AI198" s="1">
        <f>VLOOKUP(A198,'SegEnds_NonXtal_Prot#'!A:AL,31,FALSE)-VLOOKUP(A198,'SegEnds_NonXtal_Prot#'!A:AL,28,FALSE)</f>
        <v>160</v>
      </c>
      <c r="AJ198" s="1">
        <f>VLOOKUP(A198,'SegEnds_NonXtal_Prot#'!A:AL,34,FALSE)-VLOOKUP(A198,'SegEnds_NonXtal_Prot#'!A:AL,31,FALSE)</f>
        <v>39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328</v>
      </c>
      <c r="B199" s="1" t="str">
        <f>VLOOKUP(A199,Xtal_Templ!A:B,2,FALSE)</f>
        <v>npy1r_human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 t="str">
        <f>VLOOKUP($B199&amp;"__wt",'SegEnds_Xtal_BW#'!$A:$Z,13,FALSE)</f>
        <v>-</v>
      </c>
      <c r="N199" s="12" t="str">
        <f>VLOOKUP($B199&amp;"__wt",'SegEnds_Xtal_BW#'!$A:$Z,14,FALSE)</f>
        <v>-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24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29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 t="e">
        <f>VLOOKUP(A199,'SegEnds_NonXtal_Prot#'!A:AL,22,FALSE)-VLOOKUP(A199,'SegEnds_NonXtal_Prot#'!A:AL,19,FALSE)</f>
        <v>#VALUE!</v>
      </c>
      <c r="AG199" s="1" t="e">
        <f>VLOOKUP(A199,'SegEnds_NonXtal_Prot#'!A:AL,28,FALSE)-VLOOKUP(A199,'SegEnds_NonXtal_Prot#'!A:AL,25,FALSE)</f>
        <v>#VALUE!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55</v>
      </c>
      <c r="AJ199" s="1" t="e">
        <f>VLOOKUP(A199,'SegEnds_NonXtal_Prot#'!A:AL,34,FALSE)-VLOOKUP(A199,'SegEnds_NonXtal_Prot#'!A:AL,31,FALSE)</f>
        <v>#VALUE!</v>
      </c>
      <c r="AK199" s="1" t="e">
        <f>VLOOKUP(A199,'SegEnds_NonXtal_Prot#'!A:AL,37,FALSE)-VLOOKUP(A199,'SegEnds_NonXtal_Prot#'!A:AL,34,FALSE)</f>
        <v>#VALUE!</v>
      </c>
      <c r="AL199" s="1" t="str">
        <f>IF(ISERROR(MATCH(A199,'SegEnds_Xtal_Prot#'!B:B, 0)), "NoXtal", "Xtal")</f>
        <v>NoXtal</v>
      </c>
    </row>
    <row r="200" spans="1:38" x14ac:dyDescent="0.2">
      <c r="A200" s="1" t="s">
        <v>1638</v>
      </c>
      <c r="B200" s="1" t="str">
        <f>VLOOKUP(A200,Xtal_Templ!A:B,2,FALSE)</f>
        <v>c5ar1_human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 t="str">
        <f>VLOOKUP($B200&amp;"__wt",'SegEnds_Xtal_BW#'!$A:$Z,5,FALSE)</f>
        <v>-</v>
      </c>
      <c r="F200" s="1" t="str">
        <f>VLOOKUP($B200&amp;"__wt",'SegEnds_Xtal_BW#'!$A:$Z,6,FALSE)</f>
        <v>-</v>
      </c>
      <c r="G200" s="1">
        <v>37</v>
      </c>
      <c r="H200" s="108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15">
        <v>35</v>
      </c>
      <c r="T200" s="1">
        <f t="array" ref="T200">INDEX(ICL3_classA!$G$2:$G$39,MATCH(MIN(ABS(AI200-ICL3_classA!$F$2:$F$39)),ABS(AI200-ICL3_classA!$F$2:$F$39),0))</f>
        <v>72</v>
      </c>
      <c r="U200" s="1">
        <f t="array" ref="U200">INDEX(ICL3_classA!$H$2:$H$39,MATCH(MIN(ABS(AI200-ICL3_classA!$F$2:$F$39)),ABS(AI200-ICL3_classA!$F$2:$F$39),0))</f>
        <v>23</v>
      </c>
      <c r="V200" s="108">
        <v>54</v>
      </c>
      <c r="W200" s="108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56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 t="e">
        <f>VLOOKUP(A200,'SegEnds_NonXtal_Prot#'!A:AL,13,FALSE)-VLOOKUP(A200,'SegEnds_NonXtal_Prot#'!A:AL,10,FALSE)</f>
        <v>#VALUE!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21</v>
      </c>
      <c r="AH200" s="1">
        <f>VLOOKUP(A200,'SegEnds_NonXtal_Prot#'!A:AL,28,FALSE)-VLOOKUP(A200,'SegEnds_NonXtal_Prot#'!A:AL,22,FALSE)</f>
        <v>61</v>
      </c>
      <c r="AI200" s="1">
        <f>VLOOKUP(A200,'SegEnds_NonXtal_Prot#'!A:AL,31,FALSE)-VLOOKUP(A200,'SegEnds_NonXtal_Prot#'!A:AL,28,FALSE)</f>
        <v>52</v>
      </c>
      <c r="AJ200" s="1">
        <f>VLOOKUP(A200,'SegEnds_NonXtal_Prot#'!A:AL,34,FALSE)-VLOOKUP(A200,'SegEnds_NonXtal_Prot#'!A:AL,31,FALSE)</f>
        <v>25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330</v>
      </c>
      <c r="B201" s="1" t="str">
        <f>VLOOKUP(A201,Xtal_Templ!A:B,2,FALSE)</f>
        <v>agtr2_human</v>
      </c>
      <c r="C201" s="5">
        <f>VLOOKUP($B201&amp;"__wt",'SegEnds_Xtal_BW#'!$A:$Z,3,FALSE)</f>
        <v>33</v>
      </c>
      <c r="D201" s="108">
        <v>60</v>
      </c>
      <c r="E201" s="108">
        <v>48</v>
      </c>
      <c r="F201" s="108"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47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30</v>
      </c>
      <c r="T201" s="1">
        <f t="array" ref="T201">INDEX(ICL3_classA!$G$2:$G$39,MATCH(MIN(ABS(AI201-ICL3_classA!$F$2:$F$39)),ABS(AI201-ICL3_classA!$F$2:$F$39),0))</f>
        <v>67</v>
      </c>
      <c r="U201" s="1">
        <f t="array" ref="U201">INDEX(ICL3_classA!$H$2:$H$39,MATCH(MIN(ABS(AI201-ICL3_classA!$F$2:$F$39)),ABS(AI201-ICL3_classA!$F$2:$F$39),0))</f>
        <v>26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61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25</v>
      </c>
      <c r="AH201" s="1">
        <f>VLOOKUP(A201,'SegEnds_NonXtal_Prot#'!A:AL,28,FALSE)-VLOOKUP(A201,'SegEnds_NonXtal_Prot#'!A:AL,22,FALSE)</f>
        <v>51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331</v>
      </c>
      <c r="B202" s="1" t="str">
        <f>VLOOKUP(A202,Xtal_Templ!A:B,2,FALSE)</f>
        <v>opsd_bovin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56</v>
      </c>
      <c r="O202" s="87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INDEX(ICL3_classA!$G$2:$G$39,MATCH(MIN(ABS(AI202-ICL3_classA!$F$2:$F$39)),ABS(AI202-ICL3_classA!$F$2:$F$39),0))</f>
        <v>73</v>
      </c>
      <c r="U202" s="1">
        <f t="array" ref="U202">INDEX(ICL3_classA!$H$2:$H$39,MATCH(MIN(ABS(AI202-ICL3_classA!$F$2:$F$39)),ABS(AI202-ICL3_classA!$F$2:$F$39),0))</f>
        <v>22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52</v>
      </c>
      <c r="AI202" s="1">
        <f>VLOOKUP(A202,'SegEnds_NonXtal_Prot#'!A:AL,31,FALSE)-VLOOKUP(A202,'SegEnds_NonXtal_Prot#'!A:AL,28,FALSE)</f>
        <v>56</v>
      </c>
      <c r="AJ202" s="1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332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INDEX(ICL3_classA!$G$2:$G$39,MATCH(MIN(ABS(AI203-ICL3_classA!$F$2:$F$39)),ABS(AI203-ICL3_classA!$F$2:$F$39),0))</f>
        <v>74</v>
      </c>
      <c r="U203" s="1">
        <f t="array" ref="U203">INDEX(ICL3_classA!$H$2:$H$39,MATCH(MIN(ABS(AI203-ICL3_classA!$F$2:$F$39)),ABS(AI203-ICL3_classA!$F$2:$F$39),0))</f>
        <v>21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26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64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333</v>
      </c>
      <c r="B204" s="1" t="str">
        <f>VLOOKUP(A204,Xtal_Templ!A:B,2,FALSE)</f>
        <v>opsd_bovin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>
        <v>56</v>
      </c>
      <c r="O204" s="87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INDEX(ICL3_classA!$G$2:$G$39,MATCH(MIN(ABS(AI204-ICL3_classA!$F$2:$F$39)),ABS(AI204-ICL3_classA!$F$2:$F$39),0))</f>
        <v>73</v>
      </c>
      <c r="U204" s="1">
        <f t="array" ref="U204">INDEX(ICL3_classA!$H$2:$H$39,MATCH(MIN(ABS(AI204-ICL3_classA!$F$2:$F$39)),ABS(AI204-ICL3_classA!$F$2:$F$39),0))</f>
        <v>22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19</v>
      </c>
      <c r="AG204" s="1">
        <f>VLOOKUP(A204,'SegEnds_NonXtal_Prot#'!A:AL,28,FALSE)-VLOOKUP(A204,'SegEnds_NonXtal_Prot#'!A:AL,25,FALSE)</f>
        <v>28</v>
      </c>
      <c r="AH204" s="1">
        <f>VLOOKUP(A204,'SegEnds_NonXtal_Prot#'!A:AL,28,FALSE)-VLOOKUP(A204,'SegEnds_NonXtal_Prot#'!A:AL,22,FALSE)</f>
        <v>54</v>
      </c>
      <c r="AI204" s="1">
        <f>VLOOKUP(A204,'SegEnds_NonXtal_Prot#'!A:AL,31,FALSE)-VLOOKUP(A204,'SegEnds_NonXtal_Prot#'!A:AL,28,FALSE)</f>
        <v>56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337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>
        <v>56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72</v>
      </c>
      <c r="U205" s="1">
        <f t="array" ref="U205">INDEX(ICL3_classA!$H$2:$H$39,MATCH(MIN(ABS(AI205-ICL3_classA!$F$2:$F$39)),ABS(AI205-ICL3_classA!$F$2:$F$39),0))</f>
        <v>23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19</v>
      </c>
      <c r="AG205" s="1">
        <f>VLOOKUP(A205,'SegEnds_NonXtal_Prot#'!A:AL,28,FALSE)-VLOOKUP(A205,'SegEnds_NonXtal_Prot#'!A:AL,25,FALSE)</f>
        <v>28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52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915</v>
      </c>
      <c r="B206" s="1" t="str">
        <f>VLOOKUP(A206,Xtal_Templ!A:B,2,FALSE)</f>
        <v>opsd_bovin</v>
      </c>
      <c r="C206" s="5">
        <f>VLOOKUP($B206&amp;"__wt",'SegEnds_Xtal_BW#'!$A:$Z,3,FALSE)</f>
        <v>28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08">
        <f>VLOOKUP($B206&amp;"__wt",'SegEnds_Xtal_BW#'!$A:$Z,14,FALSE)</f>
        <v>56</v>
      </c>
      <c r="O206" s="87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INDEX(ICL3_classA!$G$2:$G$39,MATCH(MIN(ABS(AI206-ICL3_classA!$F$2:$F$39)),ABS(AI206-ICL3_classA!$F$2:$F$39),0))</f>
        <v>72</v>
      </c>
      <c r="U206" s="1">
        <f t="array" ref="U206">INDEX(ICL3_classA!$H$2:$H$39,MATCH(MIN(ABS(AI206-ICL3_classA!$F$2:$F$39)),ABS(AI206-ICL3_classA!$F$2:$F$39),0))</f>
        <v>23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19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Xtal</v>
      </c>
    </row>
    <row r="207" spans="1:38" x14ac:dyDescent="0.2">
      <c r="A207" s="1" t="s">
        <v>338</v>
      </c>
      <c r="B207" s="1" t="str">
        <f>VLOOKUP(A207,Xtal_Templ!A:B,2,FALSE)</f>
        <v>opsd_human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08">
        <f>VLOOKUP($B207&amp;"__wt",'SegEnds_Xtal_BW#'!$A:$Z,14,FALSE)</f>
        <v>56</v>
      </c>
      <c r="O207" s="87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72</v>
      </c>
      <c r="U207" s="1">
        <f t="array" ref="U207">INDEX(ICL3_classA!$H$2:$H$39,MATCH(MIN(ABS(AI207-ICL3_classA!$F$2:$F$39)),ABS(AI207-ICL3_classA!$F$2:$F$39),0))</f>
        <v>23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19</v>
      </c>
      <c r="AG207" s="1">
        <f>VLOOKUP(A207,'SegEnds_NonXtal_Prot#'!A:AL,28,FALSE)-VLOOKUP(A207,'SegEnds_NonXtal_Prot#'!A:AL,25,FALSE)</f>
        <v>28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52</v>
      </c>
      <c r="AJ207" s="1">
        <f>VLOOKUP(A207,'SegEnds_NonXtal_Prot#'!A:AL,34,FALSE)-VLOOKUP(A207,'SegEnds_NonXtal_Prot#'!A:AL,31,FALSE)</f>
        <v>36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339</v>
      </c>
      <c r="B208" s="1" t="str">
        <f>VLOOKUP(A208,Xtal_Templ!A:B,2,FALSE)</f>
        <v>opsd_human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56</v>
      </c>
      <c r="O208" s="87">
        <f>VLOOKUP($B208&amp;"__wt",'SegEnds_Xtal_BW#'!$A:$Z,15,FALSE)</f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INDEX(ICL3_classA!$G$2:$G$39,MATCH(MIN(ABS(AI208-ICL3_classA!$F$2:$F$39)),ABS(AI208-ICL3_classA!$F$2:$F$39),0))</f>
        <v>72</v>
      </c>
      <c r="U208" s="1">
        <f t="array" ref="U208">INDEX(ICL3_classA!$H$2:$H$39,MATCH(MIN(ABS(AI208-ICL3_classA!$F$2:$F$39)),ABS(AI208-ICL3_classA!$F$2:$F$39),0))</f>
        <v>23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19</v>
      </c>
      <c r="AG208" s="1">
        <f>VLOOKUP(A208,'SegEnds_NonXtal_Prot#'!A:AL,28,FALSE)-VLOOKUP(A208,'SegEnds_NonXtal_Prot#'!A:AL,25,FALSE)</f>
        <v>28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52</v>
      </c>
      <c r="AJ208" s="1">
        <f>VLOOKUP(A208,'SegEnds_NonXtal_Prot#'!A:AL,34,FALSE)-VLOOKUP(A208,'SegEnds_NonXtal_Prot#'!A:AL,31,FALSE)</f>
        <v>36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340</v>
      </c>
      <c r="B209" s="1" t="str">
        <f>VLOOKUP(A209,Xtal_Templ!A:B,2,FALSE)</f>
        <v>opsd_human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56</v>
      </c>
      <c r="O209" s="87">
        <f>VLOOKUP($B209&amp;"__wt",'SegEnds_Xtal_BW#'!$A:$Z,15,FALSE)</f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INDEX(ICL3_classA!$G$2:$G$39,MATCH(MIN(ABS(AI209-ICL3_classA!$F$2:$F$39)),ABS(AI209-ICL3_classA!$F$2:$F$39),0))</f>
        <v>72</v>
      </c>
      <c r="U209" s="1">
        <f t="array" ref="U209">INDEX(ICL3_classA!$H$2:$H$39,MATCH(MIN(ABS(AI209-ICL3_classA!$F$2:$F$39)),ABS(AI209-ICL3_classA!$F$2:$F$39),0))</f>
        <v>23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19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19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54</v>
      </c>
      <c r="AI209" s="1">
        <f>VLOOKUP(A209,'SegEnds_NonXtal_Prot#'!A:AL,31,FALSE)-VLOOKUP(A209,'SegEnds_NonXtal_Prot#'!A:AL,28,FALSE)</f>
        <v>52</v>
      </c>
      <c r="AJ209" s="1">
        <f>VLOOKUP(A209,'SegEnds_NonXtal_Prot#'!A:AL,34,FALSE)-VLOOKUP(A209,'SegEnds_NonXtal_Prot#'!A:AL,31,FALSE)</f>
        <v>36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1633</v>
      </c>
      <c r="B210" s="1" t="str">
        <f>VLOOKUP(A210,Xtal_Templ!A:B,2,FALSE)</f>
        <v>aa2ar_human</v>
      </c>
      <c r="C210" s="5">
        <f>VLOOKUP($B210&amp;"__wt",'SegEnds_Xtal_BW#'!$A:$Z,3,FALSE)</f>
        <v>27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08">
        <v>66</v>
      </c>
      <c r="I210" s="1">
        <f>VLOOKUP($B210&amp;"__wt",'SegEnds_Xtal_BW#'!$A:$Z,9,FALSE)</f>
        <v>50</v>
      </c>
      <c r="J210" s="1">
        <f>VLOOKUP($B210&amp;"__wt",'SegEnds_Xtal_BW#'!$A:$Z,10,FALSE)</f>
        <v>52</v>
      </c>
      <c r="K210" s="12">
        <f>VLOOKUP($B210&amp;"__wt",'SegEnds_Xtal_BW#'!$A:$Z,11,FALSE)</f>
        <v>21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08"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08">
        <v>35</v>
      </c>
      <c r="T210" s="1">
        <f t="array" ref="T210">INDEX(ICL3_classA!$G$2:$G$39,MATCH(MIN(ABS(AI210-ICL3_classA!$F$2:$F$39)),ABS(AI210-ICL3_classA!$F$2:$F$39),0))</f>
        <v>72</v>
      </c>
      <c r="U210" s="1">
        <f t="array" ref="U210">INDEX(ICL3_classA!$H$2:$H$39,MATCH(MIN(ABS(AI210-ICL3_classA!$F$2:$F$39)),ABS(AI210-ICL3_classA!$F$2:$F$39),0))</f>
        <v>23</v>
      </c>
      <c r="V210" s="108">
        <v>54</v>
      </c>
      <c r="W210" s="108">
        <v>32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 t="e">
        <f>VLOOKUP(A210,'SegEnds_NonXtal_Prot#'!A:AL,13,FALSE)-VLOOKUP(A210,'SegEnds_NonXtal_Prot#'!A:AL,10,FALSE)</f>
        <v>#VALUE!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60</v>
      </c>
      <c r="AI210" s="1">
        <f>VLOOKUP(A210,'SegEnds_NonXtal_Prot#'!A:AL,31,FALSE)-VLOOKUP(A210,'SegEnds_NonXtal_Prot#'!A:AL,28,FALSE)</f>
        <v>52</v>
      </c>
      <c r="AJ210" s="1">
        <f>VLOOKUP(A210,'SegEnds_NonXtal_Prot#'!A:AL,34,FALSE)-VLOOKUP(A210,'SegEnds_NonXtal_Prot#'!A:AL,31,FALSE)</f>
        <v>24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1636</v>
      </c>
      <c r="B211" s="1" t="str">
        <f>VLOOKUP(A211,Xtal_Templ!A:B,2,FALSE)</f>
        <v>ccr2_human</v>
      </c>
      <c r="C211" s="5">
        <f>VLOOKUP($B211&amp;"__wt",'SegEnds_Xtal_BW#'!$A:$Z,3,FALSE)</f>
        <v>27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08"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f>VLOOKUP($B211&amp;"__wt",'SegEnds_Xtal_BW#'!$A:$Z,11,FALSE)</f>
        <v>21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08">
        <v>35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24</v>
      </c>
      <c r="V211" s="108">
        <v>54</v>
      </c>
      <c r="W211" s="108">
        <v>32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 t="e">
        <f>VLOOKUP(A211,'SegEnds_NonXtal_Prot#'!A:AL,13,FALSE)-VLOOKUP(A211,'SegEnds_NonXtal_Prot#'!A:AL,10,FALSE)</f>
        <v>#VALUE!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61</v>
      </c>
      <c r="AI211" s="1">
        <f>VLOOKUP(A211,'SegEnds_NonXtal_Prot#'!A:AL,31,FALSE)-VLOOKUP(A211,'SegEnds_NonXtal_Prot#'!A:AL,28,FALSE)</f>
        <v>53</v>
      </c>
      <c r="AJ211" s="1">
        <f>VLOOKUP(A211,'SegEnds_NonXtal_Prot#'!A:AL,34,FALSE)-VLOOKUP(A211,'SegEnds_NonXtal_Prot#'!A:AL,31,FALSE)</f>
        <v>24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1170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53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INDEX(ICL3_classA!$G$2:$G$39,MATCH(MIN(ABS(AI212-ICL3_classA!$F$2:$F$39)),ABS(AI212-ICL3_classA!$F$2:$F$39),0))</f>
        <v>76</v>
      </c>
      <c r="U212" s="1">
        <v>20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18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58</v>
      </c>
      <c r="AI212" s="12">
        <f>VLOOKUP(A212,'SegEnds_NonXtal_Prot#'!A:AL,31,FALSE)-VLOOKUP(A212,'SegEnds_NonXtal_Prot#'!A:AL,28,FALSE)</f>
        <v>86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2" t="str">
        <f>IF(ISERROR(MATCH(A212,'SegEnds_Xtal_Prot#'!B:B, 0)), "NoXtal", "Xtal")</f>
        <v>Xtal</v>
      </c>
    </row>
    <row r="213" spans="1:38" x14ac:dyDescent="0.2">
      <c r="A213" s="1" t="s">
        <v>1171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53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INDEX(ICL3_classA!$G$2:$G$39,MATCH(MIN(ABS(AI213-ICL3_classA!$F$2:$F$39)),ABS(AI213-ICL3_classA!$F$2:$F$39),0))</f>
        <v>76</v>
      </c>
      <c r="U213" s="1">
        <v>20</v>
      </c>
      <c r="V213" s="1">
        <v>61</v>
      </c>
      <c r="W213" s="108">
        <v>27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18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58</v>
      </c>
      <c r="AI213" s="12">
        <f>VLOOKUP(A213,'SegEnds_NonXtal_Prot#'!A:AL,31,FALSE)-VLOOKUP(A213,'SegEnds_NonXtal_Prot#'!A:AL,28,FALSE)</f>
        <v>84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2" t="str">
        <f>IF(ISERROR(MATCH(A213,'SegEnds_Xtal_Prot#'!B:B, 0)), "NoXtal", "Xtal")</f>
        <v>Xtal</v>
      </c>
    </row>
    <row r="214" spans="1:38" x14ac:dyDescent="0.2">
      <c r="A214" s="1" t="s">
        <v>341</v>
      </c>
      <c r="B214" s="1" t="str">
        <f>VLOOKUP(A214,Xtal_Templ!A:B,2,FALSE)</f>
        <v>pd2r2_human</v>
      </c>
      <c r="C214" s="5">
        <f>VLOOKUP($B214&amp;"__wt",'SegEnds_Xtal_BW#'!$A:$Z,3,FALSE)</f>
        <v>32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26</v>
      </c>
      <c r="T214" s="1">
        <f t="array" ref="T214">INDEX(ICL3_classA!$G$2:$G$39,MATCH(MIN(ABS(AI214-ICL3_classA!$F$2:$F$39)),ABS(AI214-ICL3_classA!$F$2:$F$39),0))</f>
        <v>67</v>
      </c>
      <c r="U214" s="1">
        <f t="array" ref="U214">INDEX(ICL3_classA!$H$2:$H$39,MATCH(MIN(ABS(AI214-ICL3_classA!$F$2:$F$39)),ABS(AI214-ICL3_classA!$F$2:$F$39),0))</f>
        <v>26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64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27</v>
      </c>
      <c r="AH214" s="1">
        <f>VLOOKUP(A214,'SegEnds_NonXtal_Prot#'!A:AL,28,FALSE)-VLOOKUP(A214,'SegEnds_NonXtal_Prot#'!A:AL,22,FALSE)</f>
        <v>47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342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INDEX(ICL3_classA!$G$2:$G$39,MATCH(MIN(ABS(AI215-ICL3_classA!$F$2:$F$39)),ABS(AI215-ICL3_classA!$F$2:$F$39),0))</f>
        <v>67</v>
      </c>
      <c r="U215" s="1">
        <f t="array" ref="U215">INDEX(ICL3_classA!$H$2:$H$39,MATCH(MIN(ABS(AI215-ICL3_classA!$F$2:$F$39)),ABS(AI215-ICL3_classA!$F$2:$F$39),0))</f>
        <v>26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46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4" t="s">
        <v>343</v>
      </c>
      <c r="B216" s="4" t="str">
        <f>VLOOKUP(A216,Xtal_Templ!A:B,2,FALSE)</f>
        <v>ox1r_human</v>
      </c>
      <c r="C216" s="5">
        <f>VLOOKUP($B216&amp;"__wt",'SegEnds_Xtal_BW#'!$A:$Z,3,FALSE)</f>
        <v>32</v>
      </c>
      <c r="D216" s="4">
        <f>VLOOKUP($B216&amp;"__wt",'SegEnds_Xtal_BW#'!$A:$Z,4,FALSE)</f>
        <v>60</v>
      </c>
      <c r="E216" s="4">
        <f>VLOOKUP($B216&amp;"__wt",'SegEnds_Xtal_BW#'!$A:$Z,5,FALSE)</f>
        <v>48</v>
      </c>
      <c r="F216" s="4">
        <f>VLOOKUP($B216&amp;"__wt",'SegEnds_Xtal_BW#'!$A:$Z,6,FALSE)</f>
        <v>51</v>
      </c>
      <c r="G216" s="4">
        <v>37</v>
      </c>
      <c r="H216" s="11">
        <v>66</v>
      </c>
      <c r="I216" s="4">
        <f>VLOOKUP($B216&amp;"__wt",'SegEnds_Xtal_BW#'!$A:$Z,9,FALSE)</f>
        <v>49</v>
      </c>
      <c r="J216" s="4">
        <f>VLOOKUP($B216&amp;"__wt",'SegEnds_Xtal_BW#'!$A:$Z,10,FALSE)</f>
        <v>52</v>
      </c>
      <c r="K216" s="11">
        <v>18</v>
      </c>
      <c r="L216" s="4">
        <f>VLOOKUP($B216&amp;"__wt",'SegEnds_Xtal_BW#'!$A:$Z,12,FALSE)</f>
        <v>56</v>
      </c>
      <c r="M216" s="4">
        <f>VLOOKUP($B216&amp;"__wt",'SegEnds_Xtal_BW#'!$A:$Z,13,FALSE)</f>
        <v>50</v>
      </c>
      <c r="N216" s="11">
        <v>55</v>
      </c>
      <c r="O216" s="88">
        <v>38</v>
      </c>
      <c r="P216" s="4">
        <f>VLOOKUP($B216&amp;"__wt",'SegEnds_Xtal_BW#'!$A:$Z,16,FALSE)</f>
        <v>64</v>
      </c>
      <c r="Q216" s="4">
        <f>VLOOKUP($B216&amp;"__wt",'SegEnds_Xtal_BW#'!$A:$Z,17,FALSE)</f>
        <v>50</v>
      </c>
      <c r="R216" s="4">
        <f>VLOOKUP($B216&amp;"__wt",'SegEnds_Xtal_BW#'!$A:$Z,18,FALSE)</f>
        <v>52</v>
      </c>
      <c r="S216" s="4">
        <f>VLOOKUP($B216&amp;"__wt",'SegEnds_Xtal_BW#'!$A:$Z,19,FALSE)</f>
        <v>33</v>
      </c>
      <c r="T216" s="4">
        <f t="array" ref="T216">INDEX(ICL3_classA!$G$2:$G$39,MATCH(MIN(ABS(AI216-ICL3_classA!$F$2:$F$39)),ABS(AI216-ICL3_classA!$F$2:$F$39),0))</f>
        <v>76</v>
      </c>
      <c r="U216" s="4">
        <f t="array" ref="U216">INDEX(ICL3_classA!$H$2:$H$39,MATCH(MIN(ABS(AI216-ICL3_classA!$F$2:$F$39)),ABS(AI216-ICL3_classA!$F$2:$F$39),0))</f>
        <v>24</v>
      </c>
      <c r="V216" s="4">
        <v>61</v>
      </c>
      <c r="W216" s="4">
        <v>31</v>
      </c>
      <c r="X216" s="4">
        <f>VLOOKUP($B216&amp;"__wt",'SegEnds_Xtal_BW#'!$A:$Z,24,FALSE)</f>
        <v>56</v>
      </c>
      <c r="Y216" s="4">
        <f>VLOOKUP($B216&amp;"__wt",'SegEnds_Xtal_BW#'!$A:$Z,25,FALSE)</f>
        <v>47</v>
      </c>
      <c r="Z216" s="4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4">
        <f>VLOOKUP(A216,'SegEnds_NonXtal_Prot#'!A:AL,10,FALSE)-VLOOKUP(A216,'SegEnds_NonXtal_Prot#'!A:AL,7,FALSE)</f>
        <v>15</v>
      </c>
      <c r="AD216" s="4">
        <f>VLOOKUP(A216,'SegEnds_NonXtal_Prot#'!A:AL,13,FALSE)-VLOOKUP(A216,'SegEnds_NonXtal_Prot#'!A:AL,10,FALSE)</f>
        <v>18</v>
      </c>
      <c r="AE216" s="4">
        <f>VLOOKUP(A216,'SegEnds_NonXtal_Prot#'!A:AL,16,FALSE)-VLOOKUP(A216,'SegEnds_NonXtal_Prot#'!A:AL,10,FALSE)</f>
        <v>52</v>
      </c>
      <c r="AF216" s="1" t="e">
        <f>VLOOKUP(A216,'SegEnds_NonXtal_Prot#'!A:AL,22,FALSE)-VLOOKUP(A216,'SegEnds_NonXtal_Prot#'!A:AL,19,FALSE)</f>
        <v>#VALUE!</v>
      </c>
      <c r="AG216" s="4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51</v>
      </c>
      <c r="AI216" s="4">
        <f>VLOOKUP(A216,'SegEnds_NonXtal_Prot#'!A:AL,31,FALSE)-VLOOKUP(A216,'SegEnds_NonXtal_Prot#'!A:AL,28,FALSE)</f>
        <v>78</v>
      </c>
      <c r="AJ216" s="4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344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v>68</v>
      </c>
      <c r="U217" s="1">
        <v>28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27</v>
      </c>
      <c r="AH217" s="1">
        <f>VLOOKUP(A217,'SegEnds_NonXtal_Prot#'!A:AL,28,FALSE)-VLOOKUP(A217,'SegEnds_NonXtal_Prot#'!A:AL,22,FALSE)</f>
        <v>53</v>
      </c>
      <c r="AI217" s="1">
        <f>VLOOKUP(A217,'SegEnds_NonXtal_Prot#'!A:AL,31,FALSE)-VLOOKUP(A217,'SegEnds_NonXtal_Prot#'!A:AL,28,FALSE)</f>
        <v>46</v>
      </c>
      <c r="AJ217" s="1">
        <f>VLOOKUP(A217,'SegEnds_NonXtal_Prot#'!A:AL,34,FALSE)-VLOOKUP(A217,'SegEnds_NonXtal_Prot#'!A:AL,31,FALSE)</f>
        <v>46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345</v>
      </c>
      <c r="B218" s="1" t="str">
        <f>VLOOKUP(A218,Xtal_Templ!A:B,2,FALSE)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INDEX(ICL3_classA!$G$2:$G$39,MATCH(MIN(ABS(AI218-ICL3_classA!$F$2:$F$39)),ABS(AI218-ICL3_classA!$F$2:$F$39),0))</f>
        <v>72</v>
      </c>
      <c r="U218" s="1">
        <f t="array" ref="U218">INDEX(ICL3_classA!$H$2:$H$39,MATCH(MIN(ABS(AI218-ICL3_classA!$F$2:$F$39)),ABS(AI218-ICL3_classA!$F$2:$F$39),0))</f>
        <v>29</v>
      </c>
      <c r="V218" s="1">
        <v>61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50</v>
      </c>
      <c r="AJ218" s="1">
        <f>VLOOKUP(A218,'SegEnds_NonXtal_Prot#'!A:AL,34,FALSE)-VLOOKUP(A218,'SegEnds_NonXtal_Prot#'!A:AL,31,FALSE)</f>
        <v>43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346</v>
      </c>
      <c r="B219" s="1" t="str">
        <f>VLOOKUP(A219,Xtal_Templ!A:B,2,FALSE)</f>
        <v>p2ry1_human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24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 t="e">
        <f>VLOOKUP(A219,'SegEnds_NonXtal_Prot#'!A:AL,10,FALSE)-VLOOKUP(A219,'SegEnds_NonXtal_Prot#'!A:AL,7,FALSE)</f>
        <v>#VALUE!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27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48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347</v>
      </c>
      <c r="B220" s="1" t="str">
        <f>VLOOKUP(A220,Xtal_Templ!A:B,2,FALSE)</f>
        <v>p2ry1_human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58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INDEX(ICL3_classA!$G$2:$G$39,MATCH(MIN(ABS(AI220-ICL3_classA!$F$2:$F$39)),ABS(AI220-ICL3_classA!$F$2:$F$39),0))</f>
        <v>72</v>
      </c>
      <c r="U220" s="1">
        <f t="array" ref="U220">INDEX(ICL3_classA!$H$2:$H$39,MATCH(MIN(ABS(AI220-ICL3_classA!$F$2:$F$39)),ABS(AI220-ICL3_classA!$F$2:$F$39),0))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21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50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348</v>
      </c>
      <c r="B221" s="1" t="str">
        <f>VLOOKUP(A221,Xtal_Templ!A:B,2,FALSE)</f>
        <v>par2_human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47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62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INDEX(ICL3_classA!$G$2:$G$39,MATCH(MIN(ABS(AI221-ICL3_classA!$F$2:$F$39)),ABS(AI221-ICL3_classA!$F$2:$F$39),0))</f>
        <v>67</v>
      </c>
      <c r="U221" s="1">
        <f t="array" ref="U221">INDEX(ICL3_classA!$H$2:$H$39,MATCH(MIN(ABS(AI221-ICL3_classA!$F$2:$F$39)),ABS(AI221-ICL3_classA!$F$2:$F$39),0))</f>
        <v>26</v>
      </c>
      <c r="V221" s="1">
        <v>61</v>
      </c>
      <c r="W221" s="128">
        <f>VLOOKUP($B221&amp;"__wt",'SegEnds_Xtal_BW#'!$A:$Z,23,FALSE)</f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30</v>
      </c>
      <c r="AH221" s="1">
        <f>VLOOKUP(A221,'SegEnds_NonXtal_Prot#'!A:AL,28,FALSE)-VLOOKUP(A221,'SegEnds_NonXtal_Prot#'!A:AL,22,FALSE)</f>
        <v>57</v>
      </c>
      <c r="AI221" s="1">
        <f>VLOOKUP(A221,'SegEnds_NonXtal_Prot#'!A:AL,31,FALSE)-VLOOKUP(A221,'SegEnds_NonXtal_Prot#'!A:AL,28,FALSE)</f>
        <v>47</v>
      </c>
      <c r="AJ221" s="1">
        <f>VLOOKUP(A221,'SegEnds_NonXtal_Prot#'!A:AL,34,FALSE)-VLOOKUP(A221,'SegEnds_NonXtal_Prot#'!A:AL,31,FALSE)</f>
        <v>38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350</v>
      </c>
      <c r="B222" s="1" t="str">
        <f>VLOOKUP(A222,Xtal_Templ!A:B,2,FALSE)</f>
        <v>p2ry1_human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INDEX(ICL3_classA!$G$2:$G$39,MATCH(MIN(ABS(AI222-ICL3_classA!$F$2:$F$39)),ABS(AI222-ICL3_classA!$F$2:$F$39),0))</f>
        <v>67</v>
      </c>
      <c r="U222" s="1">
        <f t="array" ref="U222">INDEX(ICL3_classA!$H$2:$H$39,MATCH(MIN(ABS(AI222-ICL3_classA!$F$2:$F$39)),ABS(AI222-ICL3_classA!$F$2:$F$39),0))</f>
        <v>26</v>
      </c>
      <c r="V222" s="1">
        <v>64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29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26</v>
      </c>
      <c r="AH222" s="1">
        <f>VLOOKUP(A222,'SegEnds_NonXtal_Prot#'!A:AL,28,FALSE)-VLOOKUP(A222,'SegEnds_NonXtal_Prot#'!A:AL,22,FALSE)</f>
        <v>63</v>
      </c>
      <c r="AI222" s="1">
        <f>VLOOKUP(A222,'SegEnds_NonXtal_Prot#'!A:AL,31,FALSE)-VLOOKUP(A222,'SegEnds_NonXtal_Prot#'!A:AL,28,FALSE)</f>
        <v>46</v>
      </c>
      <c r="AJ222" s="1">
        <f>VLOOKUP(A222,'SegEnds_NonXtal_Prot#'!A:AL,34,FALSE)-VLOOKUP(A222,'SegEnds_NonXtal_Prot#'!A:AL,31,FALSE)</f>
        <v>55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351</v>
      </c>
      <c r="B223" s="1" t="str">
        <f>VLOOKUP(A223,Xtal_Templ!A:B,2,FALSE)</f>
        <v>p2y12_human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 t="str">
        <f>VLOOKUP($B223&amp;"__wt",'SegEnds_Xtal_BW#'!$A:$Z,9,FALSE)</f>
        <v>-</v>
      </c>
      <c r="J223" s="1" t="str">
        <f>VLOOKUP($B223&amp;"__wt",'SegEnds_Xtal_BW#'!$A:$Z,10,FALSE)</f>
        <v>-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INDEX(ICL3_classA!$G$2:$G$39,MATCH(MIN(ABS(AI223-ICL3_classA!$F$2:$F$39)),ABS(AI223-ICL3_classA!$F$2:$F$39),0))</f>
        <v>72</v>
      </c>
      <c r="U223" s="1">
        <f t="array" ref="U223">INDEX(ICL3_classA!$H$2:$H$39,MATCH(MIN(ABS(AI223-ICL3_classA!$F$2:$F$39)),ABS(AI223-ICL3_classA!$F$2:$F$39),0))</f>
        <v>29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57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27</v>
      </c>
      <c r="AC223" s="1" t="e">
        <f>VLOOKUP(A223,'SegEnds_NonXtal_Prot#'!A:AL,10,FALSE)-VLOOKUP(A223,'SegEnds_NonXtal_Prot#'!A:AL,7,FALSE)</f>
        <v>#VALUE!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52</v>
      </c>
      <c r="AI223" s="1">
        <f>VLOOKUP(A223,'SegEnds_NonXtal_Prot#'!A:AL,31,FALSE)-VLOOKUP(A223,'SegEnds_NonXtal_Prot#'!A:AL,28,FALSE)</f>
        <v>50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352</v>
      </c>
      <c r="B224" s="1" t="str">
        <f>VLOOKUP(A224,Xtal_Templ!A:B,2,FALSE)</f>
        <v>p2y12_human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 t="str">
        <f>VLOOKUP($B224&amp;"__wt",'SegEnds_Xtal_BW#'!$A:$Z,9,FALSE)</f>
        <v>-</v>
      </c>
      <c r="J224" s="1" t="str">
        <f>VLOOKUP($B224&amp;"__wt",'SegEnds_Xtal_BW#'!$A:$Z,10,FALSE)</f>
        <v>-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30</v>
      </c>
      <c r="T224" s="1">
        <f t="array" ref="T224">INDEX(ICL3_classA!$G$2:$G$39,MATCH(MIN(ABS(AI224-ICL3_classA!$F$2:$F$39)),ABS(AI224-ICL3_classA!$F$2:$F$39),0))</f>
        <v>72</v>
      </c>
      <c r="U224" s="1">
        <f t="array" ref="U224">INDEX(ICL3_classA!$H$2:$H$39,MATCH(MIN(ABS(AI224-ICL3_classA!$F$2:$F$39)),ABS(AI224-ICL3_classA!$F$2:$F$39),0))</f>
        <v>29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57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26</v>
      </c>
      <c r="AH224" s="1">
        <f>VLOOKUP(A224,'SegEnds_NonXtal_Prot#'!A:AL,28,FALSE)-VLOOKUP(A224,'SegEnds_NonXtal_Prot#'!A:AL,22,FALSE)</f>
        <v>52</v>
      </c>
      <c r="AI224" s="1">
        <f>VLOOKUP(A224,'SegEnds_NonXtal_Prot#'!A:AL,31,FALSE)-VLOOKUP(A224,'SegEnds_NonXtal_Prot#'!A:AL,28,FALSE)</f>
        <v>50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353</v>
      </c>
      <c r="B225" s="1" t="str">
        <f>VLOOKUP(A225,Xtal_Templ!A:B,2,FALSE)</f>
        <v>p2y12_human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 t="str">
        <f>VLOOKUP($B225&amp;"__wt",'SegEnds_Xtal_BW#'!$A:$Z,9,FALSE)</f>
        <v>-</v>
      </c>
      <c r="J225" s="1" t="str">
        <f>VLOOKUP($B225&amp;"__wt",'SegEnds_Xtal_BW#'!$A:$Z,10,FALSE)</f>
        <v>-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INDEX(ICL3_classA!$G$2:$G$39,MATCH(MIN(ABS(AI225-ICL3_classA!$F$2:$F$39)),ABS(AI225-ICL3_classA!$F$2:$F$39),0))</f>
        <v>72</v>
      </c>
      <c r="U225" s="1">
        <f t="array" ref="U225">INDEX(ICL3_classA!$H$2:$H$39,MATCH(MIN(ABS(AI225-ICL3_classA!$F$2:$F$39)),ABS(AI225-ICL3_classA!$F$2:$F$39),0))</f>
        <v>29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 t="e">
        <f>VLOOKUP(A225,'SegEnds_NonXtal_Prot#'!A:AL,13,FALSE)-VLOOKUP(A225,'SegEnds_NonXtal_Prot#'!A:AL,10,FALSE)</f>
        <v>#VALUE!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26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50</v>
      </c>
      <c r="AJ225" s="1">
        <f>VLOOKUP(A225,'SegEnds_NonXtal_Prot#'!A:AL,34,FALSE)-VLOOKUP(A225,'SegEnds_NonXtal_Prot#'!A:AL,31,FALSE)</f>
        <v>44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354</v>
      </c>
      <c r="B226" s="1" t="str">
        <f>VLOOKUP(A226,Xtal_Templ!A:B,2,FALSE)</f>
        <v>par1_human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67</v>
      </c>
      <c r="U226" s="1">
        <f t="array" ref="U226">INDEX(ICL3_classA!$H$2:$H$39,MATCH(MIN(ABS(AI226-ICL3_classA!$F$2:$F$39)),ABS(AI226-ICL3_classA!$F$2:$F$39),0))</f>
        <v>26</v>
      </c>
      <c r="V226" s="1">
        <v>62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46</v>
      </c>
      <c r="AJ226" s="1">
        <f>VLOOKUP(A226,'SegEnds_NonXtal_Prot#'!A:AL,34,FALSE)-VLOOKUP(A226,'SegEnds_NonXtal_Prot#'!A:AL,31,FALSE)</f>
        <v>40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355</v>
      </c>
      <c r="B227" s="1" t="str">
        <f>VLOOKUP(A227,Xtal_Templ!A:B,2,FALSE)</f>
        <v>par2_human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47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31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24</v>
      </c>
      <c r="V227" s="1">
        <v>62</v>
      </c>
      <c r="W227" s="128">
        <f>VLOOKUP($B227&amp;"__wt",'SegEnds_Xtal_BW#'!$A:$Z,23,FALSE)</f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48</v>
      </c>
      <c r="AJ227" s="1">
        <f>VLOOKUP(A227,'SegEnds_NonXtal_Prot#'!A:AL,34,FALSE)-VLOOKUP(A227,'SegEnds_NonXtal_Prot#'!A:AL,31,FALSE)</f>
        <v>39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356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INDEX(ICL3_classA!$G$2:$G$39,MATCH(MIN(ABS(AI228-ICL3_classA!$F$2:$F$39)),ABS(AI228-ICL3_classA!$F$2:$F$39),0))</f>
        <v>68</v>
      </c>
      <c r="U228" s="1">
        <f t="array" ref="U228">INDEX(ICL3_classA!$H$2:$H$39,MATCH(MIN(ABS(AI228-ICL3_classA!$F$2:$F$39)),ABS(AI228-ICL3_classA!$F$2:$F$39),0))</f>
        <v>30</v>
      </c>
      <c r="V228" s="1">
        <v>62</v>
      </c>
      <c r="W228" s="128">
        <f>VLOOKUP($B228&amp;"__wt",'SegEnds_Xtal_BW#'!$A:$Z,23,FALSE)</f>
        <v>31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27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22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42</v>
      </c>
      <c r="AJ228" s="1">
        <f>VLOOKUP(A228,'SegEnds_NonXtal_Prot#'!A:AL,34,FALSE)-VLOOKUP(A228,'SegEnds_NonXtal_Prot#'!A:AL,31,FALSE)</f>
        <v>39</v>
      </c>
      <c r="AK228" s="1" t="e">
        <f>VLOOKUP(A228,'SegEnds_NonXtal_Prot#'!A:AL,37,FALSE)-VLOOKUP(A228,'SegEnds_NonXtal_Prot#'!A:AL,34,FALSE)</f>
        <v>#VALUE!</v>
      </c>
      <c r="AL228" s="1" t="str">
        <f>IF(ISERROR(MATCH(A228,'SegEnds_Xtal_Prot#'!B:B, 0)), "NoXtal", "Xtal")</f>
        <v>NoXtal</v>
      </c>
    </row>
    <row r="229" spans="1:38" x14ac:dyDescent="0.2">
      <c r="A229" s="1" t="s">
        <v>357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30</v>
      </c>
      <c r="V229" s="1">
        <v>62</v>
      </c>
      <c r="W229" s="128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27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42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359</v>
      </c>
      <c r="B230" s="1" t="str">
        <f>VLOOKUP(A230,Xtal_Templ!A:B,2,FALSE)</f>
        <v>pd2r2_human</v>
      </c>
      <c r="C230" s="5">
        <f>VLOOKUP($B230&amp;"__wt",'SegEnds_Xtal_BW#'!$A:$Z,3,FALSE)</f>
        <v>32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26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61</v>
      </c>
      <c r="W230" s="108">
        <v>27</v>
      </c>
      <c r="X230" s="123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64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36</v>
      </c>
      <c r="AH230" s="1">
        <f>VLOOKUP(A230,'SegEnds_NonXtal_Prot#'!A:AL,28,FALSE)-VLOOKUP(A230,'SegEnds_NonXtal_Prot#'!A:AL,22,FALSE)</f>
        <v>62</v>
      </c>
      <c r="AI230" s="1">
        <f>VLOOKUP(A230,'SegEnds_NonXtal_Prot#'!A:AL,31,FALSE)-VLOOKUP(A230,'SegEnds_NonXtal_Prot#'!A:AL,28,FALSE)</f>
        <v>43</v>
      </c>
      <c r="AJ230" s="1">
        <f>VLOOKUP(A230,'SegEnds_NonXtal_Prot#'!A:AL,34,FALSE)-VLOOKUP(A230,'SegEnds_NonXtal_Prot#'!A:AL,31,FALSE)</f>
        <v>40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363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28">
        <f>VLOOKUP($B231&amp;"__wt",'SegEnds_Xtal_BW#'!$A:$Z,23,FALSE)</f>
        <v>33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51</v>
      </c>
      <c r="AI231" s="1">
        <f>VLOOKUP(A231,'SegEnds_NonXtal_Prot#'!A:AL,31,FALSE)-VLOOKUP(A231,'SegEnds_NonXtal_Prot#'!A:AL,28,FALSE)</f>
        <v>92</v>
      </c>
      <c r="AJ231" s="1">
        <f>VLOOKUP(A231,'SegEnds_NonXtal_Prot#'!A:AL,34,FALSE)-VLOOKUP(A231,'SegEnds_NonXtal_Prot#'!A:AL,31,FALSE)</f>
        <v>39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369</v>
      </c>
      <c r="B232" s="1" t="str">
        <f>VLOOKUP(A232,Xtal_Templ!A:B,2,FALSE)</f>
        <v>p2ry1_human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INDEX(ICL3_classA!$G$2:$G$39,MATCH(MIN(ABS(AI232-ICL3_classA!$F$2:$F$39)),ABS(AI232-ICL3_classA!$F$2:$F$39),0))</f>
        <v>67</v>
      </c>
      <c r="U232" s="1">
        <f t="array" ref="U232">INDEX(ICL3_classA!$H$2:$H$39,MATCH(MIN(ABS(AI232-ICL3_classA!$F$2:$F$39)),ABS(AI232-ICL3_classA!$F$2:$F$39),0))</f>
        <v>26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56</v>
      </c>
      <c r="AI232" s="1">
        <f>VLOOKUP(A232,'SegEnds_NonXtal_Prot#'!A:AL,31,FALSE)-VLOOKUP(A232,'SegEnds_NonXtal_Prot#'!A:AL,28,FALSE)</f>
        <v>46</v>
      </c>
      <c r="AJ232" s="1">
        <f>VLOOKUP(A232,'SegEnds_NonXtal_Prot#'!A:AL,34,FALSE)-VLOOKUP(A232,'SegEnds_NonXtal_Prot#'!A:AL,31,FALSE)</f>
        <v>46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370</v>
      </c>
      <c r="B233" s="1" t="str">
        <f>VLOOKUP(A233,Xtal_Templ!A:B,2,FALSE)</f>
        <v>ptafr_human</v>
      </c>
      <c r="C233" s="5">
        <f>VLOOKUP($B233&amp;"__wt",'SegEnds_Xtal_BW#'!$A:$Z,3,FALSE)</f>
        <v>27</v>
      </c>
      <c r="D233" s="1">
        <f>VLOOKUP($B233&amp;"__wt",'SegEnds_Xtal_BW#'!$A:$Z,4,FALSE)</f>
        <v>61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08">
        <v>36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33</v>
      </c>
      <c r="T233" s="1">
        <f t="array" ref="T233">INDEX(ICL3_classA!$G$2:$G$39,MATCH(MIN(ABS(AI233-ICL3_classA!$F$2:$F$39)),ABS(AI233-ICL3_classA!$F$2:$F$39),0))</f>
        <v>68</v>
      </c>
      <c r="U233" s="1">
        <f t="array" ref="U233">INDEX(ICL3_classA!$H$2:$H$39,MATCH(MIN(ABS(AI233-ICL3_classA!$F$2:$F$39)),ABS(AI233-ICL3_classA!$F$2:$F$39),0))</f>
        <v>24</v>
      </c>
      <c r="V233" s="108">
        <v>64</v>
      </c>
      <c r="W233" s="1">
        <v>24</v>
      </c>
      <c r="X233" s="1">
        <f>VLOOKUP($B233&amp;"__wt",'SegEnds_Xtal_BW#'!$A:$Z,24,FALSE)</f>
        <v>59</v>
      </c>
      <c r="Y233" s="1">
        <f>VLOOKUP($B233&amp;"__wt",'SegEnds_Xtal_BW#'!$A:$Z,25,FALSE)</f>
        <v>50</v>
      </c>
      <c r="Z233" s="1">
        <f>VLOOKUP($B233&amp;"__wt",'SegEnds_Xtal_BW#'!$A:$Z,26,FALSE)</f>
        <v>63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30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25</v>
      </c>
      <c r="AH233" s="1">
        <f>VLOOKUP(A233,'SegEnds_NonXtal_Prot#'!A:AL,28,FALSE)-VLOOKUP(A233,'SegEnds_NonXtal_Prot#'!A:AL,22,FALSE)</f>
        <v>56</v>
      </c>
      <c r="AI233" s="1">
        <f>VLOOKUP(A233,'SegEnds_NonXtal_Prot#'!A:AL,31,FALSE)-VLOOKUP(A233,'SegEnds_NonXtal_Prot#'!A:AL,28,FALSE)</f>
        <v>49</v>
      </c>
      <c r="AJ233" s="1">
        <f>VLOOKUP(A233,'SegEnds_NonXtal_Prot#'!A:AL,34,FALSE)-VLOOKUP(A233,'SegEnds_NonXtal_Prot#'!A:AL,31,FALSE)</f>
        <v>43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Xtal</v>
      </c>
    </row>
    <row r="234" spans="1:38" x14ac:dyDescent="0.2">
      <c r="A234" s="1" t="s">
        <v>371</v>
      </c>
      <c r="B234" s="1" t="str">
        <f>VLOOKUP(A234,Xtal_Templ!A:B,2,FALSE)</f>
        <v>ox2r_human</v>
      </c>
      <c r="C234" s="5">
        <f>VLOOKUP($B234&amp;"__wt",'SegEnds_Xtal_BW#'!$A:$Z,3,FALSE)</f>
        <v>31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33</v>
      </c>
      <c r="T234" s="1">
        <f t="array" ref="T234">INDEX(ICL3_classA!$G$2:$G$39,MATCH(MIN(ABS(AI234-ICL3_classA!$F$2:$F$39)),ABS(AI234-ICL3_classA!$F$2:$F$39),0))</f>
        <v>74</v>
      </c>
      <c r="U234" s="1">
        <f t="array" ref="U234">INDEX(ICL3_classA!$H$2:$H$39,MATCH(MIN(ABS(AI234-ICL3_classA!$F$2:$F$39)),ABS(AI234-ICL3_classA!$F$2:$F$39),0))</f>
        <v>21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63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56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41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372</v>
      </c>
      <c r="B235" s="1" t="str">
        <f>VLOOKUP(A235,Xtal_Templ!A:B,2,FALSE)</f>
        <v>agtr1_human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INDEX(ICL3_classA!$G$2:$G$39,MATCH(MIN(ABS(AI235-ICL3_classA!$F$2:$F$39)),ABS(AI235-ICL3_classA!$F$2:$F$39),0))</f>
        <v>74</v>
      </c>
      <c r="U235" s="1">
        <f t="array" ref="U235">INDEX(ICL3_classA!$H$2:$H$39,MATCH(MIN(ABS(AI235-ICL3_classA!$F$2:$F$39)),ABS(AI235-ICL3_classA!$F$2:$F$39),0))</f>
        <v>21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 t="e">
        <f>VLOOKUP(A235,'SegEnds_NonXtal_Prot#'!A:AL,22,FALSE)-VLOOKUP(A235,'SegEnds_NonXtal_Prot#'!A:AL,19,FALSE)</f>
        <v>#VALUE!</v>
      </c>
      <c r="AG235" s="1">
        <f>VLOOKUP(A235,'SegEnds_NonXtal_Prot#'!A:AL,28,FALSE)-VLOOKUP(A235,'SegEnds_NonXtal_Prot#'!A:AL,25,FALSE)</f>
        <v>32</v>
      </c>
      <c r="AH235" s="1">
        <f>VLOOKUP(A235,'SegEnds_NonXtal_Prot#'!A:AL,28,FALSE)-VLOOKUP(A235,'SegEnds_NonXtal_Prot#'!A:AL,22,FALSE)</f>
        <v>57</v>
      </c>
      <c r="AI235" s="1">
        <f>VLOOKUP(A235,'SegEnds_NonXtal_Prot#'!A:AL,31,FALSE)-VLOOKUP(A235,'SegEnds_NonXtal_Prot#'!A:AL,28,FALSE)</f>
        <v>62</v>
      </c>
      <c r="AJ235" s="1">
        <f>VLOOKUP(A235,'SegEnds_NonXtal_Prot#'!A:AL,34,FALSE)-VLOOKUP(A235,'SegEnds_NonXtal_Prot#'!A:AL,31,FALSE)</f>
        <v>45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373</v>
      </c>
      <c r="B236" s="1" t="str">
        <f>VLOOKUP(A236,Xtal_Templ!A:B,2,FALSE)</f>
        <v>oprk_human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INDEX(ICL3_classA!$G$2:$G$39,MATCH(MIN(ABS(AI236-ICL3_classA!$F$2:$F$39)),ABS(AI236-ICL3_classA!$F$2:$F$39),0))</f>
        <v>67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30</v>
      </c>
      <c r="AC236" s="1">
        <f>VLOOKUP(A236,'SegEnds_NonXtal_Prot#'!A:AL,10,FALSE)-VLOOKUP(A236,'SegEnds_NonXtal_Prot#'!A:AL,7,FALSE)</f>
        <v>16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50</v>
      </c>
      <c r="AI236" s="1">
        <f>VLOOKUP(A236,'SegEnds_NonXtal_Prot#'!A:AL,31,FALSE)-VLOOKUP(A236,'SegEnds_NonXtal_Prot#'!A:AL,28,FALSE)</f>
        <v>45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386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INDEX(ICL3_classA!$G$2:$G$39,MATCH(MIN(ABS(AI237-ICL3_classA!$F$2:$F$39)),ABS(AI237-ICL3_classA!$F$2:$F$39),0))</f>
        <v>74</v>
      </c>
      <c r="U237" s="1">
        <f t="array" ref="U237">INDEX(ICL3_classA!$H$2:$H$39,MATCH(MIN(ABS(AI237-ICL3_classA!$F$2:$F$39)),ABS(AI237-ICL3_classA!$F$2:$F$39),0))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20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387</v>
      </c>
      <c r="B238" s="1" t="str">
        <f>VLOOKUP(A238,Xtal_Templ!A:B,2,FALSE)</f>
        <v>ada2a_human</v>
      </c>
      <c r="C238" s="5">
        <f>VLOOKUP($B238&amp;"__wt",'SegEnds_Xtal_BW#'!$A:$Z,3,FALSE)</f>
        <v>32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f>VLOOKUP($B238&amp;"__wt",'SegEnds_Xtal_BW#'!$A:$Z,15,FALSE)</f>
        <v>38</v>
      </c>
      <c r="P238" s="1">
        <f>VLOOKUP($B238&amp;"__wt",'SegEnds_Xtal_BW#'!$A:$Z,16,FALSE)</f>
        <v>62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INDEX(ICL3_classA!$G$2:$G$39,MATCH(MIN(ABS(AI238-ICL3_classA!$F$2:$F$39)),ABS(AI238-ICL3_classA!$F$2:$F$39),0))</f>
        <v>73</v>
      </c>
      <c r="U238" s="1">
        <f t="array" ref="U238">INDEX(ICL3_classA!$H$2:$H$39,MATCH(MIN(ABS(AI238-ICL3_classA!$F$2:$F$39)),ABS(AI238-ICL3_classA!$F$2:$F$39),0))</f>
        <v>22</v>
      </c>
      <c r="V238" s="1">
        <v>61</v>
      </c>
      <c r="W238" s="1">
        <v>31</v>
      </c>
      <c r="X238" s="108">
        <v>56</v>
      </c>
      <c r="Y238" s="1">
        <f>VLOOKUP($B238&amp;"__wt",'SegEnds_Xtal_BW#'!$A:$Z,25,FALSE)</f>
        <v>47</v>
      </c>
      <c r="Z238" s="1">
        <f>VLOOKUP($B238&amp;"__wt",'SegEnds_Xtal_BW#'!$A:$Z,26,FALSE)</f>
        <v>60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56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388</v>
      </c>
      <c r="B239" s="1" t="str">
        <f>VLOOKUP(A239,Xtal_Templ!A:B,2,FALSE)</f>
        <v>ada2c_human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62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INDEX(ICL3_classA!$G$2:$G$39,MATCH(MIN(ABS(AI239-ICL3_classA!$F$2:$F$39)),ABS(AI239-ICL3_classA!$F$2:$F$39),0))</f>
        <v>74</v>
      </c>
      <c r="U239" s="1">
        <f t="array" ref="U239">INDEX(ICL3_classA!$H$2:$H$39,MATCH(MIN(ABS(AI239-ICL3_classA!$F$2:$F$39)),ABS(AI239-ICL3_classA!$F$2:$F$39),0))</f>
        <v>21</v>
      </c>
      <c r="V239" s="1">
        <v>61</v>
      </c>
      <c r="W239" s="1">
        <v>31</v>
      </c>
      <c r="X239" s="108"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20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62</v>
      </c>
      <c r="AJ239" s="1">
        <f>VLOOKUP(A239,'SegEnds_NonXtal_Prot#'!A:AL,34,FALSE)-VLOOKUP(A239,'SegEnds_NonXtal_Prot#'!A:AL,31,FALSE)</f>
        <v>35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389</v>
      </c>
      <c r="B240" s="1" t="str">
        <f>VLOOKUP(A240,Xtal_Templ!A:B,2,FALSE)</f>
        <v>5ht1b_human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INDEX(ICL3_classA!$G$2:$G$39,MATCH(MIN(ABS(AI240-ICL3_classA!$F$2:$F$39)),ABS(AI240-ICL3_classA!$F$2:$F$39),0))</f>
        <v>73</v>
      </c>
      <c r="U240" s="1">
        <f t="array" ref="U240">INDEX(ICL3_classA!$H$2:$H$39,MATCH(MIN(ABS(AI240-ICL3_classA!$F$2:$F$39)),ABS(AI240-ICL3_classA!$F$2:$F$39),0))</f>
        <v>22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19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56</v>
      </c>
      <c r="AJ240" s="1">
        <f>VLOOKUP(A240,'SegEnds_NonXtal_Prot#'!A:AL,34,FALSE)-VLOOKUP(A240,'SegEnds_NonXtal_Prot#'!A:AL,31,FALSE)</f>
        <v>35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390</v>
      </c>
      <c r="B241" s="1" t="str">
        <f>VLOOKUP(A241,Xtal_Templ!A:B,2,FALSE)</f>
        <v>5ht1b_human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INDEX(ICL3_classA!$G$2:$G$39,MATCH(MIN(ABS(AI241-ICL3_classA!$F$2:$F$39)),ABS(AI241-ICL3_classA!$F$2:$F$39),0))</f>
        <v>74</v>
      </c>
      <c r="U241" s="1">
        <f t="array" ref="U241">INDEX(ICL3_classA!$H$2:$H$39,MATCH(MIN(ABS(AI241-ICL3_classA!$F$2:$F$39)),ABS(AI241-ICL3_classA!$F$2:$F$39),0))</f>
        <v>21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19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64</v>
      </c>
      <c r="AJ241" s="1">
        <f>VLOOKUP(A241,'SegEnds_NonXtal_Prot#'!A:AL,34,FALSE)-VLOOKUP(A241,'SegEnds_NonXtal_Prot#'!A:AL,31,FALSE)</f>
        <v>35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391</v>
      </c>
      <c r="B242" s="1" t="str">
        <f>VLOOKUP(A242,Xtal_Templ!A:B,2,FALSE)</f>
        <v>5ht1b_human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68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INDEX(ICL3_classA!$G$2:$G$39,MATCH(MIN(ABS(AI242-ICL3_classA!$F$2:$F$39)),ABS(AI242-ICL3_classA!$F$2:$F$39),0))</f>
        <v>74</v>
      </c>
      <c r="U242" s="1">
        <f t="array" ref="U242">INDEX(ICL3_classA!$H$2:$H$39,MATCH(MIN(ABS(AI242-ICL3_classA!$F$2:$F$39)),ABS(AI242-ICL3_classA!$F$2:$F$39),0))</f>
        <v>21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19</v>
      </c>
      <c r="AH242" s="1">
        <f>VLOOKUP(A242,'SegEnds_NonXtal_Prot#'!A:AL,28,FALSE)-VLOOKUP(A242,'SegEnds_NonXtal_Prot#'!A:AL,22,FALSE)</f>
        <v>52</v>
      </c>
      <c r="AI242" s="1">
        <f>VLOOKUP(A242,'SegEnds_NonXtal_Prot#'!A:AL,31,FALSE)-VLOOKUP(A242,'SegEnds_NonXtal_Prot#'!A:AL,28,FALSE)</f>
        <v>64</v>
      </c>
      <c r="AJ242" s="1">
        <f>VLOOKUP(A242,'SegEnds_NonXtal_Prot#'!A:AL,34,FALSE)-VLOOKUP(A242,'SegEnds_NonXtal_Prot#'!A:AL,31,FALSE)</f>
        <v>35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392</v>
      </c>
      <c r="B243" s="1" t="str">
        <f>VLOOKUP(A243,Xtal_Templ!A:B,2,FALSE)</f>
        <v>5ht1b_human</v>
      </c>
      <c r="C243" s="5">
        <f>VLOOKUP($B243&amp;"__wt",'SegEnds_Xtal_BW#'!$A:$Z,3,FALSE)</f>
        <v>28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INDEX(ICL3_classA!$G$2:$G$39,MATCH(MIN(ABS(AI243-ICL3_classA!$F$2:$F$39)),ABS(AI243-ICL3_classA!$F$2:$F$39),0))</f>
        <v>74</v>
      </c>
      <c r="U243" s="1">
        <f t="array" ref="U243">INDEX(ICL3_classA!$H$2:$H$39,MATCH(MIN(ABS(AI243-ICL3_classA!$F$2:$F$39)),ABS(AI243-ICL3_classA!$F$2:$F$39),0))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19</v>
      </c>
      <c r="AH243" s="1">
        <f>VLOOKUP(A243,'SegEnds_NonXtal_Prot#'!A:AL,28,FALSE)-VLOOKUP(A243,'SegEnds_NonXtal_Prot#'!A:AL,22,FALSE)</f>
        <v>52</v>
      </c>
      <c r="AI243" s="1">
        <f>VLOOKUP(A243,'SegEnds_NonXtal_Prot#'!A:AL,31,FALSE)-VLOOKUP(A243,'SegEnds_NonXtal_Prot#'!A:AL,28,FALSE)</f>
        <v>64</v>
      </c>
      <c r="AJ243" s="1">
        <f>VLOOKUP(A243,'SegEnds_NonXtal_Prot#'!A:AL,34,FALSE)-VLOOKUP(A243,'SegEnds_NonXtal_Prot#'!A:AL,31,FALSE)</f>
        <v>35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393</v>
      </c>
      <c r="B244" s="1" t="str">
        <f>VLOOKUP(A244,Xtal_Templ!A:B,2,FALSE)</f>
        <v>oprx_human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31</v>
      </c>
      <c r="T244" s="1">
        <f t="array" ref="T244">INDEX(ICL3_classA!$G$2:$G$39,MATCH(MIN(ABS(AI244-ICL3_classA!$F$2:$F$39)),ABS(AI244-ICL3_classA!$F$2:$F$39),0))</f>
        <v>76</v>
      </c>
      <c r="U244" s="1">
        <f t="array" ref="U244">INDEX(ICL3_classA!$H$2:$H$39,MATCH(MIN(ABS(AI244-ICL3_classA!$F$2:$F$39)),ABS(AI244-ICL3_classA!$F$2:$F$39),0))</f>
        <v>24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24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78</v>
      </c>
      <c r="AJ244" s="1">
        <f>VLOOKUP(A244,'SegEnds_NonXtal_Prot#'!A:AL,34,FALSE)-VLOOKUP(A244,'SegEnds_NonXtal_Prot#'!A:AL,31,FALSE)</f>
        <v>36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396</v>
      </c>
      <c r="B245" s="1" t="str">
        <f>VLOOKUP(A245,Xtal_Templ!A:B,2,FALSE)</f>
        <v>ox2r_human</v>
      </c>
      <c r="C245" s="5">
        <f>VLOOKUP($B245&amp;"__wt",'SegEnds_Xtal_BW#'!$A:$Z,3,FALSE)</f>
        <v>31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08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08">
        <v>56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76</v>
      </c>
      <c r="U245" s="1">
        <f t="array" ref="U245">INDEX(ICL3_classA!$H$2:$H$39,MATCH(MIN(ABS(AI245-ICL3_classA!$F$2:$F$39)),ABS(AI245-ICL3_classA!$F$2:$F$39),0))</f>
        <v>24</v>
      </c>
      <c r="V245" s="1">
        <v>61</v>
      </c>
      <c r="W245" s="128">
        <f>VLOOKUP($B245&amp;"__wt",'SegEnds_Xtal_BW#'!$A:$Z,23,FALSE)</f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19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53</v>
      </c>
      <c r="AI245" s="1">
        <f>VLOOKUP(A245,'SegEnds_NonXtal_Prot#'!A:AL,31,FALSE)-VLOOKUP(A245,'SegEnds_NonXtal_Prot#'!A:AL,28,FALSE)</f>
        <v>78</v>
      </c>
      <c r="AJ245" s="1">
        <f>VLOOKUP(A245,'SegEnds_NonXtal_Prot#'!A:AL,34,FALSE)-VLOOKUP(A245,'SegEnds_NonXtal_Prot#'!A:AL,31,FALSE)</f>
        <v>39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397</v>
      </c>
      <c r="B246" s="1" t="str">
        <f>VLOOKUP(A246,Xtal_Templ!A:B,2,FALSE)</f>
        <v>ntr1_human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08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08">
        <v>56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INDEX(ICL3_classA!$G$2:$G$39,MATCH(MIN(ABS(AI246-ICL3_classA!$F$2:$F$39)),ABS(AI246-ICL3_classA!$F$2:$F$39),0))</f>
        <v>76</v>
      </c>
      <c r="U246" s="1">
        <f t="array" ref="U246">INDEX(ICL3_classA!$H$2:$H$39,MATCH(MIN(ABS(AI246-ICL3_classA!$F$2:$F$39)),ABS(AI246-ICL3_classA!$F$2:$F$39),0))</f>
        <v>24</v>
      </c>
      <c r="V246" s="1">
        <v>61</v>
      </c>
      <c r="W246" s="128">
        <f>VLOOKUP($B246&amp;"__wt",'SegEnds_Xtal_BW#'!$A:$Z,23,FALSE)</f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62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19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85</v>
      </c>
      <c r="AJ246" s="1">
        <f>VLOOKUP(A246,'SegEnds_NonXtal_Prot#'!A:AL,34,FALSE)-VLOOKUP(A246,'SegEnds_NonXtal_Prot#'!A:AL,31,FALSE)</f>
        <v>39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398</v>
      </c>
      <c r="B247" s="1" t="str">
        <f>VLOOKUP(A247,Xtal_Templ!A:B,2,FALSE)</f>
        <v>ntr1_rat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32</v>
      </c>
      <c r="T247" s="1">
        <f t="array" ref="T247">INDEX(ICL3_classA!$G$2:$G$39,MATCH(MIN(ABS(AI247-ICL3_classA!$F$2:$F$39)),ABS(AI247-ICL3_classA!$F$2:$F$39),0))</f>
        <v>76</v>
      </c>
      <c r="U247" s="1">
        <f t="array" ref="U247">INDEX(ICL3_classA!$H$2:$H$39,MATCH(MIN(ABS(AI247-ICL3_classA!$F$2:$F$39)),ABS(AI247-ICL3_classA!$F$2:$F$39),0))</f>
        <v>24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62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30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69</v>
      </c>
      <c r="AJ247" s="1">
        <f>VLOOKUP(A247,'SegEnds_NonXtal_Prot#'!A:AL,34,FALSE)-VLOOKUP(A247,'SegEnds_NonXtal_Prot#'!A:AL,31,FALSE)</f>
        <v>36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132</v>
      </c>
      <c r="B248" s="1" t="str">
        <f>VLOOKUP(A248,Xtal_Templ!A:B,2,FALSE)</f>
        <v>5ht2a_human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68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67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INDEX(ICL3_classA!$G$2:$G$39,MATCH(MIN(ABS(AI248-ICL3_classA!$F$2:$F$39)),ABS(AI248-ICL3_classA!$F$2:$F$39),0))</f>
        <v>76</v>
      </c>
      <c r="U248" s="1">
        <f t="array" ref="U248">INDEX(ICL3_classA!$H$2:$H$39,MATCH(MIN(ABS(AI248-ICL3_classA!$F$2:$F$39)),ABS(AI248-ICL3_classA!$F$2:$F$39),0))</f>
        <v>24</v>
      </c>
      <c r="V248" s="1">
        <v>61</v>
      </c>
      <c r="W248" s="128">
        <v>27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21</v>
      </c>
      <c r="AE248" s="1">
        <f>VLOOKUP(A248,'SegEnds_NonXtal_Prot#'!A:AL,16,FALSE)-VLOOKUP(A248,'SegEnds_NonXtal_Prot#'!A:AL,10,FALSE)</f>
        <v>53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19</v>
      </c>
      <c r="AH248" s="1">
        <f>VLOOKUP(A248,'SegEnds_NonXtal_Prot#'!A:AL,28,FALSE)-VLOOKUP(A248,'SegEnds_NonXtal_Prot#'!A:AL,22,FALSE)</f>
        <v>46</v>
      </c>
      <c r="AI248" s="1">
        <f>VLOOKUP(A248,'SegEnds_NonXtal_Prot#'!A:AL,31,FALSE)-VLOOKUP(A248,'SegEnds_NonXtal_Prot#'!A:AL,28,FALSE)</f>
        <v>92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Xtal</v>
      </c>
    </row>
    <row r="249" spans="1:38" x14ac:dyDescent="0.2">
      <c r="A249" s="1" t="s">
        <v>35</v>
      </c>
      <c r="B249" s="1" t="str">
        <f>VLOOKUP(A249,Xtal_Templ!A:B,2,FALSE)</f>
        <v>5ht2b_human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INDEX(ICL3_classA!$G$2:$G$39,MATCH(MIN(ABS(AI249-ICL3_classA!$F$2:$F$39)),ABS(AI249-ICL3_classA!$F$2:$F$39),0))</f>
        <v>76</v>
      </c>
      <c r="U249" s="1">
        <f t="array" ref="U249">INDEX(ICL3_classA!$H$2:$H$39,MATCH(MIN(ABS(AI249-ICL3_classA!$F$2:$F$39)),ABS(AI249-ICL3_classA!$F$2:$F$39),0))</f>
        <v>24</v>
      </c>
      <c r="V249" s="1">
        <v>61</v>
      </c>
      <c r="W249" s="128">
        <v>27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53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49</v>
      </c>
      <c r="AI249" s="1">
        <f>VLOOKUP(A249,'SegEnds_NonXtal_Prot#'!A:AL,31,FALSE)-VLOOKUP(A249,'SegEnds_NonXtal_Prot#'!A:AL,28,FALSE)</f>
        <v>110</v>
      </c>
      <c r="AJ249" s="1">
        <f>VLOOKUP(A249,'SegEnds_NonXtal_Prot#'!A:AL,34,FALSE)-VLOOKUP(A249,'SegEnds_NonXtal_Prot#'!A:AL,31,FALSE)</f>
        <v>38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133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INDEX(ICL3_classA!$G$2:$G$39,MATCH(MIN(ABS(AI250-ICL3_classA!$F$2:$F$39)),ABS(AI250-ICL3_classA!$F$2:$F$39),0))</f>
        <v>74</v>
      </c>
      <c r="U250" s="1">
        <f t="array" ref="U250">INDEX(ICL3_classA!$H$2:$H$39,MATCH(MIN(ABS(AI250-ICL3_classA!$F$2:$F$39)),ABS(AI250-ICL3_classA!$F$2:$F$39),0))</f>
        <v>24</v>
      </c>
      <c r="V250" s="1">
        <v>61</v>
      </c>
      <c r="W250" s="128">
        <v>27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53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19</v>
      </c>
      <c r="AH250" s="1">
        <f>VLOOKUP(A250,'SegEnds_NonXtal_Prot#'!A:AL,28,FALSE)-VLOOKUP(A250,'SegEnds_NonXtal_Prot#'!A:AL,22,FALSE)</f>
        <v>47</v>
      </c>
      <c r="AI250" s="1">
        <f>VLOOKUP(A250,'SegEnds_NonXtal_Prot#'!A:AL,31,FALSE)-VLOOKUP(A250,'SegEnds_NonXtal_Prot#'!A:AL,28,FALSE)</f>
        <v>100</v>
      </c>
      <c r="AJ250" s="1">
        <f>VLOOKUP(A250,'SegEnds_NonXtal_Prot#'!A:AL,34,FALSE)-VLOOKUP(A250,'SegEnds_NonXtal_Prot#'!A:AL,31,FALSE)</f>
        <v>39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135</v>
      </c>
      <c r="B251" s="1" t="str">
        <f>VLOOKUP(A251,Xtal_Templ!A:B,2,FALSE)</f>
        <v>5ht1b_human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INDEX(ICL3_classA!$G$2:$G$39,MATCH(MIN(ABS(AI251-ICL3_classA!$F$2:$F$39)),ABS(AI251-ICL3_classA!$F$2:$F$39),0))</f>
        <v>76</v>
      </c>
      <c r="U251" s="1">
        <f t="array" ref="U251">INDEX(ICL3_classA!$H$2:$H$39,MATCH(MIN(ABS(AI251-ICL3_classA!$F$2:$F$39)),ABS(AI251-ICL3_classA!$F$2:$F$39),0))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21</v>
      </c>
      <c r="AE251" s="1">
        <f>VLOOKUP(A251,'SegEnds_NonXtal_Prot#'!A:AL,16,FALSE)-VLOOKUP(A251,'SegEnds_NonXtal_Prot#'!A:AL,10,FALSE)</f>
        <v>53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46</v>
      </c>
      <c r="AI251" s="1">
        <f>VLOOKUP(A251,'SegEnds_NonXtal_Prot#'!A:AL,31,FALSE)-VLOOKUP(A251,'SegEnds_NonXtal_Prot#'!A:AL,28,FALSE)</f>
        <v>88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137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INDEX(ICL3_classA!$G$2:$G$39,MATCH(MIN(ABS(AI252-ICL3_classA!$F$2:$F$39)),ABS(AI252-ICL3_classA!$F$2:$F$39),0))</f>
        <v>76</v>
      </c>
      <c r="U252" s="1">
        <f t="array" ref="U252">INDEX(ICL3_classA!$H$2:$H$39,MATCH(MIN(ABS(AI252-ICL3_classA!$F$2:$F$39)),ABS(AI252-ICL3_classA!$F$2:$F$39),0))</f>
        <v>24</v>
      </c>
      <c r="V252" s="1">
        <v>61</v>
      </c>
      <c r="W252" s="128">
        <v>27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21</v>
      </c>
      <c r="AE252" s="1">
        <f>VLOOKUP(A252,'SegEnds_NonXtal_Prot#'!A:AL,16,FALSE)-VLOOKUP(A252,'SegEnds_NonXtal_Prot#'!A:AL,10,FALSE)</f>
        <v>53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44</v>
      </c>
      <c r="AI252" s="1">
        <f>VLOOKUP(A252,'SegEnds_NonXtal_Prot#'!A:AL,31,FALSE)-VLOOKUP(A252,'SegEnds_NonXtal_Prot#'!A:AL,28,FALSE)</f>
        <v>91</v>
      </c>
      <c r="AJ252" s="1">
        <f>VLOOKUP(A252,'SegEnds_NonXtal_Prot#'!A:AL,34,FALSE)-VLOOKUP(A252,'SegEnds_NonXtal_Prot#'!A:AL,31,FALSE)</f>
        <v>39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192</v>
      </c>
      <c r="B253" s="1" t="str">
        <f>VLOOKUP(A253,Xtal_Templ!A:B,2,FALSE)</f>
        <v>drd3_human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INDEX(ICL3_classA!$G$2:$G$39,MATCH(MIN(ABS(AI253-ICL3_classA!$F$2:$F$39)),ABS(AI253-ICL3_classA!$F$2:$F$39),0))</f>
        <v>76</v>
      </c>
      <c r="U253" s="1">
        <f t="array" ref="U253">INDEX(ICL3_classA!$H$2:$H$39,MATCH(MIN(ABS(AI253-ICL3_classA!$F$2:$F$39)),ABS(AI253-ICL3_classA!$F$2:$F$39),0))</f>
        <v>24</v>
      </c>
      <c r="V253" s="1">
        <f>VLOOKUP($B253&amp;"__wt",'SegEnds_Xtal_BW#'!$A:$Z,22,FALSE)</f>
        <v>60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21</v>
      </c>
      <c r="AE253" s="1">
        <f>VLOOKUP(A253,'SegEnds_NonXtal_Prot#'!A:AL,16,FALSE)-VLOOKUP(A253,'SegEnds_NonXtal_Prot#'!A:AL,10,FALSE)</f>
        <v>53</v>
      </c>
      <c r="AF253" s="1">
        <f>VLOOKUP(A253,'SegEnds_NonXtal_Prot#'!A:AL,22,FALSE)-VLOOKUP(A253,'SegEnds_NonXtal_Prot#'!A:AL,19,FALSE)</f>
        <v>23</v>
      </c>
      <c r="AG253" s="1">
        <f>VLOOKUP(A253,'SegEnds_NonXtal_Prot#'!A:AL,28,FALSE)-VLOOKUP(A253,'SegEnds_NonXtal_Prot#'!A:AL,25,FALSE)</f>
        <v>19</v>
      </c>
      <c r="AH253" s="1">
        <f>VLOOKUP(A253,'SegEnds_NonXtal_Prot#'!A:AL,28,FALSE)-VLOOKUP(A253,'SegEnds_NonXtal_Prot#'!A:AL,22,FALSE)</f>
        <v>42</v>
      </c>
      <c r="AI253" s="1">
        <f>VLOOKUP(A253,'SegEnds_NonXtal_Prot#'!A:AL,31,FALSE)-VLOOKUP(A253,'SegEnds_NonXtal_Prot#'!A:AL,28,FALSE)</f>
        <v>144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193</v>
      </c>
      <c r="B254" s="1" t="str">
        <f>VLOOKUP(A254,Xtal_Templ!A:B,2,FALSE)</f>
        <v>drd4_human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38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19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INDEX(ICL3_classA!$G$2:$G$39,MATCH(MIN(ABS(AI254-ICL3_classA!$F$2:$F$39)),ABS(AI254-ICL3_classA!$F$2:$F$39),0))</f>
        <v>75</v>
      </c>
      <c r="U254" s="1">
        <f t="array" ref="U254">INDEX(ICL3_classA!$H$2:$H$39,MATCH(MIN(ABS(AI254-ICL3_classA!$F$2:$F$39)),ABS(AI254-ICL3_classA!$F$2:$F$39),0))</f>
        <v>24</v>
      </c>
      <c r="V254" s="1">
        <f>VLOOKUP($B254&amp;"__wt",'SegEnds_Xtal_BW#'!$A:$Z,22,FALSE)</f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21</v>
      </c>
      <c r="AE254" s="1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19</v>
      </c>
      <c r="AH254" s="1">
        <f>VLOOKUP(A254,'SegEnds_NonXtal_Prot#'!A:AL,28,FALSE)-VLOOKUP(A254,'SegEnds_NonXtal_Prot#'!A:AL,22,FALSE)</f>
        <v>44</v>
      </c>
      <c r="AI254" s="1">
        <f>VLOOKUP(A254,'SegEnds_NonXtal_Prot#'!A:AL,31,FALSE)-VLOOKUP(A254,'SegEnds_NonXtal_Prot#'!A:AL,28,FALSE)</f>
        <v>205</v>
      </c>
      <c r="AJ254" s="1">
        <f>VLOOKUP(A254,'SegEnds_NonXtal_Prot#'!A:AL,34,FALSE)-VLOOKUP(A254,'SegEnds_NonXtal_Prot#'!A:AL,31,FALSE)</f>
        <v>36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Xtal</v>
      </c>
    </row>
    <row r="255" spans="1:38" x14ac:dyDescent="0.2">
      <c r="A255" s="1" t="s">
        <v>1690</v>
      </c>
      <c r="B255" s="1" t="str">
        <f>VLOOKUP(A255,Xtal_Templ!A:B,2,FALSE)</f>
        <v>drd4_mouse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39</v>
      </c>
      <c r="H255" s="12">
        <f>VLOOKUP($B255&amp;"__wt",'SegEnds_Xtal_BW#'!$A:$Z,8,FALSE)</f>
        <v>68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20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53</v>
      </c>
      <c r="O255" s="87">
        <f>VLOOKUP($B255&amp;"__wt",'SegEnds_Xtal_BW#'!$A:$Z,15,FALSE)</f>
        <v>36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INDEX(ICL3_classA!$G$2:$G$39,MATCH(MIN(ABS(AI255-ICL3_classA!$F$2:$F$39)),ABS(AI255-ICL3_classA!$F$2:$F$39),0))</f>
        <v>76</v>
      </c>
      <c r="U255" s="1">
        <f t="array" ref="U255">INDEX(ICL3_classA!$H$2:$H$39,MATCH(MIN(ABS(AI255-ICL3_classA!$F$2:$F$39)),ABS(AI255-ICL3_classA!$F$2:$F$39),0))</f>
        <v>24</v>
      </c>
      <c r="V255" s="1">
        <f>VLOOKUP($B255&amp;"__wt",'SegEnds_Xtal_BW#'!$A:$Z,22,FALSE)</f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21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19</v>
      </c>
      <c r="AH255" s="1">
        <f>VLOOKUP(A255,'SegEnds_NonXtal_Prot#'!A:AL,28,FALSE)-VLOOKUP(A255,'SegEnds_NonXtal_Prot#'!A:AL,22,FALSE)</f>
        <v>44</v>
      </c>
      <c r="AI255" s="1">
        <f>VLOOKUP(A255,'SegEnds_NonXtal_Prot#'!A:AL,31,FALSE)-VLOOKUP(A255,'SegEnds_NonXtal_Prot#'!A:AL,28,FALSE)</f>
        <v>130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Xtal</v>
      </c>
    </row>
    <row r="256" spans="1:38" x14ac:dyDescent="0.2">
      <c r="A256" s="1" t="s">
        <v>215</v>
      </c>
      <c r="B256" s="1" t="str">
        <f>VLOOKUP(A256,Xtal_Templ!A:B,2,FALSE)</f>
        <v>5ht2c_human</v>
      </c>
      <c r="C256" s="5">
        <f>VLOOKUP($B256&amp;"__wt",'SegEnds_Xtal_BW#'!$A:$Z,3,FALSE)</f>
        <v>33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INDEX(ICL3_classA!$G$2:$G$39,MATCH(MIN(ABS(AI256-ICL3_classA!$F$2:$F$39)),ABS(AI256-ICL3_classA!$F$2:$F$39),0))</f>
        <v>68</v>
      </c>
      <c r="U256" s="1">
        <f t="array" ref="U256">INDEX(ICL3_classA!$H$2:$H$39,MATCH(MIN(ABS(AI256-ICL3_classA!$F$2:$F$39)),ABS(AI256-ICL3_classA!$F$2:$F$39),0))</f>
        <v>24</v>
      </c>
      <c r="V256" s="1">
        <v>61</v>
      </c>
      <c r="W256" s="128">
        <f>VLOOKUP($B256&amp;"__wt",'SegEnds_Xtal_BW#'!$A:$Z,23,FALSE)</f>
        <v>27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217</v>
      </c>
      <c r="B257" s="1" t="str">
        <f>VLOOKUP(A257,Xtal_Templ!A:B,2,FALSE)</f>
        <v>drd4_mouse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"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v>56</v>
      </c>
      <c r="O257" s="108"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35</v>
      </c>
      <c r="T257" s="1">
        <f t="array" ref="T257">INDEX(ICL3_classA!$G$2:$G$39,MATCH(MIN(ABS(AI257-ICL3_classA!$F$2:$F$39)),ABS(AI257-ICL3_classA!$F$2:$F$39),0))</f>
        <v>67</v>
      </c>
      <c r="U257" s="1">
        <f t="array" ref="U257">INDEX(ICL3_classA!$H$2:$H$39,MATCH(MIN(ABS(AI257-ICL3_classA!$F$2:$F$39)),ABS(AI257-ICL3_classA!$F$2:$F$39),0))</f>
        <v>26</v>
      </c>
      <c r="V257" s="1">
        <v>61</v>
      </c>
      <c r="W257" s="128">
        <f>VLOOKUP($B257&amp;"__wt",'SegEnds_Xtal_BW#'!$A:$Z,23,FALSE)</f>
        <v>31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29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19</v>
      </c>
      <c r="AG257" s="1" t="e">
        <f>VLOOKUP(A257,'SegEnds_NonXtal_Prot#'!A:AL,28,FALSE)-VLOOKUP(A257,'SegEnds_NonXtal_Prot#'!A:AL,25,FALSE)</f>
        <v>#VALUE!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47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229</v>
      </c>
      <c r="B258" s="1" t="str">
        <f>VLOOKUP(A258,Xtal_Templ!A:B,2,FALSE)</f>
        <v>5ht2a_human</v>
      </c>
      <c r="C258" s="5">
        <f>VLOOKUP($B258&amp;"__wt",'SegEnds_Xtal_BW#'!$A:$Z,3,FALSE)</f>
        <v>27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67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INDEX(ICL3_classA!$G$2:$G$39,MATCH(MIN(ABS(AI258-ICL3_classA!$F$2:$F$39)),ABS(AI258-ICL3_classA!$F$2:$F$39),0))</f>
        <v>74</v>
      </c>
      <c r="U258" s="1">
        <f t="array" ref="U258">INDEX(ICL3_classA!$H$2:$H$39,MATCH(MIN(ABS(AI258-ICL3_classA!$F$2:$F$39)),ABS(AI258-ICL3_classA!$F$2:$F$39),0))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60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21</v>
      </c>
      <c r="AE258" s="1">
        <f>VLOOKUP(A258,'SegEnds_NonXtal_Prot#'!A:AL,16,FALSE)-VLOOKUP(A258,'SegEnds_NonXtal_Prot#'!A:AL,10,FALSE)</f>
        <v>53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61</v>
      </c>
      <c r="AH258" s="1">
        <f>VLOOKUP(A258,'SegEnds_NonXtal_Prot#'!A:AL,28,FALSE)-VLOOKUP(A258,'SegEnds_NonXtal_Prot#'!A:AL,22,FALSE)</f>
        <v>87</v>
      </c>
      <c r="AI258" s="1">
        <f>VLOOKUP(A258,'SegEnds_NonXtal_Prot#'!A:AL,31,FALSE)-VLOOKUP(A258,'SegEnds_NonXtal_Prot#'!A:AL,28,FALSE)</f>
        <v>66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265</v>
      </c>
      <c r="B259" s="1" t="str">
        <f>VLOOKUP(A259,Xtal_Templ!A:B,2,FALSE)</f>
        <v>ccr6_human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56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31</v>
      </c>
      <c r="T259" s="1">
        <f t="array" ref="T259">INDEX(ICL3_classA!$G$2:$G$39,MATCH(MIN(ABS(AI259-ICL3_classA!$F$2:$F$39)),ABS(AI259-ICL3_classA!$F$2:$F$39),0))</f>
        <v>76</v>
      </c>
      <c r="U259" s="1">
        <f t="array" ref="U259">INDEX(ICL3_classA!$H$2:$H$39,MATCH(MIN(ABS(AI259-ICL3_classA!$F$2:$F$39)),ABS(AI259-ICL3_classA!$F$2:$F$39),0))</f>
        <v>24</v>
      </c>
      <c r="V259" s="1">
        <v>61</v>
      </c>
      <c r="W259" s="1">
        <v>31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62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30</v>
      </c>
      <c r="AC259" s="1">
        <f>VLOOKUP(A259,'SegEnds_NonXtal_Prot#'!A:AL,10,FALSE)-VLOOKUP(A259,'SegEnds_NonXtal_Prot#'!A:AL,7,FALSE)</f>
        <v>15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53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45</v>
      </c>
      <c r="AI259" s="1">
        <f>VLOOKUP(A259,'SegEnds_NonXtal_Prot#'!A:AL,31,FALSE)-VLOOKUP(A259,'SegEnds_NonXtal_Prot#'!A:AL,28,FALSE)</f>
        <v>122</v>
      </c>
      <c r="AJ259" s="1">
        <f>VLOOKUP(A259,'SegEnds_NonXtal_Prot#'!A:AL,34,FALSE)-VLOOKUP(A259,'SegEnds_NonXtal_Prot#'!A:AL,31,FALSE)</f>
        <v>37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270</v>
      </c>
      <c r="B260" s="1" t="str">
        <f>VLOOKUP(A260,Xtal_Templ!A:B,2,FALSE)</f>
        <v>5ht2c_human</v>
      </c>
      <c r="C260" s="5">
        <f>VLOOKUP($B260&amp;"__wt",'SegEnds_Xtal_BW#'!$A:$Z,3,FALSE)</f>
        <v>33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61</v>
      </c>
      <c r="AH260" s="1">
        <f>VLOOKUP(A260,'SegEnds_NonXtal_Prot#'!A:AL,28,FALSE)-VLOOKUP(A260,'SegEnds_NonXtal_Prot#'!A:AL,22,FALSE)</f>
        <v>87</v>
      </c>
      <c r="AI260" s="1">
        <f>VLOOKUP(A260,'SegEnds_NonXtal_Prot#'!A:AL,31,FALSE)-VLOOKUP(A260,'SegEnds_NonXtal_Prot#'!A:AL,28,FALSE)</f>
        <v>67</v>
      </c>
      <c r="AJ260" s="1">
        <f>VLOOKUP(A260,'SegEnds_NonXtal_Prot#'!A:AL,34,FALSE)-VLOOKUP(A260,'SegEnds_NonXtal_Prot#'!A:AL,31,FALSE)</f>
        <v>36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293</v>
      </c>
      <c r="B261" s="1" t="str">
        <f>VLOOKUP(A261,Xtal_Templ!A:B,2,FALSE)</f>
        <v>ccr6_human</v>
      </c>
      <c r="C261" s="5">
        <f>VLOOKUP($B261&amp;"__wt",'SegEnds_Xtal_BW#'!$A:$Z,3,FALSE)</f>
        <v>25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31</v>
      </c>
      <c r="T261" s="1">
        <f t="array" ref="T261">INDEX(ICL3_classA!$G$2:$G$39,MATCH(MIN(ABS(AI261-ICL3_classA!$F$2:$F$39)),ABS(AI261-ICL3_classA!$F$2:$F$39),0))</f>
        <v>68</v>
      </c>
      <c r="U261" s="1">
        <f t="array" ref="U261">INDEX(ICL3_classA!$H$2:$H$39,MATCH(MIN(ABS(AI261-ICL3_classA!$F$2:$F$39)),ABS(AI261-ICL3_classA!$F$2:$F$39),0))</f>
        <v>30</v>
      </c>
      <c r="V261" s="1">
        <v>61</v>
      </c>
      <c r="W261" s="1">
        <v>32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62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53</v>
      </c>
      <c r="AF261" s="1">
        <f>VLOOKUP(A261,'SegEnds_NonXtal_Prot#'!A:AL,22,FALSE)-VLOOKUP(A261,'SegEnds_NonXtal_Prot#'!A:AL,19,FALSE)</f>
        <v>20</v>
      </c>
      <c r="AG261" s="1" t="e">
        <f>VLOOKUP(A261,'SegEnds_NonXtal_Prot#'!A:AL,28,FALSE)-VLOOKUP(A261,'SegEnds_NonXtal_Prot#'!A:AL,25,FALSE)</f>
        <v>#VALUE!</v>
      </c>
      <c r="AH261" s="1">
        <f>VLOOKUP(A261,'SegEnds_NonXtal_Prot#'!A:AL,28,FALSE)-VLOOKUP(A261,'SegEnds_NonXtal_Prot#'!A:AL,22,FALSE)</f>
        <v>44</v>
      </c>
      <c r="AI261" s="1">
        <f>VLOOKUP(A261,'SegEnds_NonXtal_Prot#'!A:AL,31,FALSE)-VLOOKUP(A261,'SegEnds_NonXtal_Prot#'!A:AL,28,FALSE)</f>
        <v>42</v>
      </c>
      <c r="AJ261" s="1">
        <f>VLOOKUP(A261,'SegEnds_NonXtal_Prot#'!A:AL,34,FALSE)-VLOOKUP(A261,'SegEnds_NonXtal_Prot#'!A:AL,31,FALSE)</f>
        <v>34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4" t="s">
        <v>317</v>
      </c>
      <c r="B262" s="4" t="str">
        <f>VLOOKUP(A262,Xtal_Templ!A:B,2,FALSE)</f>
        <v>ntr1_rat</v>
      </c>
      <c r="C262" s="5">
        <f>VLOOKUP($B262&amp;"__wt",'SegEnds_Xtal_BW#'!$A:$Z,3,FALSE)</f>
        <v>29</v>
      </c>
      <c r="D262" s="4">
        <f>VLOOKUP($B262&amp;"__wt",'SegEnds_Xtal_BW#'!$A:$Z,4,FALSE)</f>
        <v>60</v>
      </c>
      <c r="E262" s="4" t="str">
        <f>VLOOKUP($B262&amp;"__wt",'SegEnds_Xtal_BW#'!$A:$Z,5,FALSE)</f>
        <v>-</v>
      </c>
      <c r="F262" s="4" t="str">
        <f>VLOOKUP($B262&amp;"__wt",'SegEnds_Xtal_BW#'!$A:$Z,6,FALSE)</f>
        <v>-</v>
      </c>
      <c r="G262" s="4">
        <v>37</v>
      </c>
      <c r="H262" s="11">
        <v>66</v>
      </c>
      <c r="I262" s="4">
        <f>VLOOKUP($B262&amp;"__wt",'SegEnds_Xtal_BW#'!$A:$Z,9,FALSE)</f>
        <v>49</v>
      </c>
      <c r="J262" s="4">
        <f>VLOOKUP($B262&amp;"__wt",'SegEnds_Xtal_BW#'!$A:$Z,10,FALSE)</f>
        <v>52</v>
      </c>
      <c r="K262" s="11">
        <v>18</v>
      </c>
      <c r="L262" s="4">
        <f>VLOOKUP($B262&amp;"__wt",'SegEnds_Xtal_BW#'!$A:$Z,12,FALSE)</f>
        <v>56</v>
      </c>
      <c r="M262" s="4">
        <f>VLOOKUP($B262&amp;"__wt",'SegEnds_Xtal_BW#'!$A:$Z,13,FALSE)</f>
        <v>50</v>
      </c>
      <c r="N262" s="11">
        <v>57</v>
      </c>
      <c r="O262" s="87">
        <f>VLOOKUP($B262&amp;"__wt",'SegEnds_Xtal_BW#'!$A:$Z,15,FALSE)</f>
        <v>38</v>
      </c>
      <c r="P262" s="4">
        <f>VLOOKUP($B262&amp;"__wt",'SegEnds_Xtal_BW#'!$A:$Z,16,FALSE)</f>
        <v>64</v>
      </c>
      <c r="Q262" s="4">
        <f>VLOOKUP($B262&amp;"__wt",'SegEnds_Xtal_BW#'!$A:$Z,17,FALSE)</f>
        <v>50</v>
      </c>
      <c r="R262" s="4">
        <f>VLOOKUP($B262&amp;"__wt",'SegEnds_Xtal_BW#'!$A:$Z,18,FALSE)</f>
        <v>52</v>
      </c>
      <c r="S262" s="4">
        <f>VLOOKUP($B262&amp;"__wt",'SegEnds_Xtal_BW#'!$A:$Z,19,FALSE)</f>
        <v>32</v>
      </c>
      <c r="T262" s="4">
        <f t="array" ref="T262">INDEX(ICL3_classA!$G$2:$G$39,MATCH(MIN(ABS(AI262-ICL3_classA!$F$2:$F$39)),ABS(AI262-ICL3_classA!$F$2:$F$39),0))</f>
        <v>76</v>
      </c>
      <c r="U262" s="4">
        <f t="array" ref="U262">INDEX(ICL3_classA!$H$2:$H$39,MATCH(MIN(ABS(AI262-ICL3_classA!$F$2:$F$39)),ABS(AI262-ICL3_classA!$F$2:$F$39),0))</f>
        <v>24</v>
      </c>
      <c r="V262" s="4">
        <v>61</v>
      </c>
      <c r="W262" s="4">
        <v>28</v>
      </c>
      <c r="X262" s="4">
        <f>VLOOKUP($B262&amp;"__wt",'SegEnds_Xtal_BW#'!$A:$Z,24,FALSE)</f>
        <v>56</v>
      </c>
      <c r="Y262" s="4">
        <f>VLOOKUP($B262&amp;"__wt",'SegEnds_Xtal_BW#'!$A:$Z,25,FALSE)</f>
        <v>47</v>
      </c>
      <c r="Z262" s="4">
        <f>VLOOKUP($B262&amp;"__wt",'SegEnds_Xtal_BW#'!$A:$Z,26,FALSE)</f>
        <v>62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4">
        <f>VLOOKUP(A262,'SegEnds_NonXtal_Prot#'!A:AL,10,FALSE)-VLOOKUP(A262,'SegEnds_NonXtal_Prot#'!A:AL,7,FALSE)</f>
        <v>15</v>
      </c>
      <c r="AD262" s="4">
        <f>VLOOKUP(A262,'SegEnds_NonXtal_Prot#'!A:AL,13,FALSE)-VLOOKUP(A262,'SegEnds_NonXtal_Prot#'!A:AL,10,FALSE)</f>
        <v>19</v>
      </c>
      <c r="AE262" s="4">
        <f>VLOOKUP(A262,'SegEnds_NonXtal_Prot#'!A:AL,16,FALSE)-VLOOKUP(A262,'SegEnds_NonXtal_Prot#'!A:AL,10,FALSE)</f>
        <v>53</v>
      </c>
      <c r="AF262" s="1">
        <f>VLOOKUP(A262,'SegEnds_NonXtal_Prot#'!A:AL,22,FALSE)-VLOOKUP(A262,'SegEnds_NonXtal_Prot#'!A:AL,19,FALSE)</f>
        <v>20</v>
      </c>
      <c r="AG262" s="4">
        <f>VLOOKUP(A262,'SegEnds_NonXtal_Prot#'!A:AL,28,FALSE)-VLOOKUP(A262,'SegEnds_NonXtal_Prot#'!A:AL,25,FALSE)</f>
        <v>24</v>
      </c>
      <c r="AH262" s="1">
        <f>VLOOKUP(A262,'SegEnds_NonXtal_Prot#'!A:AL,28,FALSE)-VLOOKUP(A262,'SegEnds_NonXtal_Prot#'!A:AL,22,FALSE)</f>
        <v>57</v>
      </c>
      <c r="AI262" s="4">
        <f>VLOOKUP(A262,'SegEnds_NonXtal_Prot#'!A:AL,31,FALSE)-VLOOKUP(A262,'SegEnds_NonXtal_Prot#'!A:AL,28,FALSE)</f>
        <v>69</v>
      </c>
      <c r="AJ262" s="4">
        <f>VLOOKUP(A262,'SegEnds_NonXtal_Prot#'!A:AL,34,FALSE)-VLOOKUP(A262,'SegEnds_NonXtal_Prot#'!A:AL,31,FALSE)</f>
        <v>41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318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INDEX(ICL3_classA!$G$2:$G$39,MATCH(MIN(ABS(AI263-ICL3_classA!$F$2:$F$39)),ABS(AI263-ICL3_classA!$F$2:$F$39),0))</f>
        <v>73</v>
      </c>
      <c r="U263" s="1">
        <f t="array" ref="U263">INDEX(ICL3_classA!$H$2:$H$39,MATCH(MIN(ABS(AI263-ICL3_classA!$F$2:$F$39)),ABS(AI263-ICL3_classA!$F$2:$F$39),0))</f>
        <v>22</v>
      </c>
      <c r="V263" s="1">
        <v>61</v>
      </c>
      <c r="W263" s="1">
        <v>28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19</v>
      </c>
      <c r="AE263" s="1">
        <f>VLOOKUP(A263,'SegEnds_NonXtal_Prot#'!A:AL,16,FALSE)-VLOOKUP(A263,'SegEnds_NonXtal_Prot#'!A:AL,10,FALSE)</f>
        <v>53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57</v>
      </c>
      <c r="AI263" s="1">
        <f>VLOOKUP(A263,'SegEnds_NonXtal_Prot#'!A:AL,31,FALSE)-VLOOKUP(A263,'SegEnds_NonXtal_Prot#'!A:AL,28,FALSE)</f>
        <v>55</v>
      </c>
      <c r="AJ263" s="1">
        <f>VLOOKUP(A263,'SegEnds_NonXtal_Prot#'!A:AL,34,FALSE)-VLOOKUP(A263,'SegEnds_NonXtal_Prot#'!A:AL,31,FALSE)</f>
        <v>41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917</v>
      </c>
      <c r="B264" s="1" t="str">
        <f>VLOOKUP(A264,Xtal_Templ!A:B,2,FALSE)</f>
        <v>opsd_human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67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7">
        <f>VLOOKUP($B264&amp;"__wt",'SegEnds_Xtal_BW#'!$A:$Z,15,FALSE)</f>
        <v>38</v>
      </c>
      <c r="P264" s="1">
        <f>VLOOKUP($B264&amp;"__wt",'SegEnds_Xtal_BW#'!$A:$Z,16,FALSE)</f>
        <v>62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21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59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21</v>
      </c>
      <c r="AE264" s="1">
        <f>VLOOKUP(A264,'SegEnds_NonXtal_Prot#'!A:AL,16,FALSE)-VLOOKUP(A264,'SegEnds_NonXtal_Prot#'!A:AL,10,FALSE)</f>
        <v>53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26</v>
      </c>
      <c r="AH264" s="1">
        <f>VLOOKUP(A264,'SegEnds_NonXtal_Prot#'!A:AL,28,FALSE)-VLOOKUP(A264,'SegEnds_NonXtal_Prot#'!A:AL,22,FALSE)</f>
        <v>52</v>
      </c>
      <c r="AI264" s="1">
        <f>VLOOKUP(A264,'SegEnds_NonXtal_Prot#'!A:AL,31,FALSE)-VLOOKUP(A264,'SegEnds_NonXtal_Prot#'!A:AL,28,FALSE)</f>
        <v>64</v>
      </c>
      <c r="AJ264" s="1">
        <f>VLOOKUP(A264,'SegEnds_NonXtal_Prot#'!A:AL,34,FALSE)-VLOOKUP(A264,'SegEnds_NonXtal_Prot#'!A:AL,31,FALSE)</f>
        <v>36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Xtal</v>
      </c>
    </row>
    <row r="265" spans="1:38" x14ac:dyDescent="0.2">
      <c r="A265" s="4" t="s">
        <v>368</v>
      </c>
      <c r="B265" s="4" t="str">
        <f>VLOOKUP(A265,Xtal_Templ!A:B,2,FALSE)</f>
        <v>ox2r_human</v>
      </c>
      <c r="C265" s="5">
        <f>VLOOKUP($B265&amp;"__wt",'SegEnds_Xtal_BW#'!$A:$Z,3,FALSE)</f>
        <v>31</v>
      </c>
      <c r="D265" s="4">
        <f>VLOOKUP($B265&amp;"__wt",'SegEnds_Xtal_BW#'!$A:$Z,4,FALSE)</f>
        <v>60</v>
      </c>
      <c r="E265" s="4">
        <f>VLOOKUP($B265&amp;"__wt",'SegEnds_Xtal_BW#'!$A:$Z,5,FALSE)</f>
        <v>48</v>
      </c>
      <c r="F265" s="4">
        <f>VLOOKUP($B265&amp;"__wt",'SegEnds_Xtal_BW#'!$A:$Z,6,FALSE)</f>
        <v>51</v>
      </c>
      <c r="G265" s="4">
        <v>37</v>
      </c>
      <c r="H265" s="11">
        <f>VLOOKUP($B265&amp;"__wt",'SegEnds_Xtal_BW#'!$A:$Z,8,FALSE)</f>
        <v>68</v>
      </c>
      <c r="I265" s="4">
        <f>VLOOKUP($B265&amp;"__wt",'SegEnds_Xtal_BW#'!$A:$Z,9,FALSE)</f>
        <v>49</v>
      </c>
      <c r="J265" s="4">
        <f>VLOOKUP($B265&amp;"__wt",'SegEnds_Xtal_BW#'!$A:$Z,10,FALSE)</f>
        <v>52</v>
      </c>
      <c r="K265" s="11">
        <v>18</v>
      </c>
      <c r="L265" s="4">
        <f>VLOOKUP($B265&amp;"__wt",'SegEnds_Xtal_BW#'!$A:$Z,12,FALSE)</f>
        <v>56</v>
      </c>
      <c r="M265" s="4">
        <f>VLOOKUP($B265&amp;"__wt",'SegEnds_Xtal_BW#'!$A:$Z,13,FALSE)</f>
        <v>50</v>
      </c>
      <c r="N265" s="11">
        <v>53</v>
      </c>
      <c r="O265" s="87">
        <f>VLOOKUP($B265&amp;"__wt",'SegEnds_Xtal_BW#'!$A:$Z,15,FALSE)</f>
        <v>38</v>
      </c>
      <c r="P265" s="4">
        <f>VLOOKUP($B265&amp;"__wt",'SegEnds_Xtal_BW#'!$A:$Z,16,FALSE)</f>
        <v>64</v>
      </c>
      <c r="Q265" s="4">
        <f>VLOOKUP($B265&amp;"__wt",'SegEnds_Xtal_BW#'!$A:$Z,17,FALSE)</f>
        <v>50</v>
      </c>
      <c r="R265" s="4">
        <f>VLOOKUP($B265&amp;"__wt",'SegEnds_Xtal_BW#'!$A:$Z,18,FALSE)</f>
        <v>52</v>
      </c>
      <c r="S265" s="4">
        <f>VLOOKUP($B265&amp;"__wt",'SegEnds_Xtal_BW#'!$A:$Z,19,FALSE)</f>
        <v>33</v>
      </c>
      <c r="T265" s="4">
        <f t="array" ref="T265">INDEX(ICL3_classA!$G$2:$G$39,MATCH(MIN(ABS(AI265-ICL3_classA!$F$2:$F$39)),ABS(AI265-ICL3_classA!$F$2:$F$39),0))</f>
        <v>73</v>
      </c>
      <c r="U265" s="4">
        <f t="array" ref="U265">INDEX(ICL3_classA!$H$2:$H$39,MATCH(MIN(ABS(AI265-ICL3_classA!$F$2:$F$39)),ABS(AI265-ICL3_classA!$F$2:$F$39),0))</f>
        <v>22</v>
      </c>
      <c r="V265" s="4">
        <v>61</v>
      </c>
      <c r="W265" s="128">
        <f>VLOOKUP($B265&amp;"__wt",'SegEnds_Xtal_BW#'!$A:$Z,23,FALSE)</f>
        <v>27</v>
      </c>
      <c r="X265" s="4">
        <f>VLOOKUP($B265&amp;"__wt",'SegEnds_Xtal_BW#'!$A:$Z,24,FALSE)</f>
        <v>56</v>
      </c>
      <c r="Y265" s="4">
        <f>VLOOKUP($B265&amp;"__wt",'SegEnds_Xtal_BW#'!$A:$Z,25,FALSE)</f>
        <v>47</v>
      </c>
      <c r="Z265" s="4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4">
        <f>VLOOKUP(A265,'SegEnds_NonXtal_Prot#'!A:AL,10,FALSE)-VLOOKUP(A265,'SegEnds_NonXtal_Prot#'!A:AL,7,FALSE)</f>
        <v>15</v>
      </c>
      <c r="AD265" s="4">
        <f>VLOOKUP(A265,'SegEnds_NonXtal_Prot#'!A:AL,13,FALSE)-VLOOKUP(A265,'SegEnds_NonXtal_Prot#'!A:AL,10,FALSE)</f>
        <v>21</v>
      </c>
      <c r="AE265" s="4">
        <f>VLOOKUP(A265,'SegEnds_NonXtal_Prot#'!A:AL,16,FALSE)-VLOOKUP(A265,'SegEnds_NonXtal_Prot#'!A:AL,10,FALSE)</f>
        <v>53</v>
      </c>
      <c r="AF265" s="1">
        <f>VLOOKUP(A265,'SegEnds_NonXtal_Prot#'!A:AL,22,FALSE)-VLOOKUP(A265,'SegEnds_NonXtal_Prot#'!A:AL,19,FALSE)</f>
        <v>18</v>
      </c>
      <c r="AG265" s="4">
        <f>VLOOKUP(A265,'SegEnds_NonXtal_Prot#'!A:AL,28,FALSE)-VLOOKUP(A265,'SegEnds_NonXtal_Prot#'!A:AL,25,FALSE)</f>
        <v>26</v>
      </c>
      <c r="AH265" s="1">
        <f>VLOOKUP(A265,'SegEnds_NonXtal_Prot#'!A:AL,28,FALSE)-VLOOKUP(A265,'SegEnds_NonXtal_Prot#'!A:AL,22,FALSE)</f>
        <v>53</v>
      </c>
      <c r="AI265" s="4">
        <f>VLOOKUP(A265,'SegEnds_NonXtal_Prot#'!A:AL,31,FALSE)-VLOOKUP(A265,'SegEnds_NonXtal_Prot#'!A:AL,28,FALSE)</f>
        <v>56</v>
      </c>
      <c r="AJ265" s="4">
        <f>VLOOKUP(A265,'SegEnds_NonXtal_Prot#'!A:AL,34,FALSE)-VLOOKUP(A265,'SegEnds_NonXtal_Prot#'!A:AL,31,FALSE)</f>
        <v>39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221</v>
      </c>
      <c r="B266" s="1" t="str">
        <f>VLOOKUP(A266,Xtal_Templ!A:B,2,FALSE)</f>
        <v>drd4_mouse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53</v>
      </c>
      <c r="O266" s="87">
        <f>VLOOKUP($B266&amp;"__wt",'SegEnds_Xtal_BW#'!$A:$Z,15,FALSE)</f>
        <v>36</v>
      </c>
      <c r="P266" s="1">
        <f>VLOOKUP($B266&amp;"__wt",'SegEnds_Xtal_BW#'!$A:$Z,16,FALSE)</f>
        <v>63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35</v>
      </c>
      <c r="T266" s="1">
        <f t="array" ref="T266">INDEX(ICL3_classA!$G$2:$G$39,MATCH(MIN(ABS(AI266-ICL3_classA!$F$2:$F$39)),ABS(AI266-ICL3_classA!$F$2:$F$39),0))</f>
        <v>74</v>
      </c>
      <c r="U266" s="1">
        <f t="array" ref="U266">INDEX(ICL3_classA!$H$2:$H$39,MATCH(MIN(ABS(AI266-ICL3_classA!$F$2:$F$39)),ABS(AI266-ICL3_classA!$F$2:$F$39),0))</f>
        <v>21</v>
      </c>
      <c r="V266" s="1">
        <v>61</v>
      </c>
      <c r="W266" s="128">
        <f>VLOOKUP($B266&amp;"__wt",'SegEnds_Xtal_BW#'!$A:$Z,23,FALSE)</f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33</v>
      </c>
      <c r="AC266" s="1" t="e">
        <f>VLOOKUP(A266,'SegEnds_NonXtal_Prot#'!A:AL,10,FALSE)-VLOOKUP(A266,'SegEnds_NonXtal_Prot#'!A:AL,7,FALSE)</f>
        <v>#VALUE!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54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27</v>
      </c>
      <c r="AH266" s="1">
        <f>VLOOKUP(A266,'SegEnds_NonXtal_Prot#'!A:AL,28,FALSE)-VLOOKUP(A266,'SegEnds_NonXtal_Prot#'!A:AL,22,FALSE)</f>
        <v>75</v>
      </c>
      <c r="AI266" s="1">
        <f>VLOOKUP(A266,'SegEnds_NonXtal_Prot#'!A:AL,31,FALSE)-VLOOKUP(A266,'SegEnds_NonXtal_Prot#'!A:AL,28,FALSE)</f>
        <v>66</v>
      </c>
      <c r="AJ266" s="1">
        <f>VLOOKUP(A266,'SegEnds_NonXtal_Prot#'!A:AL,34,FALSE)-VLOOKUP(A266,'SegEnds_NonXtal_Prot#'!A:AL,31,FALSE)</f>
        <v>39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225</v>
      </c>
      <c r="B267" s="1" t="str">
        <f>VLOOKUP(A267,Xtal_Templ!A:B,2,FALSE)</f>
        <v>par1_human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INDEX(ICL3_classA!$G$2:$G$39,MATCH(MIN(ABS(AI267-ICL3_classA!$F$2:$F$39)),ABS(AI267-ICL3_classA!$F$2:$F$39),0))</f>
        <v>73</v>
      </c>
      <c r="U267" s="1">
        <f t="array" ref="U267">INDEX(ICL3_classA!$H$2:$H$39,MATCH(MIN(ABS(AI267-ICL3_classA!$F$2:$F$39)),ABS(AI267-ICL3_classA!$F$2:$F$39),0))</f>
        <v>24</v>
      </c>
      <c r="V267" s="1">
        <v>61</v>
      </c>
      <c r="W267" s="1">
        <v>31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27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54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22</v>
      </c>
      <c r="AH267" s="1">
        <f>VLOOKUP(A267,'SegEnds_NonXtal_Prot#'!A:AL,28,FALSE)-VLOOKUP(A267,'SegEnds_NonXtal_Prot#'!A:AL,22,FALSE)</f>
        <v>49</v>
      </c>
      <c r="AI267" s="1">
        <f>VLOOKUP(A267,'SegEnds_NonXtal_Prot#'!A:AL,31,FALSE)-VLOOKUP(A267,'SegEnds_NonXtal_Prot#'!A:AL,28,FALSE)</f>
        <v>58</v>
      </c>
      <c r="AJ267" s="1">
        <f>VLOOKUP(A267,'SegEnds_NonXtal_Prot#'!A:AL,34,FALSE)-VLOOKUP(A267,'SegEnds_NonXtal_Prot#'!A:AL,31,FALSE)</f>
        <v>35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255</v>
      </c>
      <c r="B268" s="1" t="str">
        <f>VLOOKUP(A268,Xtal_Templ!A:B,2,FALSE)</f>
        <v>ntr1_rat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 t="str">
        <f>VLOOKUP($B268&amp;"__wt",'SegEnds_Xtal_BW#'!$A:$Z,5,FALSE)</f>
        <v>-</v>
      </c>
      <c r="F268" s="1" t="str">
        <f>VLOOKUP($B268&amp;"__wt",'SegEnds_Xtal_BW#'!$A:$Z,6,FALSE)</f>
        <v>-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INDEX(ICL3_classA!$G$2:$G$39,MATCH(MIN(ABS(AI268-ICL3_classA!$F$2:$F$39)),ABS(AI268-ICL3_classA!$F$2:$F$39),0))</f>
        <v>76</v>
      </c>
      <c r="U268" s="1">
        <f t="array" ref="U268">INDEX(ICL3_classA!$H$2:$H$39,MATCH(MIN(ABS(AI268-ICL3_classA!$F$2:$F$39)),ABS(AI268-ICL3_classA!$F$2:$F$39),0))</f>
        <v>24</v>
      </c>
      <c r="V268" s="1">
        <v>61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62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31</v>
      </c>
      <c r="AC268" s="1" t="e">
        <f>VLOOKUP(A268,'SegEnds_NonXtal_Prot#'!A:AL,10,FALSE)-VLOOKUP(A268,'SegEnds_NonXtal_Prot#'!A:AL,7,FALSE)</f>
        <v>#VALUE!</v>
      </c>
      <c r="AD268" s="1" t="e">
        <f>VLOOKUP(A268,'SegEnds_NonXtal_Prot#'!A:AL,13,FALSE)-VLOOKUP(A268,'SegEnds_NonXtal_Prot#'!A:AL,10,FALSE)</f>
        <v>#VALUE!</v>
      </c>
      <c r="AE268" s="1">
        <f>VLOOKUP(A268,'SegEnds_NonXtal_Prot#'!A:AL,16,FALSE)-VLOOKUP(A268,'SegEnds_NonXtal_Prot#'!A:AL,10,FALSE)</f>
        <v>54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21</v>
      </c>
      <c r="AH268" s="1">
        <f>VLOOKUP(A268,'SegEnds_NonXtal_Prot#'!A:AL,28,FALSE)-VLOOKUP(A268,'SegEnds_NonXtal_Prot#'!A:AL,22,FALSE)</f>
        <v>71</v>
      </c>
      <c r="AI268" s="1">
        <f>VLOOKUP(A268,'SegEnds_NonXtal_Prot#'!A:AL,31,FALSE)-VLOOKUP(A268,'SegEnds_NonXtal_Prot#'!A:AL,28,FALSE)</f>
        <v>67</v>
      </c>
      <c r="AJ268" s="1">
        <f>VLOOKUP(A268,'SegEnds_NonXtal_Prot#'!A:AL,34,FALSE)-VLOOKUP(A268,'SegEnds_NonXtal_Prot#'!A:AL,31,FALSE)</f>
        <v>43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262</v>
      </c>
      <c r="B269" s="1" t="str">
        <f>VLOOKUP(A269,Xtal_Templ!A:B,2,FALSE)</f>
        <v>5ht2c_human</v>
      </c>
      <c r="C269" s="5">
        <f>VLOOKUP($B269&amp;"__wt",'SegEnds_Xtal_BW#'!$A:$Z,3,FALSE)</f>
        <v>33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f>VLOOKUP($B269&amp;"__wt",'SegEnds_Xtal_BW#'!$A:$Z,15,FALSE)</f>
        <v>38</v>
      </c>
      <c r="P269" s="1">
        <f>VLOOKUP($B269&amp;"__wt",'SegEnds_Xtal_BW#'!$A:$Z,16,FALSE)</f>
        <v>67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v>35</v>
      </c>
      <c r="T269" s="1">
        <f t="array" ref="T269">INDEX(ICL3_classA!$G$2:$G$39,MATCH(MIN(ABS(AI269-ICL3_classA!$F$2:$F$39)),ABS(AI269-ICL3_classA!$F$2:$F$39),0))</f>
        <v>76</v>
      </c>
      <c r="U269" s="1">
        <f t="array" ref="U269">INDEX(ICL3_classA!$H$2:$H$39,MATCH(MIN(ABS(AI269-ICL3_classA!$F$2:$F$39)),ABS(AI269-ICL3_classA!$F$2:$F$39),0))</f>
        <v>24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60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26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21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25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82</v>
      </c>
      <c r="AJ269" s="1">
        <f>VLOOKUP(A269,'SegEnds_NonXtal_Prot#'!A:AL,34,FALSE)-VLOOKUP(A269,'SegEnds_NonXtal_Prot#'!A:AL,31,FALSE)</f>
        <v>36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127</v>
      </c>
      <c r="B270" s="1" t="str">
        <f>VLOOKUP(A270,Xtal_Templ!A:B,2,FALSE)</f>
        <v>ntr1_human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62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31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22</v>
      </c>
      <c r="AE270" s="1">
        <f>VLOOKUP(A270,'SegEnds_NonXtal_Prot#'!A:AL,16,FALSE)-VLOOKUP(A270,'SegEnds_NonXtal_Prot#'!A:AL,10,FALSE)</f>
        <v>54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24</v>
      </c>
      <c r="AH270" s="1">
        <f>VLOOKUP(A270,'SegEnds_NonXtal_Prot#'!A:AL,28,FALSE)-VLOOKUP(A270,'SegEnds_NonXtal_Prot#'!A:AL,22,FALSE)</f>
        <v>55</v>
      </c>
      <c r="AI270" s="1">
        <f>VLOOKUP(A270,'SegEnds_NonXtal_Prot#'!A:AL,31,FALSE)-VLOOKUP(A270,'SegEnds_NonXtal_Prot#'!A:AL,28,FALSE)</f>
        <v>70</v>
      </c>
      <c r="AJ270" s="1">
        <f>VLOOKUP(A270,'SegEnds_NonXtal_Prot#'!A:AL,34,FALSE)-VLOOKUP(A270,'SegEnds_NonXtal_Prot#'!A:AL,31,FALSE)</f>
        <v>43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Xtal</v>
      </c>
    </row>
    <row r="271" spans="1:38" x14ac:dyDescent="0.2">
      <c r="A271" s="1" t="s">
        <v>909</v>
      </c>
      <c r="B271" s="1" t="str">
        <f>VLOOKUP(A271,Xtal_Templ!A:B,2,FALSE)</f>
        <v>ntr1_rat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INDEX(ICL3_classA!$G$2:$G$39,MATCH(MIN(ABS(AI271-ICL3_classA!$F$2:$F$39)),ABS(AI271-ICL3_classA!$F$2:$F$39),0))</f>
        <v>76</v>
      </c>
      <c r="U271" s="1">
        <f t="array" ref="U271">INDEX(ICL3_classA!$H$2:$H$39,MATCH(MIN(ABS(AI271-ICL3_classA!$F$2:$F$39)),ABS(AI271-ICL3_classA!$F$2:$F$39),0))</f>
        <v>24</v>
      </c>
      <c r="V271" s="1">
        <v>61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62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31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22</v>
      </c>
      <c r="AE271" s="1">
        <f>VLOOKUP(A271,'SegEnds_NonXtal_Prot#'!A:AL,16,FALSE)-VLOOKUP(A271,'SegEnds_NonXtal_Prot#'!A:AL,10,FALSE)</f>
        <v>54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55</v>
      </c>
      <c r="AI271" s="1">
        <f>VLOOKUP(A271,'SegEnds_NonXtal_Prot#'!A:AL,31,FALSE)-VLOOKUP(A271,'SegEnds_NonXtal_Prot#'!A:AL,28,FALSE)</f>
        <v>74</v>
      </c>
      <c r="AJ271" s="1">
        <f>VLOOKUP(A271,'SegEnds_NonXtal_Prot#'!A:AL,34,FALSE)-VLOOKUP(A271,'SegEnds_NonXtal_Prot#'!A:AL,31,FALSE)</f>
        <v>43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329</v>
      </c>
      <c r="B272" s="1" t="str">
        <f>VLOOKUP(A272,Xtal_Templ!A:B,2,FALSE)</f>
        <v>ntr1_rat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 t="str">
        <f>VLOOKUP($B272&amp;"__wt",'SegEnds_Xtal_BW#'!$A:$Z,5,FALSE)</f>
        <v>-</v>
      </c>
      <c r="F272" s="1" t="str">
        <f>VLOOKUP($B272&amp;"__wt",'SegEnds_Xtal_BW#'!$A:$Z,6,FALSE)</f>
        <v>-</v>
      </c>
      <c r="G272" s="1">
        <v>37</v>
      </c>
      <c r="H272" s="12">
        <f>VLOOKUP($B272&amp;"__wt",'SegEnds_Xtal_BW#'!$A:$Z,8,FALSE)</f>
        <v>68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INDEX(ICL3_classA!$G$2:$G$39,MATCH(MIN(ABS(AI272-ICL3_classA!$F$2:$F$39)),ABS(AI272-ICL3_classA!$F$2:$F$39),0))</f>
        <v>74</v>
      </c>
      <c r="U272" s="1">
        <f t="array" ref="U272">INDEX(ICL3_classA!$H$2:$H$39,MATCH(MIN(ABS(AI272-ICL3_classA!$F$2:$F$39)),ABS(AI272-ICL3_classA!$F$2:$F$39),0))</f>
        <v>24</v>
      </c>
      <c r="V272" s="1">
        <v>61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62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 t="e">
        <f>VLOOKUP(A272,'SegEnds_NonXtal_Prot#'!A:AL,10,FALSE)-VLOOKUP(A272,'SegEnds_NonXtal_Prot#'!A:AL,7,FALSE)</f>
        <v>#VALUE!</v>
      </c>
      <c r="AD272" s="1">
        <f>VLOOKUP(A272,'SegEnds_NonXtal_Prot#'!A:AL,13,FALSE)-VLOOKUP(A272,'SegEnds_NonXtal_Prot#'!A:AL,10,FALSE)</f>
        <v>22</v>
      </c>
      <c r="AE272" s="1">
        <f>VLOOKUP(A272,'SegEnds_NonXtal_Prot#'!A:AL,16,FALSE)-VLOOKUP(A272,'SegEnds_NonXtal_Prot#'!A:AL,10,FALSE)</f>
        <v>54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24</v>
      </c>
      <c r="AH272" s="1">
        <f>VLOOKUP(A272,'SegEnds_NonXtal_Prot#'!A:AL,28,FALSE)-VLOOKUP(A272,'SegEnds_NonXtal_Prot#'!A:AL,22,FALSE)</f>
        <v>58</v>
      </c>
      <c r="AI272" s="1">
        <f>VLOOKUP(A272,'SegEnds_NonXtal_Prot#'!A:AL,31,FALSE)-VLOOKUP(A272,'SegEnds_NonXtal_Prot#'!A:AL,28,FALSE)</f>
        <v>94</v>
      </c>
      <c r="AJ272" s="1">
        <f>VLOOKUP(A272,'SegEnds_NonXtal_Prot#'!A:AL,34,FALSE)-VLOOKUP(A272,'SegEnds_NonXtal_Prot#'!A:AL,31,FALSE)</f>
        <v>43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366</v>
      </c>
      <c r="B273" s="1" t="str">
        <f>VLOOKUP(A273,Xtal_Templ!A:B,2,FALSE)</f>
        <v>ox1r_human</v>
      </c>
      <c r="C273" s="5">
        <f>VLOOKUP($B273&amp;"__wt",'SegEnds_Xtal_BW#'!$A:$Z,3,FALSE)</f>
        <v>32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08" t="s">
        <v>23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33</v>
      </c>
      <c r="T273" s="1">
        <f t="array" ref="T273">INDEX(ICL3_classA!$G$2:$G$39,MATCH(MIN(ABS(AI273-ICL3_classA!$F$2:$F$39)),ABS(AI273-ICL3_classA!$F$2:$F$39),0))</f>
        <v>73</v>
      </c>
      <c r="U273" s="1">
        <f t="array" ref="U273">INDEX(ICL3_classA!$H$2:$H$39,MATCH(MIN(ABS(AI273-ICL3_classA!$F$2:$F$39)),ABS(AI273-ICL3_classA!$F$2:$F$39),0))</f>
        <v>22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63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22</v>
      </c>
      <c r="AE273" s="1">
        <f>VLOOKUP(A273,'SegEnds_NonXtal_Prot#'!A:AL,16,FALSE)-VLOOKUP(A273,'SegEnds_NonXtal_Prot#'!A:AL,10,FALSE)</f>
        <v>54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27</v>
      </c>
      <c r="AH273" s="1">
        <f>VLOOKUP(A273,'SegEnds_NonXtal_Prot#'!A:AL,28,FALSE)-VLOOKUP(A273,'SegEnds_NonXtal_Prot#'!A:AL,22,FALSE)</f>
        <v>57</v>
      </c>
      <c r="AI273" s="1">
        <f>VLOOKUP(A273,'SegEnds_NonXtal_Prot#'!A:AL,31,FALSE)-VLOOKUP(A273,'SegEnds_NonXtal_Prot#'!A:AL,28,FALSE)</f>
        <v>55</v>
      </c>
      <c r="AJ273" s="1">
        <f>VLOOKUP(A273,'SegEnds_NonXtal_Prot#'!A:AL,34,FALSE)-VLOOKUP(A273,'SegEnds_NonXtal_Prot#'!A:AL,31,FALSE)</f>
        <v>40</v>
      </c>
      <c r="AK273" s="1">
        <f>VLOOKUP(A273,'SegEnds_NonXtal_Prot#'!A:AL,37,FALSE)-VLOOKUP(A273,'SegEnds_NonXtal_Prot#'!A:AL,34,FALSE)</f>
        <v>11</v>
      </c>
      <c r="AL273" s="1" t="str">
        <f>IF(ISERROR(MATCH(A273,'SegEnds_Xtal_Prot#'!B:B, 0)), "NoXtal", "Xtal")</f>
        <v>NoXtal</v>
      </c>
    </row>
    <row r="274" spans="1:38" x14ac:dyDescent="0.2">
      <c r="A274" s="1" t="s">
        <v>367</v>
      </c>
      <c r="B274" s="1" t="str">
        <f>VLOOKUP(A274,Xtal_Templ!A:B,2,FALSE)</f>
        <v>ox2r_human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33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63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22</v>
      </c>
      <c r="AE274" s="1">
        <f>VLOOKUP(A274,'SegEnds_NonXtal_Prot#'!A:AL,16,FALSE)-VLOOKUP(A274,'SegEnds_NonXtal_Prot#'!A:AL,10,FALSE)</f>
        <v>54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57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40</v>
      </c>
      <c r="AK274" s="1">
        <f>VLOOKUP(A274,'SegEnds_NonXtal_Prot#'!A:AL,37,FALSE)-VLOOKUP(A274,'SegEnds_NonXtal_Prot#'!A:AL,34,FALSE)</f>
        <v>11</v>
      </c>
      <c r="AL274" s="1" t="str">
        <f>IF(ISERROR(MATCH(A274,'SegEnds_Xtal_Prot#'!B:B, 0)), "NoXtal", "Xtal")</f>
        <v>NoXtal</v>
      </c>
    </row>
    <row r="275" spans="1:38" x14ac:dyDescent="0.2">
      <c r="A275" s="1" t="s">
        <v>231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33</v>
      </c>
      <c r="T275" s="1">
        <f t="array" ref="T275">INDEX(ICL3_classA!$G$2:$G$39,MATCH(MIN(ABS(AI275-ICL3_classA!$F$2:$F$39)),ABS(AI275-ICL3_classA!$F$2:$F$39),0))</f>
        <v>74</v>
      </c>
      <c r="U275" s="1">
        <f t="array" ref="U275">INDEX(ICL3_classA!$H$2:$H$39,MATCH(MIN(ABS(AI275-ICL3_classA!$F$2:$F$39)),ABS(AI275-ICL3_classA!$F$2:$F$39),0))</f>
        <v>21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63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22</v>
      </c>
      <c r="AE275" s="1">
        <f>VLOOKUP(A275,'SegEnds_NonXtal_Prot#'!A:AL,16,FALSE)-VLOOKUP(A275,'SegEnds_NonXtal_Prot#'!A:AL,10,FALSE)</f>
        <v>55</v>
      </c>
      <c r="AF275" s="1" t="e">
        <f>VLOOKUP(A275,'SegEnds_NonXtal_Prot#'!A:AL,22,FALSE)-VLOOKUP(A275,'SegEnds_NonXtal_Prot#'!A:AL,19,FALSE)</f>
        <v>#VALUE!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50</v>
      </c>
      <c r="AI275" s="1">
        <f>VLOOKUP(A275,'SegEnds_NonXtal_Prot#'!A:AL,31,FALSE)-VLOOKUP(A275,'SegEnds_NonXtal_Prot#'!A:AL,28,FALSE)</f>
        <v>64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263</v>
      </c>
      <c r="B276" s="1" t="str">
        <f>VLOOKUP(A276,Xtal_Templ!A:B,2,FALSE)</f>
        <v>drd3_human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58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76</v>
      </c>
      <c r="U276" s="1">
        <f t="array" ref="U276">INDEX(ICL3_classA!$H$2:$H$39,MATCH(MIN(ABS(AI276-ICL3_classA!$F$2:$F$39)),ABS(AI276-ICL3_classA!$F$2:$F$39),0))</f>
        <v>24</v>
      </c>
      <c r="V276" s="1">
        <v>58</v>
      </c>
      <c r="W276" s="1">
        <v>35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26</v>
      </c>
      <c r="AC276" s="1" t="e">
        <f>VLOOKUP(A276,'SegEnds_NonXtal_Prot#'!A:AL,10,FALSE)-VLOOKUP(A276,'SegEnds_NonXtal_Prot#'!A:AL,7,FALSE)</f>
        <v>#VALUE!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55</v>
      </c>
      <c r="AF276" s="1" t="e">
        <f>VLOOKUP(A276,'SegEnds_NonXtal_Prot#'!A:AL,22,FALSE)-VLOOKUP(A276,'SegEnds_NonXtal_Prot#'!A:AL,19,FALSE)</f>
        <v>#VALUE!</v>
      </c>
      <c r="AG276" s="1">
        <f>VLOOKUP(A276,'SegEnds_NonXtal_Prot#'!A:AL,28,FALSE)-VLOOKUP(A276,'SegEnds_NonXtal_Prot#'!A:AL,25,FALSE)</f>
        <v>22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72</v>
      </c>
      <c r="AJ276" s="1">
        <f>VLOOKUP(A276,'SegEnds_NonXtal_Prot#'!A:AL,34,FALSE)-VLOOKUP(A276,'SegEnds_NonXtal_Prot#'!A:AL,31,FALSE)</f>
        <v>31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x14ac:dyDescent="0.2">
      <c r="A277" s="1" t="s">
        <v>224</v>
      </c>
      <c r="B277" s="1" t="str">
        <f>VLOOKUP(A277,Xtal_Templ!A:B,2,FALSE)</f>
        <v>drd4_mouse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108">
        <v>38</v>
      </c>
      <c r="P277" s="1">
        <v>63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INDEX(ICL3_classA!$G$2:$G$39,MATCH(MIN(ABS(AI277-ICL3_classA!$F$2:$F$39)),ABS(AI277-ICL3_classA!$F$2:$F$39),0))</f>
        <v>76</v>
      </c>
      <c r="U277" s="1">
        <f t="array" ref="U277">INDEX(ICL3_classA!$H$2:$H$39,MATCH(MIN(ABS(AI277-ICL3_classA!$F$2:$F$39)),ABS(AI277-ICL3_classA!$F$2:$F$39),0))</f>
        <v>24</v>
      </c>
      <c r="V277" s="1">
        <v>61</v>
      </c>
      <c r="W277" s="1">
        <v>32</v>
      </c>
      <c r="X277" s="108">
        <v>55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27</v>
      </c>
      <c r="AC277" s="1">
        <f>VLOOKUP(A277,'SegEnds_NonXtal_Prot#'!A:AL,10,FALSE)-VLOOKUP(A277,'SegEnds_NonXtal_Prot#'!A:AL,7,FALSE)</f>
        <v>14</v>
      </c>
      <c r="AD277" s="1">
        <f>VLOOKUP(A277,'SegEnds_NonXtal_Prot#'!A:AL,13,FALSE)-VLOOKUP(A277,'SegEnds_NonXtal_Prot#'!A:AL,10,FALSE)</f>
        <v>24</v>
      </c>
      <c r="AE277" s="1">
        <f>VLOOKUP(A277,'SegEnds_NonXtal_Prot#'!A:AL,16,FALSE)-VLOOKUP(A277,'SegEnds_NonXtal_Prot#'!A:AL,10,FALSE)</f>
        <v>56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23</v>
      </c>
      <c r="AH277" s="1">
        <f>VLOOKUP(A277,'SegEnds_NonXtal_Prot#'!A:AL,28,FALSE)-VLOOKUP(A277,'SegEnds_NonXtal_Prot#'!A:AL,22,FALSE)</f>
        <v>49</v>
      </c>
      <c r="AI277" s="1">
        <f>VLOOKUP(A277,'SegEnds_NonXtal_Prot#'!A:AL,31,FALSE)-VLOOKUP(A277,'SegEnds_NonXtal_Prot#'!A:AL,28,FALSE)</f>
        <v>76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9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247</v>
      </c>
      <c r="B278" s="1" t="str">
        <f>VLOOKUP(A278,Xtal_Templ!A:B,2,FALSE)</f>
        <v>ox1r_human</v>
      </c>
      <c r="C278" s="5">
        <f>VLOOKUP($B278&amp;"__wt",'SegEnds_Xtal_BW#'!$A:$Z,3,FALSE)</f>
        <v>32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58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INDEX(ICL3_classA!$G$2:$G$39,MATCH(MIN(ABS(AI278-ICL3_classA!$F$2:$F$39)),ABS(AI278-ICL3_classA!$F$2:$F$39),0))</f>
        <v>76</v>
      </c>
      <c r="U278" s="1">
        <f t="array" ref="U278">INDEX(ICL3_classA!$H$2:$H$39,MATCH(MIN(ABS(AI278-ICL3_classA!$F$2:$F$39)),ABS(AI278-ICL3_classA!$F$2:$F$39),0))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63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56</v>
      </c>
      <c r="AF278" s="1">
        <f>VLOOKUP(A278,'SegEnds_NonXtal_Prot#'!A:AL,22,FALSE)-VLOOKUP(A278,'SegEnds_NonXtal_Prot#'!A:AL,19,FALSE)</f>
        <v>21</v>
      </c>
      <c r="AG278" s="1">
        <f>VLOOKUP(A278,'SegEnds_NonXtal_Prot#'!A:AL,28,FALSE)-VLOOKUP(A278,'SegEnds_NonXtal_Prot#'!A:AL,25,FALSE)</f>
        <v>18</v>
      </c>
      <c r="AH278" s="1">
        <f>VLOOKUP(A278,'SegEnds_NonXtal_Prot#'!A:AL,28,FALSE)-VLOOKUP(A278,'SegEnds_NonXtal_Prot#'!A:AL,22,FALSE)</f>
        <v>41</v>
      </c>
      <c r="AI278" s="1">
        <f>VLOOKUP(A278,'SegEnds_NonXtal_Prot#'!A:AL,31,FALSE)-VLOOKUP(A278,'SegEnds_NonXtal_Prot#'!A:AL,28,FALSE)</f>
        <v>110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267</v>
      </c>
      <c r="B279" s="1" t="str">
        <f>VLOOKUP(A279,Xtal_Templ!A:B,2,FALSE)</f>
        <v>oprm_mouse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31</v>
      </c>
      <c r="T279" s="1">
        <f t="array" ref="T279">INDEX(ICL3_classA!$G$2:$G$39,MATCH(MIN(ABS(AI279-ICL3_classA!$F$2:$F$39)),ABS(AI279-ICL3_classA!$F$2:$F$39),0))</f>
        <v>68</v>
      </c>
      <c r="U279" s="1">
        <f t="array" ref="U279">INDEX(ICL3_classA!$H$2:$H$39,MATCH(MIN(ABS(AI279-ICL3_classA!$F$2:$F$39)),ABS(AI279-ICL3_classA!$F$2:$F$39),0))</f>
        <v>23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56</v>
      </c>
      <c r="AF279" s="1">
        <f>VLOOKUP(A279,'SegEnds_NonXtal_Prot#'!A:AL,22,FALSE)-VLOOKUP(A279,'SegEnds_NonXtal_Prot#'!A:AL,19,FALSE)</f>
        <v>20</v>
      </c>
      <c r="AG279" s="1" t="e">
        <f>VLOOKUP(A279,'SegEnds_NonXtal_Prot#'!A:AL,28,FALSE)-VLOOKUP(A279,'SegEnds_NonXtal_Prot#'!A:AL,25,FALSE)</f>
        <v>#VALUE!</v>
      </c>
      <c r="AH279" s="1">
        <f>VLOOKUP(A279,'SegEnds_NonXtal_Prot#'!A:AL,28,FALSE)-VLOOKUP(A279,'SegEnds_NonXtal_Prot#'!A:AL,22,FALSE)</f>
        <v>53</v>
      </c>
      <c r="AI279" s="1">
        <f>VLOOKUP(A279,'SegEnds_NonXtal_Prot#'!A:AL,31,FALSE)-VLOOKUP(A279,'SegEnds_NonXtal_Prot#'!A:AL,28,FALSE)</f>
        <v>51</v>
      </c>
      <c r="AJ279" s="1">
        <f>VLOOKUP(A279,'SegEnds_NonXtal_Prot#'!A:AL,34,FALSE)-VLOOKUP(A279,'SegEnds_NonXtal_Prot#'!A:AL,31,FALSE)</f>
        <v>42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361</v>
      </c>
      <c r="B280" s="1" t="str">
        <f>VLOOKUP(A280,Xtal_Templ!A:B,2,FALSE)</f>
        <v>pe2r4_human</v>
      </c>
      <c r="C280" s="5">
        <f>VLOOKUP($B280&amp;"__wt",'SegEnds_Xtal_BW#'!$A:$Z,3,FALSE)</f>
        <v>33</v>
      </c>
      <c r="D280" s="1">
        <f>VLOOKUP($B280&amp;"__wt",'SegEnds_Xtal_BW#'!$A:$Z,4,FALSE)</f>
        <v>58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INDEX(ICL3_classA!$G$2:$G$39,MATCH(MIN(ABS(AI280-ICL3_classA!$F$2:$F$39)),ABS(AI280-ICL3_classA!$F$2:$F$39),0))</f>
        <v>76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">
        <v>33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39</v>
      </c>
      <c r="AC280" s="1">
        <f>VLOOKUP(A280,'SegEnds_NonXtal_Prot#'!A:AL,10,FALSE)-VLOOKUP(A280,'SegEnds_NonXtal_Prot#'!A:AL,7,FALSE)</f>
        <v>20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56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22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70</v>
      </c>
      <c r="AJ280" s="1">
        <f>VLOOKUP(A280,'SegEnds_NonXtal_Prot#'!A:AL,34,FALSE)-VLOOKUP(A280,'SegEnds_NonXtal_Prot#'!A:AL,31,FALSE)</f>
        <v>33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s="12" customFormat="1" x14ac:dyDescent="0.2">
      <c r="A281" s="1" t="s">
        <v>362</v>
      </c>
      <c r="B281" s="1" t="str">
        <f>VLOOKUP(A281,Xtal_Templ!A:B,2,FALSE)</f>
        <v>pe2r3_human</v>
      </c>
      <c r="C281" s="5">
        <f>VLOOKUP($B281&amp;"__wt",'SegEnds_Xtal_BW#'!$A:$Z,3,FALSE)</f>
        <v>36</v>
      </c>
      <c r="D281" s="1">
        <f>VLOOKUP($B281&amp;"__wt",'SegEnds_Xtal_BW#'!$A:$Z,4,FALSE)</f>
        <v>62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68</v>
      </c>
      <c r="I281" s="1">
        <v>49</v>
      </c>
      <c r="J281" s="1">
        <f>VLOOKUP($B281&amp;"__wt",'SegEnds_Xtal_BW#'!$A:$Z,10,FALSE)</f>
        <v>56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64</v>
      </c>
      <c r="W281" s="1">
        <v>24</v>
      </c>
      <c r="X281" s="1">
        <f>VLOOKUP($B281&amp;"__wt",'SegEnds_Xtal_BW#'!$A:$Z,24,FALSE)</f>
        <v>53</v>
      </c>
      <c r="Y281" s="1">
        <f>VLOOKUP($B281&amp;"__wt",'SegEnds_Xtal_BW#'!$A:$Z,25,FALSE)</f>
        <v>44</v>
      </c>
      <c r="Z281" s="1">
        <f>VLOOKUP($B281&amp;"__wt",'SegEnds_Xtal_BW#'!$A:$Z,26,FALSE)</f>
        <v>66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33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21</v>
      </c>
      <c r="AE281" s="1">
        <f>VLOOKUP(A281,'SegEnds_NonXtal_Prot#'!A:AL,16,FALSE)-VLOOKUP(A281,'SegEnds_NonXtal_Prot#'!A:AL,10,FALSE)</f>
        <v>56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33</v>
      </c>
      <c r="AH281" s="1">
        <f>VLOOKUP(A281,'SegEnds_NonXtal_Prot#'!A:AL,28,FALSE)-VLOOKUP(A281,'SegEnds_NonXtal_Prot#'!A:AL,22,FALSE)</f>
        <v>59</v>
      </c>
      <c r="AI281" s="1">
        <f>VLOOKUP(A281,'SegEnds_NonXtal_Prot#'!A:AL,31,FALSE)-VLOOKUP(A281,'SegEnds_NonXtal_Prot#'!A:AL,28,FALSE)</f>
        <v>56</v>
      </c>
      <c r="AJ281" s="1">
        <f>VLOOKUP(A281,'SegEnds_NonXtal_Prot#'!A:AL,34,FALSE)-VLOOKUP(A281,'SegEnds_NonXtal_Prot#'!A:AL,31,FALSE)</f>
        <v>46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Xtal</v>
      </c>
    </row>
    <row r="282" spans="1:38" x14ac:dyDescent="0.2">
      <c r="A282" s="1" t="s">
        <v>364</v>
      </c>
      <c r="B282" s="1" t="str">
        <f>VLOOKUP(A282,Xtal_Templ!A:B,2,FALSE)</f>
        <v>ta2r_human</v>
      </c>
      <c r="C282" s="5">
        <f>VLOOKUP($B282&amp;"__wt",'SegEnds_Xtal_BW#'!$A:$Z,3,FALSE)</f>
        <v>35</v>
      </c>
      <c r="D282" s="108">
        <v>61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08">
        <v>50</v>
      </c>
      <c r="R282" s="108">
        <v>52</v>
      </c>
      <c r="S282" s="1">
        <v>35</v>
      </c>
      <c r="T282" s="1">
        <f t="array" ref="T282">INDEX(ICL3_classA!$G$2:$G$39,MATCH(MIN(ABS(AI282-ICL3_classA!$F$2:$F$39)),ABS(AI282-ICL3_classA!$F$2:$F$39),0))</f>
        <v>72</v>
      </c>
      <c r="U282" s="1">
        <f t="array" ref="U282">INDEX(ICL3_classA!$H$2:$H$39,MATCH(MIN(ABS(AI282-ICL3_classA!$F$2:$F$39)),ABS(AI282-ICL3_classA!$F$2:$F$39),0))</f>
        <v>29</v>
      </c>
      <c r="V282" s="1">
        <v>61</v>
      </c>
      <c r="W282" s="1">
        <v>31</v>
      </c>
      <c r="X282" s="108">
        <v>56</v>
      </c>
      <c r="Y282" s="108">
        <v>47</v>
      </c>
      <c r="Z282" s="1">
        <f>VLOOKUP($B282&amp;"__wt",'SegEnds_Xtal_BW#'!$A:$Z,26,FALSE)</f>
        <v>66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33</v>
      </c>
      <c r="AC282" s="1">
        <f>VLOOKUP(A282,'SegEnds_NonXtal_Prot#'!A:AL,10,FALSE)-VLOOKUP(A282,'SegEnds_NonXtal_Prot#'!A:AL,7,FALSE)</f>
        <v>19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56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54</v>
      </c>
      <c r="AI282" s="1">
        <f>VLOOKUP(A282,'SegEnds_NonXtal_Prot#'!A:AL,31,FALSE)-VLOOKUP(A282,'SegEnds_NonXtal_Prot#'!A:AL,28,FALSE)</f>
        <v>50</v>
      </c>
      <c r="AJ282" s="1">
        <f>VLOOKUP(A282,'SegEnds_NonXtal_Prot#'!A:AL,34,FALSE)-VLOOKUP(A282,'SegEnds_NonXtal_Prot#'!A:AL,31,FALSE)</f>
        <v>37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469</v>
      </c>
      <c r="B283" s="1" t="str">
        <f>VLOOKUP(A283,Xtal_Templ!A:B,2,FALSE)</f>
        <v>ta2r_human</v>
      </c>
      <c r="C283" s="5">
        <f>VLOOKUP($B283&amp;"__wt",'SegEnds_Xtal_BW#'!$A:$Z,3,FALSE)</f>
        <v>35</v>
      </c>
      <c r="D283" s="1">
        <f>VLOOKUP($B283&amp;"__wt",'SegEnds_Xtal_BW#'!$A:$Z,4,FALSE)</f>
        <v>62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67</v>
      </c>
      <c r="I283" s="1">
        <f>VLOOKUP($B283&amp;"__wt",'SegEnds_Xtal_BW#'!$A:$Z,9,FALSE)</f>
        <v>49</v>
      </c>
      <c r="J283" s="1">
        <f>VLOOKUP($B283&amp;"__wt",'SegEnds_Xtal_BW#'!$A:$Z,10,FALSE)</f>
        <v>53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33</v>
      </c>
      <c r="T283" s="1">
        <f t="array" ref="T283">INDEX(ICL3_classA!$G$2:$G$39,MATCH(MIN(ABS(AI283-ICL3_classA!$F$2:$F$39)),ABS(AI283-ICL3_classA!$F$2:$F$39),0))</f>
        <v>72</v>
      </c>
      <c r="U283" s="1">
        <f t="array" ref="U283">INDEX(ICL3_classA!$H$2:$H$39,MATCH(MIN(ABS(AI283-ICL3_classA!$F$2:$F$39)),ABS(AI283-ICL3_classA!$F$2:$F$39),0))</f>
        <v>24</v>
      </c>
      <c r="V283" s="108">
        <v>61</v>
      </c>
      <c r="W283" s="108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66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32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21</v>
      </c>
      <c r="AE283" s="1">
        <f>VLOOKUP(A283,'SegEnds_NonXtal_Prot#'!A:AL,16,FALSE)-VLOOKUP(A283,'SegEnds_NonXtal_Prot#'!A:AL,10,FALSE)</f>
        <v>56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50</v>
      </c>
      <c r="AI283" s="1">
        <f>VLOOKUP(A283,'SegEnds_NonXtal_Prot#'!A:AL,31,FALSE)-VLOOKUP(A283,'SegEnds_NonXtal_Prot#'!A:AL,28,FALSE)</f>
        <v>53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195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38</v>
      </c>
      <c r="H284" s="12"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9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28</v>
      </c>
      <c r="T284" s="1">
        <f t="array" ref="T284">INDEX(ICL3_classA!$G$2:$G$39,MATCH(MIN(ABS(AI284-ICL3_classA!$F$2:$F$39)),ABS(AI284-ICL3_classA!$F$2:$F$39),0))</f>
        <v>72</v>
      </c>
      <c r="U284" s="1">
        <f t="array" ref="U284">INDEX(ICL3_classA!$H$2:$H$39,MATCH(MIN(ABS(AI284-ICL3_classA!$F$2:$F$39)),ABS(AI284-ICL3_classA!$F$2:$F$39),0))</f>
        <v>24</v>
      </c>
      <c r="V284" s="1">
        <v>62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57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28</v>
      </c>
      <c r="AH284" s="1">
        <f>VLOOKUP(A284,'SegEnds_NonXtal_Prot#'!A:AL,28,FALSE)-VLOOKUP(A284,'SegEnds_NonXtal_Prot#'!A:AL,22,FALSE)</f>
        <v>57</v>
      </c>
      <c r="AI284" s="1">
        <f>VLOOKUP(A284,'SegEnds_NonXtal_Prot#'!A:AL,31,FALSE)-VLOOKUP(A284,'SegEnds_NonXtal_Prot#'!A:AL,28,FALSE)</f>
        <v>54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227</v>
      </c>
      <c r="B285" s="1" t="str">
        <f>VLOOKUP(A285,Xtal_Templ!A:B,2,FALSE)</f>
        <v>npy1r_human</v>
      </c>
      <c r="C285" s="5">
        <f>VLOOKUP($B285&amp;"__wt",'SegEnds_Xtal_BW#'!$A:$Z,3,FALSE)</f>
        <v>28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68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08"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INDEX(ICL3_classA!$G$2:$G$39,MATCH(MIN(ABS(AI285-ICL3_classA!$F$2:$F$39)),ABS(AI285-ICL3_classA!$F$2:$F$39),0))</f>
        <v>74</v>
      </c>
      <c r="U285" s="1">
        <f t="array" ref="U285">INDEX(ICL3_classA!$H$2:$H$39,MATCH(MIN(ABS(AI285-ICL3_classA!$F$2:$F$39)),ABS(AI285-ICL3_classA!$F$2:$F$39),0))</f>
        <v>24</v>
      </c>
      <c r="V285" s="1">
        <v>61</v>
      </c>
      <c r="W285" s="1">
        <v>32</v>
      </c>
      <c r="X285" s="108">
        <v>55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>
        <f>VLOOKUP(A285,'SegEnds_NonXtal_Prot#'!A:AL,10,FALSE)-VLOOKUP(A285,'SegEnds_NonXtal_Prot#'!A:AL,7,FALSE)</f>
        <v>14</v>
      </c>
      <c r="AD285" s="1">
        <f>VLOOKUP(A285,'SegEnds_NonXtal_Prot#'!A:AL,13,FALSE)-VLOOKUP(A285,'SegEnds_NonXtal_Prot#'!A:AL,10,FALSE)</f>
        <v>25</v>
      </c>
      <c r="AE285" s="1">
        <f>VLOOKUP(A285,'SegEnds_NonXtal_Prot#'!A:AL,16,FALSE)-VLOOKUP(A285,'SegEnds_NonXtal_Prot#'!A:AL,10,FALSE)</f>
        <v>57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23</v>
      </c>
      <c r="AH285" s="1">
        <f>VLOOKUP(A285,'SegEnds_NonXtal_Prot#'!A:AL,28,FALSE)-VLOOKUP(A285,'SegEnds_NonXtal_Prot#'!A:AL,22,FALSE)</f>
        <v>49</v>
      </c>
      <c r="AI285" s="1">
        <f>VLOOKUP(A285,'SegEnds_NonXtal_Prot#'!A:AL,31,FALSE)-VLOOKUP(A285,'SegEnds_NonXtal_Prot#'!A:AL,28,FALSE)</f>
        <v>96</v>
      </c>
      <c r="AJ285" s="1">
        <f>VLOOKUP(A285,'SegEnds_NonXtal_Prot#'!A:AL,34,FALSE)-VLOOKUP(A285,'SegEnds_NonXtal_Prot#'!A:AL,31,FALSE)</f>
        <v>34</v>
      </c>
      <c r="AK285" s="1">
        <f>VLOOKUP(A285,'SegEnds_NonXtal_Prot#'!A:AL,37,FALSE)-VLOOKUP(A285,'SegEnds_NonXtal_Prot#'!A:AL,34,FALSE)</f>
        <v>9</v>
      </c>
      <c r="AL285" s="1" t="str">
        <f>IF(ISERROR(MATCH(A285,'SegEnds_Xtal_Prot#'!B:B, 0)), "NoXtal", "Xtal")</f>
        <v>NoXtal</v>
      </c>
    </row>
    <row r="286" spans="1:38" x14ac:dyDescent="0.2">
      <c r="A286" s="1" t="s">
        <v>296</v>
      </c>
      <c r="B286" s="1" t="str">
        <f>VLOOKUP(A286,Xtal_Templ!A:B,2,FALSE)</f>
        <v>mc4r_human</v>
      </c>
      <c r="C286" s="5">
        <f>VLOOKUP($B286&amp;"__wt",'SegEnds_Xtal_BW#'!$A:$Z,3,FALSE)</f>
        <v>35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67</v>
      </c>
      <c r="I286" s="1" t="s">
        <v>23</v>
      </c>
      <c r="J286" s="1" t="s">
        <v>23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 t="str">
        <f>VLOOKUP($B286&amp;"__wt",'SegEnds_Xtal_BW#'!$A:$Z,17,FALSE)</f>
        <v>-</v>
      </c>
      <c r="R286" s="1" t="str">
        <f>VLOOKUP($B286&amp;"__wt",'SegEnds_Xtal_BW#'!$A:$Z,18,FALSE)</f>
        <v>-</v>
      </c>
      <c r="S286" s="108">
        <v>36</v>
      </c>
      <c r="T286" s="1">
        <f t="array" ref="T286">INDEX(ICL3_classA!$G$2:$G$39,MATCH(MIN(ABS(AI286-ICL3_classA!$F$2:$F$39)),ABS(AI286-ICL3_classA!$F$2:$F$39),0))</f>
        <v>73</v>
      </c>
      <c r="U286" s="108">
        <v>27</v>
      </c>
      <c r="V286" s="1">
        <v>61</v>
      </c>
      <c r="W286" s="128">
        <f>VLOOKUP($B286&amp;"__wt",'SegEnds_Xtal_BW#'!$A:$Z,23,FALSE)</f>
        <v>34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57</v>
      </c>
      <c r="AF286" s="1">
        <f>VLOOKUP(A286,'SegEnds_NonXtal_Prot#'!A:AL,22,FALSE)-VLOOKUP(A286,'SegEnds_NonXtal_Prot#'!A:AL,19,FALSE)</f>
        <v>20</v>
      </c>
      <c r="AG286" s="1" t="e">
        <f>VLOOKUP(A286,'SegEnds_NonXtal_Prot#'!A:AL,28,FALSE)-VLOOKUP(A286,'SegEnds_NonXtal_Prot#'!A:AL,25,FALSE)</f>
        <v>#VALUE!</v>
      </c>
      <c r="AH286" s="1">
        <f>VLOOKUP(A286,'SegEnds_NonXtal_Prot#'!A:AL,28,FALSE)-VLOOKUP(A286,'SegEnds_NonXtal_Prot#'!A:AL,22,FALSE)</f>
        <v>30</v>
      </c>
      <c r="AI286" s="1">
        <f>VLOOKUP(A286,'SegEnds_NonXtal_Prot#'!A:AL,31,FALSE)-VLOOKUP(A286,'SegEnds_NonXtal_Prot#'!A:AL,28,FALSE)</f>
        <v>56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365</v>
      </c>
      <c r="B287" s="1" t="str">
        <f>VLOOKUP(A287,Xtal_Templ!A:B,2,FALSE)</f>
        <v>pe2r4_human</v>
      </c>
      <c r="C287" s="5">
        <f>VLOOKUP($B287&amp;"__wt",'SegEnds_Xtal_BW#'!$A:$Z,3,FALSE)</f>
        <v>33</v>
      </c>
      <c r="D287" s="1">
        <f>VLOOKUP($B287&amp;"__wt",'SegEnds_Xtal_BW#'!$A:$Z,4,FALSE)</f>
        <v>58</v>
      </c>
      <c r="E287" s="1" t="str">
        <f>VLOOKUP($B287&amp;"__wt",'SegEnds_Xtal_BW#'!$A:$Z,5,FALSE)</f>
        <v>-</v>
      </c>
      <c r="F287" s="1" t="str">
        <f>VLOOKUP($B287&amp;"__wt",'SegEnds_Xtal_BW#'!$A:$Z,6,FALSE)</f>
        <v>-</v>
      </c>
      <c r="G287" s="1">
        <v>37</v>
      </c>
      <c r="H287" s="12"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22</v>
      </c>
      <c r="V287" s="1">
        <v>61</v>
      </c>
      <c r="W287" s="1">
        <v>31</v>
      </c>
      <c r="X287" s="108">
        <v>56</v>
      </c>
      <c r="Y287" s="1">
        <f>VLOOKUP($B287&amp;"__wt",'SegEnds_Xtal_BW#'!$A:$Z,25,FALSE)</f>
        <v>47</v>
      </c>
      <c r="Z287" s="1">
        <f>VLOOKUP($B287&amp;"__wt",'SegEnds_Xtal_BW#'!$A:$Z,26,FALSE)</f>
        <v>60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29</v>
      </c>
      <c r="AC287" s="1" t="e">
        <f>VLOOKUP(A287,'SegEnds_NonXtal_Prot#'!A:AL,10,FALSE)-VLOOKUP(A287,'SegEnds_NonXtal_Prot#'!A:AL,7,FALSE)</f>
        <v>#VALUE!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57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53</v>
      </c>
      <c r="AI287" s="1">
        <f>VLOOKUP(A287,'SegEnds_NonXtal_Prot#'!A:AL,31,FALSE)-VLOOKUP(A287,'SegEnds_NonXtal_Prot#'!A:AL,28,FALSE)</f>
        <v>57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151</v>
      </c>
      <c r="B288" s="1" t="str">
        <f>VLOOKUP(A288,Xtal_Templ!A:B,2,FALSE)</f>
        <v>mc4r_human</v>
      </c>
      <c r="C288" s="5">
        <f>VLOOKUP($B288&amp;"__wt",'SegEnds_Xtal_BW#'!$A:$Z,3,FALSE)</f>
        <v>35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 t="s">
        <v>23</v>
      </c>
      <c r="J288" s="1" t="s">
        <v>23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 t="str">
        <f>VLOOKUP($B288&amp;"__wt",'SegEnds_Xtal_BW#'!$A:$Z,17,FALSE)</f>
        <v>-</v>
      </c>
      <c r="R288" s="1" t="str">
        <f>VLOOKUP($B288&amp;"__wt",'SegEnds_Xtal_BW#'!$A:$Z,18,FALSE)</f>
        <v>-</v>
      </c>
      <c r="S288" s="108">
        <v>36</v>
      </c>
      <c r="T288" s="1">
        <f t="array" ref="T288">INDEX(ICL3_classA!$G$2:$G$39,MATCH(MIN(ABS(AI288-ICL3_classA!$F$2:$F$39)),ABS(AI288-ICL3_classA!$F$2:$F$39),0))</f>
        <v>68</v>
      </c>
      <c r="U288" s="1">
        <f t="array" ref="U288">INDEX(ICL3_classA!$H$2:$H$39,MATCH(MIN(ABS(AI288-ICL3_classA!$F$2:$F$39)),ABS(AI288-ICL3_classA!$F$2:$F$39),0))</f>
        <v>24</v>
      </c>
      <c r="V288" s="1">
        <v>61</v>
      </c>
      <c r="W288" s="128">
        <f>VLOOKUP($B288&amp;"__wt",'SegEnds_Xtal_BW#'!$A:$Z,23,FALSE)</f>
        <v>34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58</v>
      </c>
      <c r="AF288" s="1">
        <f>VLOOKUP(A288,'SegEnds_NonXtal_Prot#'!A:AL,22,FALSE)-VLOOKUP(A288,'SegEnds_NonXtal_Prot#'!A:AL,19,FALSE)</f>
        <v>20</v>
      </c>
      <c r="AG288" s="1" t="e">
        <f>VLOOKUP(A288,'SegEnds_NonXtal_Prot#'!A:AL,28,FALSE)-VLOOKUP(A288,'SegEnds_NonXtal_Prot#'!A:AL,25,FALSE)</f>
        <v>#VALUE!</v>
      </c>
      <c r="AH288" s="1">
        <f>VLOOKUP(A288,'SegEnds_NonXtal_Prot#'!A:AL,28,FALSE)-VLOOKUP(A288,'SegEnds_NonXtal_Prot#'!A:AL,22,FALSE)</f>
        <v>30</v>
      </c>
      <c r="AI288" s="1">
        <f>VLOOKUP(A288,'SegEnds_NonXtal_Prot#'!A:AL,31,FALSE)-VLOOKUP(A288,'SegEnds_NonXtal_Prot#'!A:AL,28,FALSE)</f>
        <v>49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295</v>
      </c>
      <c r="B289" s="1" t="str">
        <f>VLOOKUP(A289,Xtal_Templ!A:B,2,FALSE)</f>
        <v>mc4r_human</v>
      </c>
      <c r="C289" s="5">
        <f>VLOOKUP($B289&amp;"__wt",'SegEnds_Xtal_BW#'!$A:$Z,3,FALSE)</f>
        <v>35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 t="s">
        <v>23</v>
      </c>
      <c r="J289" s="1" t="s">
        <v>23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 t="str">
        <f>VLOOKUP($B289&amp;"__wt",'SegEnds_Xtal_BW#'!$A:$Z,17,FALSE)</f>
        <v>-</v>
      </c>
      <c r="R289" s="1" t="str">
        <f>VLOOKUP($B289&amp;"__wt",'SegEnds_Xtal_BW#'!$A:$Z,18,FALSE)</f>
        <v>-</v>
      </c>
      <c r="S289" s="108">
        <v>36</v>
      </c>
      <c r="T289" s="1">
        <f t="array" ref="T289">INDEX(ICL3_classA!$G$2:$G$39,MATCH(MIN(ABS(AI289-ICL3_classA!$F$2:$F$39)),ABS(AI289-ICL3_classA!$F$2:$F$39),0))</f>
        <v>73</v>
      </c>
      <c r="U289" s="108">
        <v>27</v>
      </c>
      <c r="V289" s="1">
        <v>61</v>
      </c>
      <c r="W289" s="128">
        <f>VLOOKUP($B289&amp;"__wt",'SegEnds_Xtal_BW#'!$A:$Z,23,FALSE)</f>
        <v>34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58</v>
      </c>
      <c r="AF289" s="1">
        <f>VLOOKUP(A289,'SegEnds_NonXtal_Prot#'!A:AL,22,FALSE)-VLOOKUP(A289,'SegEnds_NonXtal_Prot#'!A:AL,19,FALSE)</f>
        <v>20</v>
      </c>
      <c r="AG289" s="1" t="e">
        <f>VLOOKUP(A289,'SegEnds_NonXtal_Prot#'!A:AL,28,FALSE)-VLOOKUP(A289,'SegEnds_NonXtal_Prot#'!A:AL,25,FALSE)</f>
        <v>#VALUE!</v>
      </c>
      <c r="AH289" s="1">
        <f>VLOOKUP(A289,'SegEnds_NonXtal_Prot#'!A:AL,28,FALSE)-VLOOKUP(A289,'SegEnds_NonXtal_Prot#'!A:AL,22,FALSE)</f>
        <v>30</v>
      </c>
      <c r="AI289" s="1">
        <f>VLOOKUP(A289,'SegEnds_NonXtal_Prot#'!A:AL,31,FALSE)-VLOOKUP(A289,'SegEnds_NonXtal_Prot#'!A:AL,28,FALSE)</f>
        <v>58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297</v>
      </c>
      <c r="B290" s="1" t="str">
        <f>VLOOKUP(A290,Xtal_Templ!A:B,2,FALSE)</f>
        <v>mc4r_human</v>
      </c>
      <c r="C290" s="5">
        <f>VLOOKUP($B290&amp;"__wt",'SegEnds_Xtal_BW#'!$A:$Z,3,FALSE)</f>
        <v>35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v>49</v>
      </c>
      <c r="J290" s="1" t="str">
        <f>VLOOKUP($B290&amp;"__wt",'SegEnds_Xtal_BW#'!$A:$Z,10,FALSE)</f>
        <v>-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08">
        <v>36</v>
      </c>
      <c r="T290" s="1">
        <f t="array" ref="T290">INDEX(ICL3_classA!$G$2:$G$39,MATCH(MIN(ABS(AI290-ICL3_classA!$F$2:$F$39)),ABS(AI290-ICL3_classA!$F$2:$F$39),0))</f>
        <v>73</v>
      </c>
      <c r="U290" s="108">
        <v>27</v>
      </c>
      <c r="V290" s="1">
        <v>61</v>
      </c>
      <c r="W290" s="128">
        <f>VLOOKUP($B290&amp;"__wt",'SegEnds_Xtal_BW#'!$A:$Z,23,FALSE)</f>
        <v>34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61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 t="e">
        <f>VLOOKUP(A290,'SegEnds_NonXtal_Prot#'!A:AL,13,FALSE)-VLOOKUP(A290,'SegEnds_NonXtal_Prot#'!A:AL,10,FALSE)</f>
        <v>#VALUE!</v>
      </c>
      <c r="AE290" s="1">
        <f>VLOOKUP(A290,'SegEnds_NonXtal_Prot#'!A:AL,16,FALSE)-VLOOKUP(A290,'SegEnds_NonXtal_Prot#'!A:AL,10,FALSE)</f>
        <v>58</v>
      </c>
      <c r="AF290" s="1">
        <f>VLOOKUP(A290,'SegEnds_NonXtal_Prot#'!A:AL,22,FALSE)-VLOOKUP(A290,'SegEnds_NonXtal_Prot#'!A:AL,19,FALSE)</f>
        <v>20</v>
      </c>
      <c r="AG290" s="1" t="e">
        <f>VLOOKUP(A290,'SegEnds_NonXtal_Prot#'!A:AL,28,FALSE)-VLOOKUP(A290,'SegEnds_NonXtal_Prot#'!A:AL,25,FALSE)</f>
        <v>#VALUE!</v>
      </c>
      <c r="AH290" s="1">
        <f>VLOOKUP(A290,'SegEnds_NonXtal_Prot#'!A:AL,28,FALSE)-VLOOKUP(A290,'SegEnds_NonXtal_Prot#'!A:AL,22,FALSE)</f>
        <v>30</v>
      </c>
      <c r="AI290" s="1">
        <f>VLOOKUP(A290,'SegEnds_NonXtal_Prot#'!A:AL,31,FALSE)-VLOOKUP(A290,'SegEnds_NonXtal_Prot#'!A:AL,28,FALSE)</f>
        <v>56</v>
      </c>
      <c r="AJ290" s="1">
        <f>VLOOKUP(A290,'SegEnds_NonXtal_Prot#'!A:AL,34,FALSE)-VLOOKUP(A290,'SegEnds_NonXtal_Prot#'!A:AL,31,FALSE)</f>
        <v>39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308</v>
      </c>
      <c r="B291" s="1" t="str">
        <f>VLOOKUP(A291,Xtal_Templ!A:B,2,FALSE)</f>
        <v>mc4r_human</v>
      </c>
      <c r="C291" s="5">
        <f>VLOOKUP($B291&amp;"__wt",'SegEnds_Xtal_BW#'!$A:$Z,3,FALSE)</f>
        <v>35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67</v>
      </c>
      <c r="I291" s="1" t="s">
        <v>23</v>
      </c>
      <c r="J291" s="1" t="s">
        <v>23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 t="str">
        <f>VLOOKUP($B291&amp;"__wt",'SegEnds_Xtal_BW#'!$A:$Z,17,FALSE)</f>
        <v>-</v>
      </c>
      <c r="R291" s="1" t="str">
        <f>VLOOKUP($B291&amp;"__wt",'SegEnds_Xtal_BW#'!$A:$Z,18,FALSE)</f>
        <v>-</v>
      </c>
      <c r="S291" s="108">
        <v>36</v>
      </c>
      <c r="T291" s="1">
        <f t="array" ref="T291">INDEX(ICL3_classA!$G$2:$G$39,MATCH(MIN(ABS(AI291-ICL3_classA!$F$2:$F$39)),ABS(AI291-ICL3_classA!$F$2:$F$39),0))</f>
        <v>73</v>
      </c>
      <c r="U291" s="108">
        <v>27</v>
      </c>
      <c r="V291" s="1">
        <v>61</v>
      </c>
      <c r="W291" s="128">
        <f>VLOOKUP($B291&amp;"__wt",'SegEnds_Xtal_BW#'!$A:$Z,23,FALSE)</f>
        <v>34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58</v>
      </c>
      <c r="AF291" s="1">
        <f>VLOOKUP(A291,'SegEnds_NonXtal_Prot#'!A:AL,22,FALSE)-VLOOKUP(A291,'SegEnds_NonXtal_Prot#'!A:AL,19,FALSE)</f>
        <v>20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30</v>
      </c>
      <c r="AI291" s="1">
        <f>VLOOKUP(A291,'SegEnds_NonXtal_Prot#'!A:AL,31,FALSE)-VLOOKUP(A291,'SegEnds_NonXtal_Prot#'!A:AL,28,FALSE)</f>
        <v>57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358</v>
      </c>
      <c r="B292" s="1" t="str">
        <f>VLOOKUP(A292,Xtal_Templ!A:B,2,FALSE)</f>
        <v>pe2r4_human</v>
      </c>
      <c r="C292" s="5">
        <f>VLOOKUP($B292&amp;"__wt",'SegEnds_Xtal_BW#'!$A:$Z,3,FALSE)</f>
        <v>33</v>
      </c>
      <c r="D292" s="1">
        <f>VLOOKUP($B292&amp;"__wt",'SegEnds_Xtal_BW#'!$A:$Z,4,FALSE)</f>
        <v>58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INDEX(ICL3_classA!$G$2:$G$39,MATCH(MIN(ABS(AI292-ICL3_classA!$F$2:$F$39)),ABS(AI292-ICL3_classA!$F$2:$F$39),0))</f>
        <v>76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">
        <v>28</v>
      </c>
      <c r="X292" s="123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38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58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29</v>
      </c>
      <c r="AH292" s="1">
        <f>VLOOKUP(A292,'SegEnds_NonXtal_Prot#'!A:AL,28,FALSE)-VLOOKUP(A292,'SegEnds_NonXtal_Prot#'!A:AL,22,FALSE)</f>
        <v>55</v>
      </c>
      <c r="AI292" s="1">
        <f>VLOOKUP(A292,'SegEnds_NonXtal_Prot#'!A:AL,31,FALSE)-VLOOKUP(A292,'SegEnds_NonXtal_Prot#'!A:AL,28,FALSE)</f>
        <v>68</v>
      </c>
      <c r="AJ292" s="1">
        <f>VLOOKUP(A292,'SegEnds_NonXtal_Prot#'!A:AL,34,FALSE)-VLOOKUP(A292,'SegEnds_NonXtal_Prot#'!A:AL,31,FALSE)</f>
        <v>40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203</v>
      </c>
      <c r="B293" s="1" t="str">
        <f>VLOOKUP(A293,Xtal_Templ!A:B,2,FALSE)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INDEX(ICL3_classA!$G$2:$G$39,MATCH(MIN(ABS(AI293-ICL3_classA!$F$2:$F$39)),ABS(AI293-ICL3_classA!$F$2:$F$39),0))</f>
        <v>67</v>
      </c>
      <c r="U293" s="1">
        <f t="array" ref="U293">INDEX(ICL3_classA!$H$2:$H$39,MATCH(MIN(ABS(AI293-ICL3_classA!$F$2:$F$39)),ABS(AI293-ICL3_classA!$F$2:$F$39),0))</f>
        <v>26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14</v>
      </c>
      <c r="AD293" s="1">
        <f>VLOOKUP(A293,'SegEnds_NonXtal_Prot#'!A:AL,13,FALSE)-VLOOKUP(A293,'SegEnds_NonXtal_Prot#'!A:AL,10,FALSE)</f>
        <v>28</v>
      </c>
      <c r="AE293" s="1">
        <f>VLOOKUP(A293,'SegEnds_NonXtal_Prot#'!A:AL,16,FALSE)-VLOOKUP(A293,'SegEnds_NonXtal_Prot#'!A:AL,10,FALSE)</f>
        <v>59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24</v>
      </c>
      <c r="AH293" s="1">
        <f>VLOOKUP(A293,'SegEnds_NonXtal_Prot#'!A:AL,28,FALSE)-VLOOKUP(A293,'SegEnds_NonXtal_Prot#'!A:AL,22,FALSE)</f>
        <v>47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36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282</v>
      </c>
      <c r="B294" s="1" t="str">
        <f>VLOOKUP(A294,Xtal_Templ!A:B,2,FALSE)</f>
        <v>agtr1_human</v>
      </c>
      <c r="C294" s="5">
        <f>VLOOKUP($B294&amp;"__wt",'SegEnds_Xtal_BW#'!$A:$Z,3,FALSE)</f>
        <v>28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INDEX(ICL3_classA!$G$2:$G$39,MATCH(MIN(ABS(AI294-ICL3_classA!$F$2:$F$39)),ABS(AI294-ICL3_classA!$F$2:$F$39),0))</f>
        <v>67</v>
      </c>
      <c r="U294" s="1">
        <f t="array" ref="U294">INDEX(ICL3_classA!$H$2:$H$39,MATCH(MIN(ABS(AI294-ICL3_classA!$F$2:$F$39)),ABS(AI294-ICL3_classA!$F$2:$F$39),0))</f>
        <v>28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59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24</v>
      </c>
      <c r="AH294" s="1">
        <f>VLOOKUP(A294,'SegEnds_NonXtal_Prot#'!A:AL,28,FALSE)-VLOOKUP(A294,'SegEnds_NonXtal_Prot#'!A:AL,22,FALSE)</f>
        <v>47</v>
      </c>
      <c r="AI294" s="1">
        <f>VLOOKUP(A294,'SegEnds_NonXtal_Prot#'!A:AL,31,FALSE)-VLOOKUP(A294,'SegEnds_NonXtal_Prot#'!A:AL,28,FALSE)</f>
        <v>45</v>
      </c>
      <c r="AJ294" s="1">
        <f>VLOOKUP(A294,'SegEnds_NonXtal_Prot#'!A:AL,34,FALSE)-VLOOKUP(A294,'SegEnds_NonXtal_Prot#'!A:AL,31,FALSE)</f>
        <v>36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283</v>
      </c>
      <c r="B295" s="1" t="str">
        <f>VLOOKUP(A295,Xtal_Templ!A:B,2,FALSE)</f>
        <v>aa2ar_human</v>
      </c>
      <c r="C295" s="5">
        <f>VLOOKUP($B295&amp;"__wt",'SegEnds_Xtal_BW#'!$A:$Z,3,FALSE)</f>
        <v>27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INDEX(ICL3_classA!$G$2:$G$39,MATCH(MIN(ABS(AI295-ICL3_classA!$F$2:$F$39)),ABS(AI295-ICL3_classA!$F$2:$F$39),0))</f>
        <v>67</v>
      </c>
      <c r="U295" s="1">
        <f t="array" ref="U295">INDEX(ICL3_classA!$H$2:$H$39,MATCH(MIN(ABS(AI295-ICL3_classA!$F$2:$F$39)),ABS(AI295-ICL3_classA!$F$2:$F$39),0))</f>
        <v>28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 t="e">
        <f>VLOOKUP(A295,'SegEnds_NonXtal_Prot#'!A:AL,10,FALSE)-VLOOKUP(A295,'SegEnds_NonXtal_Prot#'!A:AL,7,FALSE)</f>
        <v>#VALUE!</v>
      </c>
      <c r="AD295" s="1" t="e">
        <f>VLOOKUP(A295,'SegEnds_NonXtal_Prot#'!A:AL,13,FALSE)-VLOOKUP(A295,'SegEnds_NonXtal_Prot#'!A:AL,10,FALSE)</f>
        <v>#VALUE!</v>
      </c>
      <c r="AE295" s="1">
        <f>VLOOKUP(A295,'SegEnds_NonXtal_Prot#'!A:AL,16,FALSE)-VLOOKUP(A295,'SegEnds_NonXtal_Prot#'!A:AL,10,FALSE)</f>
        <v>59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24</v>
      </c>
      <c r="AH295" s="1">
        <f>VLOOKUP(A295,'SegEnds_NonXtal_Prot#'!A:AL,28,FALSE)-VLOOKUP(A295,'SegEnds_NonXtal_Prot#'!A:AL,22,FALSE)</f>
        <v>47</v>
      </c>
      <c r="AI295" s="1">
        <f>VLOOKUP(A295,'SegEnds_NonXtal_Prot#'!A:AL,31,FALSE)-VLOOKUP(A295,'SegEnds_NonXtal_Prot#'!A:AL,28,FALSE)</f>
        <v>45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284</v>
      </c>
      <c r="B296" s="1" t="str">
        <f>VLOOKUP(A296,Xtal_Templ!A:B,2,FALSE)</f>
        <v>mtr1a_human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67</v>
      </c>
      <c r="U296" s="1">
        <f t="array" ref="U296">INDEX(ICL3_classA!$H$2:$H$39,MATCH(MIN(ABS(AI296-ICL3_classA!$F$2:$F$39)),ABS(AI296-ICL3_classA!$F$2:$F$39),0))</f>
        <v>28</v>
      </c>
      <c r="V296" s="1">
        <v>61</v>
      </c>
      <c r="W296" s="1">
        <v>31</v>
      </c>
      <c r="X296" s="108"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29</v>
      </c>
      <c r="AC296" s="1" t="e">
        <f>VLOOKUP(A296,'SegEnds_NonXtal_Prot#'!A:AL,10,FALSE)-VLOOKUP(A296,'SegEnds_NonXtal_Prot#'!A:AL,7,FALSE)</f>
        <v>#VALUE!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59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26</v>
      </c>
      <c r="AH296" s="1">
        <f>VLOOKUP(A296,'SegEnds_NonXtal_Prot#'!A:AL,28,FALSE)-VLOOKUP(A296,'SegEnds_NonXtal_Prot#'!A:AL,22,FALSE)</f>
        <v>49</v>
      </c>
      <c r="AI296" s="1">
        <f>VLOOKUP(A296,'SegEnds_NonXtal_Prot#'!A:AL,31,FALSE)-VLOOKUP(A296,'SegEnds_NonXtal_Prot#'!A:AL,28,FALSE)</f>
        <v>45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290</v>
      </c>
      <c r="B297" s="1" t="str">
        <f>VLOOKUP(A297,Xtal_Templ!A:B,2,FALSE)</f>
        <v>hrh1_human</v>
      </c>
      <c r="C297" s="5">
        <f>VLOOKUP($B297&amp;"__wt",'SegEnds_Xtal_BW#'!$A:$Z,3,FALSE)</f>
        <v>34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62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INDEX(ICL3_classA!$G$2:$G$39,MATCH(MIN(ABS(AI297-ICL3_classA!$F$2:$F$39)),ABS(AI297-ICL3_classA!$F$2:$F$39),0))</f>
        <v>67</v>
      </c>
      <c r="U297" s="1">
        <f t="array" ref="U297">INDEX(ICL3_classA!$H$2:$H$39,MATCH(MIN(ABS(AI297-ICL3_classA!$F$2:$F$39)),ABS(AI297-ICL3_classA!$F$2:$F$39),0))</f>
        <v>26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14</v>
      </c>
      <c r="AD297" s="1">
        <f>VLOOKUP(A297,'SegEnds_NonXtal_Prot#'!A:AL,13,FALSE)-VLOOKUP(A297,'SegEnds_NonXtal_Prot#'!A:AL,10,FALSE)</f>
        <v>28</v>
      </c>
      <c r="AE297" s="1">
        <f>VLOOKUP(A297,'SegEnds_NonXtal_Prot#'!A:AL,16,FALSE)-VLOOKUP(A297,'SegEnds_NonXtal_Prot#'!A:AL,10,FALSE)</f>
        <v>59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24</v>
      </c>
      <c r="AH297" s="1">
        <f>VLOOKUP(A297,'SegEnds_NonXtal_Prot#'!A:AL,28,FALSE)-VLOOKUP(A297,'SegEnds_NonXtal_Prot#'!A:AL,22,FALSE)</f>
        <v>47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36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374</v>
      </c>
      <c r="B298" s="1" t="str">
        <f>VLOOKUP(A298,Xtal_Templ!A:B,2,FALSE)</f>
        <v>aa1r_human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67</v>
      </c>
      <c r="I298" s="1">
        <f>VLOOKUP($B298&amp;"__wt",'SegEnds_Xtal_BW#'!$A:$Z,9,FALSE)</f>
        <v>50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08">
        <v>56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72</v>
      </c>
      <c r="U298" s="1">
        <f t="array" ref="U298">INDEX(ICL3_classA!$H$2:$H$39,MATCH(MIN(ABS(AI298-ICL3_classA!$F$2:$F$39)),ABS(AI298-ICL3_classA!$F$2:$F$39),0))</f>
        <v>23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59</v>
      </c>
      <c r="AF298" s="1">
        <f>VLOOKUP(A298,'SegEnds_NonXtal_Prot#'!A:AL,22,FALSE)-VLOOKUP(A298,'SegEnds_NonXtal_Prot#'!A:AL,19,FALSE)</f>
        <v>19</v>
      </c>
      <c r="AG298" s="1">
        <f>VLOOKUP(A298,'SegEnds_NonXtal_Prot#'!A:AL,28,FALSE)-VLOOKUP(A298,'SegEnds_NonXtal_Prot#'!A:AL,25,FALSE)</f>
        <v>28</v>
      </c>
      <c r="AH298" s="1">
        <f>VLOOKUP(A298,'SegEnds_NonXtal_Prot#'!A:AL,28,FALSE)-VLOOKUP(A298,'SegEnds_NonXtal_Prot#'!A:AL,22,FALSE)</f>
        <v>55</v>
      </c>
      <c r="AI298" s="1">
        <f>VLOOKUP(A298,'SegEnds_NonXtal_Prot#'!A:AL,31,FALSE)-VLOOKUP(A298,'SegEnds_NonXtal_Prot#'!A:AL,28,FALSE)</f>
        <v>52</v>
      </c>
      <c r="AJ298" s="1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375</v>
      </c>
      <c r="B299" s="1" t="str">
        <f>VLOOKUP(A299,Xtal_Templ!A:B,2,FALSE)</f>
        <v>aa1r_human</v>
      </c>
      <c r="C299" s="5">
        <f>VLOOKUP($B299&amp;"__wt",'SegEnds_Xtal_BW#'!$A:$Z,3,FALSE)</f>
        <v>29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67</v>
      </c>
      <c r="I299" s="1">
        <f>VLOOKUP($B299&amp;"__wt",'SegEnds_Xtal_BW#'!$A:$Z,9,FALSE)</f>
        <v>50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08">
        <v>56</v>
      </c>
      <c r="O299" s="87">
        <f>VLOOKUP($B299&amp;"__wt",'SegEnds_Xtal_BW#'!$A:$Z,15,FALSE)</f>
        <v>38</v>
      </c>
      <c r="P299" s="1">
        <f>VLOOKUP($B299&amp;"__wt",'SegEnds_Xtal_BW#'!$A:$Z,16,FALSE)</f>
        <v>63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72</v>
      </c>
      <c r="U299" s="1">
        <f t="array" ref="U299">INDEX(ICL3_classA!$H$2:$H$39,MATCH(MIN(ABS(AI299-ICL3_classA!$F$2:$F$39)),ABS(AI299-ICL3_classA!$F$2:$F$39),0))</f>
        <v>23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69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24</v>
      </c>
      <c r="AE299" s="1">
        <f>VLOOKUP(A299,'SegEnds_NonXtal_Prot#'!A:AL,16,FALSE)-VLOOKUP(A299,'SegEnds_NonXtal_Prot#'!A:AL,10,FALSE)</f>
        <v>59</v>
      </c>
      <c r="AF299" s="1">
        <f>VLOOKUP(A299,'SegEnds_NonXtal_Prot#'!A:AL,22,FALSE)-VLOOKUP(A299,'SegEnds_NonXtal_Prot#'!A:AL,19,FALSE)</f>
        <v>19</v>
      </c>
      <c r="AG299" s="1">
        <f>VLOOKUP(A299,'SegEnds_NonXtal_Prot#'!A:AL,28,FALSE)-VLOOKUP(A299,'SegEnds_NonXtal_Prot#'!A:AL,25,FALSE)</f>
        <v>28</v>
      </c>
      <c r="AH299" s="1">
        <f>VLOOKUP(A299,'SegEnds_NonXtal_Prot#'!A:AL,28,FALSE)-VLOOKUP(A299,'SegEnds_NonXtal_Prot#'!A:AL,22,FALSE)</f>
        <v>55</v>
      </c>
      <c r="AI299" s="1">
        <f>VLOOKUP(A299,'SegEnds_NonXtal_Prot#'!A:AL,31,FALSE)-VLOOKUP(A299,'SegEnds_NonXtal_Prot#'!A:AL,28,FALSE)</f>
        <v>52</v>
      </c>
      <c r="AJ299" s="1">
        <f>VLOOKUP(A299,'SegEnds_NonXtal_Prot#'!A:AL,34,FALSE)-VLOOKUP(A299,'SegEnds_NonXtal_Prot#'!A:AL,31,FALSE)</f>
        <v>35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394</v>
      </c>
      <c r="B300" s="1" t="str">
        <f>VLOOKUP(A300,Xtal_Templ!A:B,2,FALSE)</f>
        <v>aa2ar_human</v>
      </c>
      <c r="C300" s="5">
        <f>VLOOKUP($B300&amp;"__wt",'SegEnds_Xtal_BW#'!$A:$Z,3,FALSE)</f>
        <v>27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2">
        <f>VLOOKUP($B300&amp;"__wt",'SegEnds_Xtal_BW#'!$A:$Z,8,FALSE)</f>
        <v>67</v>
      </c>
      <c r="I300" s="1">
        <v>49</v>
      </c>
      <c r="J300" s="1">
        <f>VLOOKUP($B300&amp;"__wt",'SegEnds_Xtal_BW#'!$A:$Z,10,FALSE)</f>
        <v>52</v>
      </c>
      <c r="K300" s="12">
        <v>18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f>VLOOKUP($B300&amp;"__wt",'SegEnds_Xtal_BW#'!$A:$Z,15,FALSE)</f>
        <v>38</v>
      </c>
      <c r="P300" s="1">
        <f>VLOOKUP($B300&amp;"__wt",'SegEnds_Xtal_BW#'!$A:$Z,16,FALSE)</f>
        <v>63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34</v>
      </c>
      <c r="T300" s="1">
        <f t="array" ref="T300">INDEX(ICL3_classA!$G$2:$G$39,MATCH(MIN(ABS(AI300-ICL3_classA!$F$2:$F$39)),ABS(AI300-ICL3_classA!$F$2:$F$39),0))</f>
        <v>67</v>
      </c>
      <c r="U300" s="1">
        <f t="array" ref="U300">INDEX(ICL3_classA!$H$2:$H$39,MATCH(MIN(ABS(AI300-ICL3_classA!$F$2:$F$39)),ABS(AI300-ICL3_classA!$F$2:$F$39),0))</f>
        <v>26</v>
      </c>
      <c r="V300" s="1">
        <v>61</v>
      </c>
      <c r="W300" s="1">
        <v>31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69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14</v>
      </c>
      <c r="AD300" s="1">
        <f>VLOOKUP(A300,'SegEnds_NonXtal_Prot#'!A:AL,13,FALSE)-VLOOKUP(A300,'SegEnds_NonXtal_Prot#'!A:AL,10,FALSE)</f>
        <v>28</v>
      </c>
      <c r="AE300" s="1">
        <f>VLOOKUP(A300,'SegEnds_NonXtal_Prot#'!A:AL,16,FALSE)-VLOOKUP(A300,'SegEnds_NonXtal_Prot#'!A:AL,10,FALSE)</f>
        <v>59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24</v>
      </c>
      <c r="AH300" s="1">
        <f>VLOOKUP(A300,'SegEnds_NonXtal_Prot#'!A:AL,28,FALSE)-VLOOKUP(A300,'SegEnds_NonXtal_Prot#'!A:AL,22,FALSE)</f>
        <v>47</v>
      </c>
      <c r="AI300" s="1">
        <f>VLOOKUP(A300,'SegEnds_NonXtal_Prot#'!A:AL,31,FALSE)-VLOOKUP(A300,'SegEnds_NonXtal_Prot#'!A:AL,28,FALSE)</f>
        <v>46</v>
      </c>
      <c r="AJ300" s="1">
        <f>VLOOKUP(A300,'SegEnds_NonXtal_Prot#'!A:AL,34,FALSE)-VLOOKUP(A300,'SegEnds_NonXtal_Prot#'!A:AL,31,FALSE)</f>
        <v>36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214</v>
      </c>
      <c r="B301" s="1" t="str">
        <f>VLOOKUP(A301,Xtal_Templ!A:B,2,FALSE)</f>
        <v>mtr1a_human</v>
      </c>
      <c r="C301" s="5">
        <f>VLOOKUP($B301&amp;"__wt",'SegEnds_Xtal_BW#'!$A:$Z,3,FALSE)</f>
        <v>28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2">
        <f>VLOOKUP($B301&amp;"__wt",'SegEnds_Xtal_BW#'!$A:$Z,8,FALSE)</f>
        <v>68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56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35</v>
      </c>
      <c r="T301" s="1">
        <f t="array" ref="T301">INDEX(ICL3_classA!$G$2:$G$39,MATCH(MIN(ABS(AI301-ICL3_classA!$F$2:$F$39)),ABS(AI301-ICL3_classA!$F$2:$F$39),0))</f>
        <v>73</v>
      </c>
      <c r="U301" s="1">
        <f t="array" ref="U301">INDEX(ICL3_classA!$H$2:$H$39,MATCH(MIN(ABS(AI301-ICL3_classA!$F$2:$F$39)),ABS(AI301-ICL3_classA!$F$2:$F$39),0))</f>
        <v>22</v>
      </c>
      <c r="V301" s="1">
        <v>61</v>
      </c>
      <c r="W301" s="128">
        <f>VLOOKUP($B301&amp;"__wt",'SegEnds_Xtal_BW#'!$A:$Z,23,FALSE)</f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63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60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27</v>
      </c>
      <c r="AH301" s="1">
        <f>VLOOKUP(A301,'SegEnds_NonXtal_Prot#'!A:AL,28,FALSE)-VLOOKUP(A301,'SegEnds_NonXtal_Prot#'!A:AL,22,FALSE)</f>
        <v>55</v>
      </c>
      <c r="AI301" s="1">
        <f>VLOOKUP(A301,'SegEnds_NonXtal_Prot#'!A:AL,31,FALSE)-VLOOKUP(A301,'SegEnds_NonXtal_Prot#'!A:AL,28,FALSE)</f>
        <v>57</v>
      </c>
      <c r="AJ301" s="1">
        <f>VLOOKUP(A301,'SegEnds_NonXtal_Prot#'!A:AL,34,FALSE)-VLOOKUP(A301,'SegEnds_NonXtal_Prot#'!A:AL,31,FALSE)</f>
        <v>38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272</v>
      </c>
      <c r="B302" s="1" t="str">
        <f>VLOOKUP(A302,Xtal_Templ!A:B,2,FALSE)</f>
        <v>ox1r_human</v>
      </c>
      <c r="C302" s="5">
        <f>VLOOKUP($B302&amp;"__wt",'SegEnds_Xtal_BW#'!$A:$Z,3,FALSE)</f>
        <v>32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f>VLOOKUP($B302&amp;"__wt",'SegEnds_Xtal_BW#'!$A:$Z,8,FALSE)</f>
        <v>68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v>35</v>
      </c>
      <c r="T302" s="1">
        <f t="array" ref="T302">INDEX(ICL3_classA!$G$2:$G$39,MATCH(MIN(ABS(AI302-ICL3_classA!$F$2:$F$39)),ABS(AI302-ICL3_classA!$F$2:$F$39),0))</f>
        <v>74</v>
      </c>
      <c r="U302" s="1">
        <f t="array" ref="U302">INDEX(ICL3_classA!$H$2:$H$39,MATCH(MIN(ABS(AI302-ICL3_classA!$F$2:$F$39)),ABS(AI302-ICL3_classA!$F$2:$F$39),0))</f>
        <v>21</v>
      </c>
      <c r="V302" s="1">
        <v>61</v>
      </c>
      <c r="W302" s="1">
        <v>32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63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61</v>
      </c>
      <c r="AF302" s="1">
        <f>VLOOKUP(A302,'SegEnds_NonXtal_Prot#'!A:AL,22,FALSE)-VLOOKUP(A302,'SegEnds_NonXtal_Prot#'!A:AL,19,FALSE)</f>
        <v>20</v>
      </c>
      <c r="AG302" s="1" t="e">
        <f>VLOOKUP(A302,'SegEnds_NonXtal_Prot#'!A:AL,28,FALSE)-VLOOKUP(A302,'SegEnds_NonXtal_Prot#'!A:AL,25,FALSE)</f>
        <v>#VALUE!</v>
      </c>
      <c r="AH302" s="1">
        <f>VLOOKUP(A302,'SegEnds_NonXtal_Prot#'!A:AL,28,FALSE)-VLOOKUP(A302,'SegEnds_NonXtal_Prot#'!A:AL,22,FALSE)</f>
        <v>72</v>
      </c>
      <c r="AI302" s="1">
        <f>VLOOKUP(A302,'SegEnds_NonXtal_Prot#'!A:AL,31,FALSE)-VLOOKUP(A302,'SegEnds_NonXtal_Prot#'!A:AL,28,FALSE)</f>
        <v>61</v>
      </c>
      <c r="AJ302" s="1">
        <f>VLOOKUP(A302,'SegEnds_NonXtal_Prot#'!A:AL,34,FALSE)-VLOOKUP(A302,'SegEnds_NonXtal_Prot#'!A:AL,31,FALSE)</f>
        <v>34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1" t="s">
        <v>220</v>
      </c>
      <c r="B303" s="1" t="str">
        <f>VLOOKUP(A303,Xtal_Templ!A:B,2,FALSE)</f>
        <v>s1pr1_human</v>
      </c>
      <c r="C303" s="5">
        <f>VLOOKUP($B303&amp;"__wt",'SegEnds_Xtal_BW#'!$A:$Z,3,FALSE)</f>
        <v>29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v>67</v>
      </c>
      <c r="I303" s="1">
        <f>VLOOKUP($B303&amp;"__wt",'SegEnds_Xtal_BW#'!$A:$Z,9,FALSE)</f>
        <v>47</v>
      </c>
      <c r="J303" s="1">
        <f>VLOOKUP($B303&amp;"__wt",'SegEnds_Xtal_BW#'!$A:$Z,10,FALSE)</f>
        <v>53</v>
      </c>
      <c r="K303" s="12">
        <v>18</v>
      </c>
      <c r="L303" s="1">
        <f>VLOOKUP($B303&amp;"__wt",'SegEnds_Xtal_BW#'!$A:$Z,12,FALSE)</f>
        <v>56</v>
      </c>
      <c r="M303" s="108" t="s">
        <v>23</v>
      </c>
      <c r="N303" s="12" t="s">
        <v>23</v>
      </c>
      <c r="O303" s="87">
        <f>VLOOKUP($B303&amp;"__wt",'SegEnds_Xtal_BW#'!$A:$Z,15,FALSE)</f>
        <v>38</v>
      </c>
      <c r="P303" s="1">
        <f>VLOOKUP($B303&amp;"__wt",'SegEnds_Xtal_BW#'!$A:$Z,16,FALSE)</f>
        <v>63</v>
      </c>
      <c r="Q303" s="1" t="str">
        <f>VLOOKUP($B303&amp;"__wt",'SegEnds_Xtal_BW#'!$A:$Z,17,FALSE)</f>
        <v>-</v>
      </c>
      <c r="R303" s="1" t="str">
        <f>VLOOKUP($B303&amp;"__wt",'SegEnds_Xtal_BW#'!$A:$Z,18,FALSE)</f>
        <v>-</v>
      </c>
      <c r="S303" s="1">
        <f>VLOOKUP($B303&amp;"__wt",'SegEnds_Xtal_BW#'!$A:$Z,19,FALSE)</f>
        <v>36</v>
      </c>
      <c r="T303" s="1">
        <f t="array" ref="T303">INDEX(ICL3_classA!$G$2:$G$39,MATCH(MIN(ABS(AI303-ICL3_classA!$F$2:$F$39)),ABS(AI303-ICL3_classA!$F$2:$F$39),0))</f>
        <v>76</v>
      </c>
      <c r="U303" s="1">
        <f t="array" ref="U303">INDEX(ICL3_classA!$H$2:$H$39,MATCH(MIN(ABS(AI303-ICL3_classA!$F$2:$F$39)),ABS(AI303-ICL3_classA!$F$2:$F$39),0))</f>
        <v>24</v>
      </c>
      <c r="V303" s="1">
        <v>61</v>
      </c>
      <c r="W303" s="1">
        <v>32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59</v>
      </c>
      <c r="AA303" s="27" t="str">
        <f>VLOOKUP(A303,Classification!A:B,2,FALSE)</f>
        <v>A</v>
      </c>
      <c r="AB303" s="1">
        <f>VLOOKUP(A303,'SegEnds_NonXtal_Prot#'!A:AL,10,FALSE)-VLOOKUP(A303,'SegEnds_NonXtal_Prot#'!A:AL,4,FALSE)</f>
        <v>29</v>
      </c>
      <c r="AC303" s="1" t="e">
        <f>VLOOKUP(A303,'SegEnds_NonXtal_Prot#'!A:AL,10,FALSE)-VLOOKUP(A303,'SegEnds_NonXtal_Prot#'!A:AL,7,FALSE)</f>
        <v>#VALUE!</v>
      </c>
      <c r="AD303" s="1">
        <f>VLOOKUP(A303,'SegEnds_NonXtal_Prot#'!A:AL,13,FALSE)-VLOOKUP(A303,'SegEnds_NonXtal_Prot#'!A:AL,10,FALSE)</f>
        <v>26</v>
      </c>
      <c r="AE303" s="1">
        <f>VLOOKUP(A303,'SegEnds_NonXtal_Prot#'!A:AL,16,FALSE)-VLOOKUP(A303,'SegEnds_NonXtal_Prot#'!A:AL,10,FALSE)</f>
        <v>69</v>
      </c>
      <c r="AF303" s="1" t="e">
        <f>VLOOKUP(A303,'SegEnds_NonXtal_Prot#'!A:AL,22,FALSE)-VLOOKUP(A303,'SegEnds_NonXtal_Prot#'!A:AL,19,FALSE)</f>
        <v>#VALUE!</v>
      </c>
      <c r="AG303" s="1" t="e">
        <f>VLOOKUP(A303,'SegEnds_NonXtal_Prot#'!A:AL,28,FALSE)-VLOOKUP(A303,'SegEnds_NonXtal_Prot#'!A:AL,25,FALSE)</f>
        <v>#VALUE!</v>
      </c>
      <c r="AH303" s="1">
        <f>VLOOKUP(A303,'SegEnds_NonXtal_Prot#'!A:AL,28,FALSE)-VLOOKUP(A303,'SegEnds_NonXtal_Prot#'!A:AL,22,FALSE)</f>
        <v>53</v>
      </c>
      <c r="AI303" s="1">
        <f>VLOOKUP(A303,'SegEnds_NonXtal_Prot#'!A:AL,31,FALSE)-VLOOKUP(A303,'SegEnds_NonXtal_Prot#'!A:AL,28,FALSE)</f>
        <v>114</v>
      </c>
      <c r="AJ303" s="1">
        <f>VLOOKUP(A303,'SegEnds_NonXtal_Prot#'!A:AL,34,FALSE)-VLOOKUP(A303,'SegEnds_NonXtal_Prot#'!A:AL,31,FALSE)</f>
        <v>34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s="42" customFormat="1" x14ac:dyDescent="0.2">
      <c r="A304" s="42" t="s">
        <v>402</v>
      </c>
      <c r="B304" s="42" t="str">
        <f>VLOOKUP(A304,Xtal_Templ!A:B,2,FALSE)</f>
        <v>crfr2_human</v>
      </c>
      <c r="C304" s="43">
        <f>VLOOKUP($B304&amp;"__wt",'SegEnds_Xtal_BW#'!$A:$Z,3,FALSE)</f>
        <v>19</v>
      </c>
      <c r="D304" s="42">
        <f>VLOOKUP($B304&amp;"__wt",'SegEnds_Xtal_BW#'!$A:$Z,4,FALSE)</f>
        <v>60</v>
      </c>
      <c r="E304" s="42">
        <f>VLOOKUP($B304&amp;"__wt",'SegEnds_Xtal_BW#'!$A:$Z,5,FALSE)</f>
        <v>48</v>
      </c>
      <c r="F304" s="42">
        <f>VLOOKUP($B304&amp;"__wt",'SegEnds_Xtal_BW#'!$A:$Z,6,FALSE)</f>
        <v>51</v>
      </c>
      <c r="G304" s="42">
        <v>37</v>
      </c>
      <c r="H304" s="101">
        <v>63</v>
      </c>
      <c r="I304" s="42" t="str">
        <f>VLOOKUP($B304&amp;"__wt",'SegEnds_Xtal_BW#'!$A:$Z,9,FALSE)</f>
        <v>-</v>
      </c>
      <c r="J304" s="42" t="str">
        <f>VLOOKUP($B304&amp;"__wt",'SegEnds_Xtal_BW#'!$A:$Z,10,FALSE)</f>
        <v>-</v>
      </c>
      <c r="K304" s="116">
        <v>22</v>
      </c>
      <c r="L304" s="42">
        <f>VLOOKUP($B304&amp;"__wt",'SegEnds_Xtal_BW#'!$A:$Z,12,FALSE)</f>
        <v>56</v>
      </c>
      <c r="M304" s="42" t="str">
        <f>VLOOKUP($B304&amp;"__wt",'SegEnds_Xtal_BW#'!$A:$Z,13,FALSE)</f>
        <v>-</v>
      </c>
      <c r="N304" s="101" t="str">
        <f>VLOOKUP($B304&amp;"__wt",'SegEnds_Xtal_BW#'!$A:$Z,14,FALSE)</f>
        <v>-</v>
      </c>
      <c r="O304" s="89">
        <f>VLOOKUP($B304&amp;"__wt",'SegEnds_Xtal_BW#'!$A:$Z,15,FALSE)</f>
        <v>41</v>
      </c>
      <c r="P304" s="42">
        <f>VLOOKUP($B304&amp;"__wt",'SegEnds_Xtal_BW#'!$A:$Z,16,FALSE)</f>
        <v>68</v>
      </c>
      <c r="Q304" s="42">
        <f>VLOOKUP($B304&amp;"__wt",'SegEnds_Xtal_BW#'!$A:$Z,17,FALSE)</f>
        <v>50</v>
      </c>
      <c r="R304" s="42">
        <f>VLOOKUP($B304&amp;"__wt",'SegEnds_Xtal_BW#'!$A:$Z,18,FALSE)</f>
        <v>52</v>
      </c>
      <c r="S304" s="1">
        <f>VLOOKUP($B304&amp;"__wt",'SegEnds_Xtal_BW#'!$A:$Z,19,FALSE)</f>
        <v>39</v>
      </c>
      <c r="T304" s="4">
        <f>VLOOKUP($B304&amp;"__wt",'SegEnds_Xtal_BW#'!$A:$Z,20,FALSE)</f>
        <v>71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2">
        <v>28</v>
      </c>
      <c r="X304" s="42">
        <f>VLOOKUP($B304&amp;"__wt",'SegEnds_Xtal_BW#'!$A:$Z,24,FALSE)</f>
        <v>56</v>
      </c>
      <c r="Y304" s="42">
        <f>VLOOKUP($B304&amp;"__wt",'SegEnds_Xtal_BW#'!$A:$Z,25,FALSE)</f>
        <v>47</v>
      </c>
      <c r="Z304" s="42">
        <f>VLOOKUP($B304&amp;"__wt",'SegEnds_Xtal_BW#'!$A:$Z,26,FALSE)</f>
        <v>72</v>
      </c>
      <c r="AA304" s="44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2">
        <f>VLOOKUP(A304,'SegEnds_NonXtal_Prot#'!A:AL,10,FALSE)-VLOOKUP(A304,'SegEnds_NonXtal_Prot#'!A:AL,7,FALSE)</f>
        <v>15</v>
      </c>
      <c r="AD304" s="42" t="e">
        <f>VLOOKUP(A304,'SegEnds_NonXtal_Prot#'!A:AL,13,FALSE)-VLOOKUP(A304,'SegEnds_NonXtal_Prot#'!A:AL,10,FALSE)</f>
        <v>#VALUE!</v>
      </c>
      <c r="AE304" s="42">
        <f>VLOOKUP(A304,'SegEnds_NonXtal_Prot#'!A:AL,16,FALSE)-VLOOKUP(A304,'SegEnds_NonXtal_Prot#'!A:AL,10,FALSE)</f>
        <v>50</v>
      </c>
      <c r="AF304" s="4" t="e">
        <f>VLOOKUP(A304,'SegEnds_NonXtal_Prot#'!A:AL,22,FALSE)-VLOOKUP(A304,'SegEnds_NonXtal_Prot#'!A:AL,19,FALSE)</f>
        <v>#VALUE!</v>
      </c>
      <c r="AG304" s="42">
        <f>VLOOKUP(A304,'SegEnds_NonXtal_Prot#'!A:AL,28,FALSE)-VLOOKUP(A304,'SegEnds_NonXtal_Prot#'!A:AL,25,FALSE)</f>
        <v>21</v>
      </c>
      <c r="AH304" s="4">
        <f>VLOOKUP(A304,'SegEnds_NonXtal_Prot#'!A:AL,28,FALSE)-VLOOKUP(A304,'SegEnds_NonXtal_Prot#'!A:AL,22,FALSE)</f>
        <v>43</v>
      </c>
      <c r="AI304" s="42">
        <f>VLOOKUP(A304,'SegEnds_NonXtal_Prot#'!A:AL,31,FALSE)-VLOOKUP(A304,'SegEnds_NonXtal_Prot#'!A:AL,28,FALSE)</f>
        <v>50</v>
      </c>
      <c r="AJ304" s="42">
        <f>VLOOKUP(A304,'SegEnds_NonXtal_Prot#'!A:AL,34,FALSE)-VLOOKUP(A304,'SegEnds_NonXtal_Prot#'!A:AL,31,FALSE)</f>
        <v>31</v>
      </c>
      <c r="AK304" s="1">
        <f>VLOOKUP(A304,'SegEnds_NonXtal_Prot#'!A:AL,37,FALSE)-VLOOKUP(A304,'SegEnds_NonXtal_Prot#'!A:AL,34,FALSE)</f>
        <v>10</v>
      </c>
      <c r="AL304" s="4" t="str">
        <f>IF(ISERROR(MATCH(A304,'SegEnds_Xtal_Prot#'!B:B, 0)), "NoXtal", "Xtal")</f>
        <v>Xtal</v>
      </c>
    </row>
    <row r="305" spans="1:38" x14ac:dyDescent="0.2">
      <c r="A305" s="4" t="s">
        <v>38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51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21</v>
      </c>
      <c r="AH305" s="4">
        <f>VLOOKUP(A305,'SegEnds_NonXtal_Prot#'!A:AL,28,FALSE)-VLOOKUP(A305,'SegEnds_NonXtal_Prot#'!A:AL,22,FALSE)</f>
        <v>43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31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400</v>
      </c>
      <c r="B306" s="4" t="str">
        <f>VLOOKUP(A306,Xtal_Templ!A:B,2,FALSE)</f>
        <v>calcr_human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41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40</v>
      </c>
      <c r="T306" s="1">
        <f>VLOOKUP($B306&amp;"__wt",'SegEnds_Xtal_BW#'!$A:$Z,20,FALSE)</f>
        <v>70</v>
      </c>
      <c r="U306" s="1">
        <f>VLOOKUP($B306&amp;"__wt",'SegEnds_Xtal_BW#'!$A:$Z,21,FALSE)</f>
        <v>30</v>
      </c>
      <c r="V306" s="4">
        <f>VLOOKUP($B306&amp;"__wt",'SegEnds_Xtal_BW#'!$A:$Z,22,FALSE)</f>
        <v>53</v>
      </c>
      <c r="W306" s="115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53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30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1" t="s">
        <v>401</v>
      </c>
      <c r="B307" s="1" t="str">
        <f>VLOOKUP(A307,Xtal_Templ!A:B,2,FALSE)</f>
        <v>calrl_human</v>
      </c>
      <c r="C307" s="5">
        <f>VLOOKUP($B307&amp;"__wt",'SegEnds_Xtal_BW#'!$A:$Z,3,FALSE)</f>
        <v>24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15">
        <v>64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08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87">
        <f>VLOOKUP($B307&amp;"__wt",'SegEnds_Xtal_BW#'!$A:$Z,15,FALSE)</f>
        <v>41</v>
      </c>
      <c r="P307" s="1">
        <f>VLOOKUP($B307&amp;"__wt",'SegEnds_Xtal_BW#'!$A:$Z,16,FALSE)</f>
        <v>67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">
        <f>VLOOKUP($B307&amp;"__wt",'SegEnds_Xtal_BW#'!$A:$Z,19,FALSE)</f>
        <v>39</v>
      </c>
      <c r="T307" s="1">
        <f>VLOOKUP($B307&amp;"__wt",'SegEnds_Xtal_BW#'!$A:$Z,20,FALSE)</f>
        <v>70</v>
      </c>
      <c r="U307" s="1">
        <f>VLOOKUP($B307&amp;"__wt",'SegEnds_Xtal_BW#'!$A:$Z,21,FALSE)</f>
        <v>30</v>
      </c>
      <c r="V307" s="1">
        <f>VLOOKUP($B307&amp;"__wt",'SegEnds_Xtal_BW#'!$A:$Z,22,FALSE)</f>
        <v>53</v>
      </c>
      <c r="W307" s="108">
        <v>28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1">
        <f>VLOOKUP(A307,'SegEnds_NonXtal_Prot#'!A:AL,10,FALSE)-VLOOKUP(A307,'SegEnds_NonXtal_Prot#'!A:AL,7,FALSE)</f>
        <v>15</v>
      </c>
      <c r="AD307" s="1" t="e">
        <f>VLOOKUP(A307,'SegEnds_NonXtal_Prot#'!A:AL,13,FALSE)-VLOOKUP(A307,'SegEnds_NonXtal_Prot#'!A:AL,10,FALSE)</f>
        <v>#VALUE!</v>
      </c>
      <c r="AE307" s="1">
        <f>VLOOKUP(A307,'SegEnds_NonXtal_Prot#'!A:AL,16,FALSE)-VLOOKUP(A307,'SegEnds_NonXtal_Prot#'!A:AL,10,FALSE)</f>
        <v>53</v>
      </c>
      <c r="AF307" s="1" t="e">
        <f>VLOOKUP(A307,'SegEnds_NonXtal_Prot#'!A:AL,22,FALSE)-VLOOKUP(A307,'SegEnds_NonXtal_Prot#'!A:AL,19,FALSE)</f>
        <v>#VALUE!</v>
      </c>
      <c r="AG307" s="1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1">
        <f>VLOOKUP(A307,'SegEnds_NonXtal_Prot#'!A:AL,31,FALSE)-VLOOKUP(A307,'SegEnds_NonXtal_Prot#'!A:AL,28,FALSE)</f>
        <v>50</v>
      </c>
      <c r="AJ307" s="1">
        <f>VLOOKUP(A307,'SegEnds_NonXtal_Prot#'!A:AL,34,FALSE)-VLOOKUP(A307,'SegEnds_NonXtal_Prot#'!A:AL,31,FALSE)</f>
        <v>30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403</v>
      </c>
      <c r="B308" s="4" t="str">
        <f>VLOOKUP(A308,Xtal_Templ!A:B,2,FALSE)</f>
        <v>pacr_human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407</v>
      </c>
      <c r="B309" s="1" t="str">
        <f>VLOOKUP(A309,Xtal_Templ!A:B,2,FALSE)</f>
        <v>pacr_human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22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">
        <f>VLOOKUP($B309&amp;"__wt",'SegEnds_Xtal_BW#'!$A:$Z,19,FALSE)</f>
        <v>36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Xtal</v>
      </c>
    </row>
    <row r="310" spans="1:38" x14ac:dyDescent="0.2">
      <c r="A310" s="4" t="s">
        <v>410</v>
      </c>
      <c r="B310" s="4" t="str">
        <f>VLOOKUP(A310,Xtal_Templ!A:B,2,FALSE)</f>
        <v>pacr_human</v>
      </c>
      <c r="C310" s="5">
        <f>VLOOKUP($B310&amp;"__wt",'SegEnds_Xtal_BW#'!$A:$Z,3,FALSE)</f>
        <v>21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22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36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411</v>
      </c>
      <c r="B311" s="4" t="str">
        <f>VLOOKUP(A311,Xtal_Templ!A:B,2,FALSE)</f>
        <v>pacr_human</v>
      </c>
      <c r="C311" s="5">
        <f>VLOOKUP($B311&amp;"__wt",'SegEnds_Xtal_BW#'!$A:$Z,3,FALSE)</f>
        <v>21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36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412</v>
      </c>
      <c r="B312" s="4" t="str">
        <f>VLOOKUP(A312,Xtal_Templ!A:B,2,FALSE)</f>
        <v>pacr_human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36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x14ac:dyDescent="0.2">
      <c r="A313" s="4" t="s">
        <v>404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40</v>
      </c>
      <c r="T313" s="4">
        <f>VLOOKUP($B313&amp;"__wt",'SegEnds_Xtal_BW#'!$A:$Z,20,FALSE)</f>
        <v>71</v>
      </c>
      <c r="U313" s="115">
        <v>28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61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x14ac:dyDescent="0.2">
      <c r="A314" s="4" t="s">
        <v>1416</v>
      </c>
      <c r="B314" s="4" t="str">
        <f>VLOOKUP(A314,Xtal_Templ!A:B,2,FALSE)</f>
        <v>g1sgd4_rabit</v>
      </c>
      <c r="C314" s="5">
        <f>VLOOKUP($B314&amp;"__wt",'SegEnds_Xtal_BW#'!$A:$Z,3,FALSE)</f>
        <v>28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74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37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36</v>
      </c>
      <c r="T314" s="4">
        <f>VLOOKUP($B314&amp;"__wt",'SegEnds_Xtal_BW#'!$A:$Z,20,FALSE)</f>
        <v>71</v>
      </c>
      <c r="U314" s="4">
        <f>VLOOKUP($B314&amp;"__wt",'SegEnds_Xtal_BW#'!$A:$Z,21,FALSE)</f>
        <v>30</v>
      </c>
      <c r="V314" s="4">
        <f>VLOOKUP($B314&amp;"__wt",'SegEnds_Xtal_BW#'!$A:$Z,22,FALSE)</f>
        <v>53</v>
      </c>
      <c r="W314" s="115">
        <v>30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64</v>
      </c>
      <c r="AF314" s="4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20</v>
      </c>
      <c r="AH314" s="4">
        <f>VLOOKUP(A314,'SegEnds_NonXtal_Prot#'!A:AL,28,FALSE)-VLOOKUP(A314,'SegEnds_NonXtal_Prot#'!A:AL,22,FALSE)</f>
        <v>42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" t="str">
        <f>IF(ISERROR(MATCH(A314,'SegEnds_Xtal_Prot#'!B:B, 0)), "NoXtal", "Xtal")</f>
        <v>Xtal</v>
      </c>
    </row>
    <row r="315" spans="1:38" x14ac:dyDescent="0.2">
      <c r="A315" s="1" t="s">
        <v>405</v>
      </c>
      <c r="B315" s="1" t="str">
        <f>VLOOKUP(A315,Xtal_Templ!A:B,2,FALSE)</f>
        <v>glp1r_human</v>
      </c>
      <c r="C315" s="5">
        <f>VLOOKUP($B315&amp;"__wt",'SegEnds_Xtal_BW#'!$A:$Z,3,FALSE)</f>
        <v>29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08">
        <v>64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08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f>VLOOKUP($B315&amp;"__wt",'SegEnds_Xtal_BW#'!$A:$Z,19,FALSE)</f>
        <v>36</v>
      </c>
      <c r="T315" s="1">
        <f>VLOOKUP($B315&amp;"__wt",'SegEnds_Xtal_BW#'!$A:$Z,20,FALSE)</f>
        <v>71</v>
      </c>
      <c r="U315" s="1">
        <f>VLOOKUP($B315&amp;"__wt",'SegEnds_Xtal_BW#'!$A:$Z,21,FALSE)</f>
        <v>28</v>
      </c>
      <c r="V315" s="1">
        <f>VLOOKUP($B315&amp;"__wt",'SegEnds_Xtal_BW#'!$A:$Z,22,FALSE)</f>
        <v>53</v>
      </c>
      <c r="W315" s="1">
        <v>28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1">
        <f>VLOOKUP(A315,'SegEnds_NonXtal_Prot#'!A:AL,10,FALSE)-VLOOKUP(A315,'SegEnds_NonXtal_Prot#'!A:AL,7,FALSE)</f>
        <v>15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64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1">
        <f>VLOOKUP(A315,'SegEnds_NonXtal_Prot#'!A:AL,31,FALSE)-VLOOKUP(A315,'SegEnds_NonXtal_Prot#'!A:AL,28,FALSE)</f>
        <v>50</v>
      </c>
      <c r="AJ315" s="1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Xtal</v>
      </c>
    </row>
    <row r="316" spans="1:38" x14ac:dyDescent="0.2">
      <c r="A316" s="4" t="s">
        <v>406</v>
      </c>
      <c r="B316" s="4" t="str">
        <f>VLOOKUP(A316,Xtal_Templ!A:B,2,FALSE)</f>
        <v>glr_human</v>
      </c>
      <c r="C316" s="5">
        <f>VLOOKUP($B316&amp;"__wt",'SegEnds_Xtal_BW#'!$A:$Z,3,FALSE)</f>
        <v>25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40</v>
      </c>
      <c r="T316" s="4">
        <f>VLOOKUP($B316&amp;"__wt",'SegEnds_Xtal_BW#'!$A:$Z,20,FALSE)</f>
        <v>71</v>
      </c>
      <c r="U316" s="115">
        <v>28</v>
      </c>
      <c r="V316" s="4">
        <f>VLOOKUP($B316&amp;"__wt",'SegEnds_Xtal_BW#'!$A:$Z,22,FALSE)</f>
        <v>53</v>
      </c>
      <c r="W316" s="4">
        <v>28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50</v>
      </c>
      <c r="AJ316" s="4">
        <f>VLOOKUP(A316,'SegEnds_NonXtal_Prot#'!A:AL,34,FALSE)-VLOOKUP(A316,'SegEnds_NonXtal_Prot#'!A:AL,31,FALSE)</f>
        <v>33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4" t="s">
        <v>32</v>
      </c>
      <c r="B317" s="4" t="str">
        <f>VLOOKUP(A317,Xtal_Templ!A:B,2,FALSE)</f>
        <v>glr_human</v>
      </c>
      <c r="C317" s="5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69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21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40</v>
      </c>
      <c r="T317" s="4">
        <f>VLOOKUP($B317&amp;"__wt",'SegEnds_Xtal_BW#'!$A:$Z,20,FALSE)</f>
        <v>71</v>
      </c>
      <c r="U317" s="4">
        <f>VLOOKUP($B317&amp;"__wt",'SegEnds_Xtal_BW#'!$A:$Z,21,FALSE)</f>
        <v>28</v>
      </c>
      <c r="V317" s="4">
        <f>VLOOKUP($B317&amp;"__wt",'SegEnds_Xtal_BW#'!$A:$Z,22,FALSE)</f>
        <v>53</v>
      </c>
      <c r="W317" s="115">
        <v>27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27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65</v>
      </c>
      <c r="AF317" s="1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20</v>
      </c>
      <c r="AH317" s="1">
        <f>VLOOKUP(A317,'SegEnds_NonXtal_Prot#'!A:AL,28,FALSE)-VLOOKUP(A317,'SegEnds_NonXtal_Prot#'!A:AL,22,FALSE)</f>
        <v>42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33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Xtal</v>
      </c>
    </row>
    <row r="318" spans="1:38" s="4" customFormat="1" x14ac:dyDescent="0.2">
      <c r="A318" s="4" t="s">
        <v>409</v>
      </c>
      <c r="B318" s="4" t="str">
        <f>VLOOKUP(A318,Xtal_Templ!A:B,2,FALSE)</f>
        <v>pth1r_human</v>
      </c>
      <c r="C318" s="4">
        <f>VLOOKUP($B318&amp;"__wt",'SegEnds_Xtal_BW#'!$A:$Z,3,FALSE)</f>
        <v>21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5">
        <v>69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5">
        <v>21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37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1">
        <f>VLOOKUP($B318&amp;"__wt",'SegEnds_Xtal_BW#'!$A:$Z,19,FALSE)</f>
        <v>37</v>
      </c>
      <c r="T318" s="4">
        <v>69</v>
      </c>
      <c r="U318" s="4">
        <v>25</v>
      </c>
      <c r="V318" s="4">
        <f>VLOOKUP($B318&amp;"__wt",'SegEnds_Xtal_BW#'!$A:$Z,22,FALSE)</f>
        <v>54</v>
      </c>
      <c r="W318" s="4">
        <v>28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f>VLOOKUP($B318&amp;"__wt",'SegEnds_Xtal_BW#'!$A:$Z,26,FALSE)</f>
        <v>72</v>
      </c>
      <c r="AA318" s="50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74</v>
      </c>
      <c r="AF318" s="4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4">
        <f>VLOOKUP(A318,'SegEnds_NonXtal_Prot#'!A:AL,28,FALSE)-VLOOKUP(A318,'SegEnds_NonXtal_Prot#'!A:AL,22,FALSE)</f>
        <v>41</v>
      </c>
      <c r="AI318" s="4">
        <f>VLOOKUP(A318,'SegEnds_NonXtal_Prot#'!A:AL,31,FALSE)-VLOOKUP(A318,'SegEnds_NonXtal_Prot#'!A:AL,28,FALSE)</f>
        <v>53</v>
      </c>
      <c r="AJ318" s="4">
        <f>VLOOKUP(A318,'SegEnds_NonXtal_Prot#'!A:AL,34,FALSE)-VLOOKUP(A318,'SegEnds_NonXtal_Prot#'!A:AL,31,FALSE)</f>
        <v>32</v>
      </c>
      <c r="AK318" s="1">
        <f>VLOOKUP(A318,'SegEnds_NonXtal_Prot#'!A:AL,37,FALSE)-VLOOKUP(A318,'SegEnds_NonXtal_Prot#'!A:AL,34,FALSE)</f>
        <v>10</v>
      </c>
      <c r="AL318" s="4" t="str">
        <f>IF(ISERROR(MATCH(A318,'SegEnds_Xtal_Prot#'!B:B, 0)), "NoXtal", "Xtal")</f>
        <v>NoXtal</v>
      </c>
    </row>
    <row r="319" spans="1:38" s="45" customFormat="1" x14ac:dyDescent="0.2">
      <c r="A319" s="45" t="s">
        <v>408</v>
      </c>
      <c r="B319" s="45" t="str">
        <f>VLOOKUP(A319,Xtal_Templ!A:B,2,FALSE)</f>
        <v>pth1r_human</v>
      </c>
      <c r="C319" s="46">
        <f>VLOOKUP($B319&amp;"__wt",'SegEnds_Xtal_BW#'!$A:$Z,3,FALSE)</f>
        <v>21</v>
      </c>
      <c r="D319" s="45">
        <f>VLOOKUP($B319&amp;"__wt",'SegEnds_Xtal_BW#'!$A:$Z,4,FALSE)</f>
        <v>60</v>
      </c>
      <c r="E319" s="45">
        <f>VLOOKUP($B319&amp;"__wt",'SegEnds_Xtal_BW#'!$A:$Z,5,FALSE)</f>
        <v>48</v>
      </c>
      <c r="F319" s="45">
        <f>VLOOKUP($B319&amp;"__wt",'SegEnds_Xtal_BW#'!$A:$Z,6,FALSE)</f>
        <v>51</v>
      </c>
      <c r="G319" s="45">
        <v>37</v>
      </c>
      <c r="H319" s="134">
        <v>69</v>
      </c>
      <c r="I319" s="45" t="str">
        <f>VLOOKUP($B319&amp;"__wt",'SegEnds_Xtal_BW#'!$A:$Z,9,FALSE)</f>
        <v>-</v>
      </c>
      <c r="J319" s="45" t="str">
        <f>VLOOKUP($B319&amp;"__wt",'SegEnds_Xtal_BW#'!$A:$Z,10,FALSE)</f>
        <v>-</v>
      </c>
      <c r="K319" s="115">
        <v>21</v>
      </c>
      <c r="L319" s="45">
        <f>VLOOKUP($B319&amp;"__wt",'SegEnds_Xtal_BW#'!$A:$Z,12,FALSE)</f>
        <v>56</v>
      </c>
      <c r="M319" s="45" t="str">
        <f>VLOOKUP($B319&amp;"__wt",'SegEnds_Xtal_BW#'!$A:$Z,13,FALSE)</f>
        <v>-</v>
      </c>
      <c r="N319" s="102" t="str">
        <f>VLOOKUP($B319&amp;"__wt",'SegEnds_Xtal_BW#'!$A:$Z,14,FALSE)</f>
        <v>-</v>
      </c>
      <c r="O319" s="90">
        <f>VLOOKUP($B319&amp;"__wt",'SegEnds_Xtal_BW#'!$A:$Z,15,FALSE)</f>
        <v>37</v>
      </c>
      <c r="P319" s="45">
        <f>VLOOKUP($B319&amp;"__wt",'SegEnds_Xtal_BW#'!$A:$Z,16,FALSE)</f>
        <v>68</v>
      </c>
      <c r="Q319" s="45">
        <f>VLOOKUP($B319&amp;"__wt",'SegEnds_Xtal_BW#'!$A:$Z,17,FALSE)</f>
        <v>50</v>
      </c>
      <c r="R319" s="45">
        <f>VLOOKUP($B319&amp;"__wt",'SegEnds_Xtal_BW#'!$A:$Z,18,FALSE)</f>
        <v>52</v>
      </c>
      <c r="S319" s="1">
        <f>VLOOKUP($B319&amp;"__wt",'SegEnds_Xtal_BW#'!$A:$Z,19,FALSE)</f>
        <v>37</v>
      </c>
      <c r="T319" s="45">
        <v>69</v>
      </c>
      <c r="U319" s="45">
        <v>25</v>
      </c>
      <c r="V319" s="45">
        <f>VLOOKUP($B319&amp;"__wt",'SegEnds_Xtal_BW#'!$A:$Z,22,FALSE)</f>
        <v>54</v>
      </c>
      <c r="W319" s="45">
        <v>28</v>
      </c>
      <c r="X319" s="45">
        <f>VLOOKUP($B319&amp;"__wt",'SegEnds_Xtal_BW#'!$A:$Z,24,FALSE)</f>
        <v>56</v>
      </c>
      <c r="Y319" s="45">
        <f>VLOOKUP($B319&amp;"__wt",'SegEnds_Xtal_BW#'!$A:$Z,25,FALSE)</f>
        <v>47</v>
      </c>
      <c r="Z319" s="45">
        <f>VLOOKUP($B319&amp;"__wt",'SegEnds_Xtal_BW#'!$A:$Z,26,FALSE)</f>
        <v>72</v>
      </c>
      <c r="AA319" s="47" t="str">
        <f>VLOOKUP(A319,Classification!A:B,2,FALSE)</f>
        <v>B1</v>
      </c>
      <c r="AB319" s="1">
        <f>VLOOKUP(A319,'SegEnds_NonXtal_Prot#'!A:AL,10,FALSE)-VLOOKUP(A319,'SegEnds_NonXtal_Prot#'!A:AL,4,FALSE)</f>
        <v>28</v>
      </c>
      <c r="AC319" s="45">
        <f>VLOOKUP(A319,'SegEnds_NonXtal_Prot#'!A:AL,10,FALSE)-VLOOKUP(A319,'SegEnds_NonXtal_Prot#'!A:AL,7,FALSE)</f>
        <v>15</v>
      </c>
      <c r="AD319" s="45" t="e">
        <f>VLOOKUP(A319,'SegEnds_NonXtal_Prot#'!A:AL,13,FALSE)-VLOOKUP(A319,'SegEnds_NonXtal_Prot#'!A:AL,10,FALSE)</f>
        <v>#VALUE!</v>
      </c>
      <c r="AE319" s="45">
        <f>VLOOKUP(A319,'SegEnds_NonXtal_Prot#'!A:AL,16,FALSE)-VLOOKUP(A319,'SegEnds_NonXtal_Prot#'!A:AL,10,FALSE)</f>
        <v>76</v>
      </c>
      <c r="AF319" s="45" t="e">
        <f>VLOOKUP(A319,'SegEnds_NonXtal_Prot#'!A:AL,22,FALSE)-VLOOKUP(A319,'SegEnds_NonXtal_Prot#'!A:AL,19,FALSE)</f>
        <v>#VALUE!</v>
      </c>
      <c r="AG319" s="45">
        <f>VLOOKUP(A319,'SegEnds_NonXtal_Prot#'!A:AL,28,FALSE)-VLOOKUP(A319,'SegEnds_NonXtal_Prot#'!A:AL,25,FALSE)</f>
        <v>19</v>
      </c>
      <c r="AH319" s="45">
        <f>VLOOKUP(A319,'SegEnds_NonXtal_Prot#'!A:AL,28,FALSE)-VLOOKUP(A319,'SegEnds_NonXtal_Prot#'!A:AL,22,FALSE)</f>
        <v>41</v>
      </c>
      <c r="AI319" s="45">
        <f>VLOOKUP(A319,'SegEnds_NonXtal_Prot#'!A:AL,31,FALSE)-VLOOKUP(A319,'SegEnds_NonXtal_Prot#'!A:AL,28,FALSE)</f>
        <v>53</v>
      </c>
      <c r="AJ319" s="45">
        <f>VLOOKUP(A319,'SegEnds_NonXtal_Prot#'!A:AL,34,FALSE)-VLOOKUP(A319,'SegEnds_NonXtal_Prot#'!A:AL,31,FALSE)</f>
        <v>33</v>
      </c>
      <c r="AK319" s="1">
        <f>VLOOKUP(A319,'SegEnds_NonXtal_Prot#'!A:AL,37,FALSE)-VLOOKUP(A319,'SegEnds_NonXtal_Prot#'!A:AL,34,FALSE)</f>
        <v>10</v>
      </c>
      <c r="AL319" s="45" t="str">
        <f>IF(ISERROR(MATCH(A319,'SegEnds_Xtal_Prot#'!B:B, 0)), "NoXtal", "Xtal")</f>
        <v>Xtal</v>
      </c>
    </row>
    <row r="320" spans="1:38" x14ac:dyDescent="0.2">
      <c r="A320" s="1" t="s">
        <v>1175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29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44</v>
      </c>
      <c r="AI320" s="1">
        <f>VLOOKUP(A320,'SegEnds_NonXtal_Prot#'!A:AL,31,FALSE)-VLOOKUP(A320,'SegEnds_NonXtal_Prot#'!A:AL,28,FALSE)</f>
        <v>83</v>
      </c>
      <c r="AJ320" s="1">
        <f>VLOOKUP(A320,'SegEnds_NonXtal_Prot#'!A:AL,34,FALSE)-VLOOKUP(A320,'SegEnds_NonXtal_Prot#'!A:AL,31,FALSE)</f>
        <v>29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1176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44</v>
      </c>
      <c r="AI321" s="1">
        <f>VLOOKUP(A321,'SegEnds_NonXtal_Prot#'!A:AL,31,FALSE)-VLOOKUP(A321,'SegEnds_NonXtal_Prot#'!A:AL,28,FALSE)</f>
        <v>83</v>
      </c>
      <c r="AJ321" s="1">
        <f>VLOOKUP(A321,'SegEnds_NonXtal_Prot#'!A:AL,34,FALSE)-VLOOKUP(A321,'SegEnds_NonXtal_Prot#'!A:AL,31,FALSE)</f>
        <v>29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1177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31</v>
      </c>
      <c r="AC322" s="1">
        <f>VLOOKUP(A322,'SegEnds_NonXtal_Prot#'!A:AL,10,FALSE)-VLOOKUP(A322,'SegEnds_NonXtal_Prot#'!A:AL,7,FALSE)</f>
        <v>18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1178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v>50</v>
      </c>
      <c r="W323" s="1">
        <v>33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 t="e">
        <f>VLOOKUP(A323,'SegEnds_NonXtal_Prot#'!A:AL,10,FALSE)-VLOOKUP(A323,'SegEnds_NonXtal_Prot#'!A:AL,7,FALSE)</f>
        <v>#VALUE!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66</v>
      </c>
      <c r="AJ323" s="1">
        <f>VLOOKUP(A323,'SegEnds_NonXtal_Prot#'!A:AL,34,FALSE)-VLOOKUP(A323,'SegEnds_NonXtal_Prot#'!A:AL,31,FALSE)</f>
        <v>20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1179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4">
        <f>VLOOKUP(A324,'SegEnds_NonXtal_Prot#'!A:AL,31,FALSE)-VLOOKUP(A324,'SegEnds_NonXtal_Prot#'!A:AL,28,FALSE)</f>
        <v>52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1180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1181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1182</v>
      </c>
      <c r="B327" s="1" t="str">
        <f>VLOOKUP(A327,Xtal_Templ!A:B,2,FALSE)</f>
        <v>glr_human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28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42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32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1194</v>
      </c>
      <c r="B328" s="1" t="str">
        <f>VLOOKUP(A328,Xtal_Templ!A:B,2,FALSE)</f>
        <v>crfr2_human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1195</v>
      </c>
      <c r="B329" s="1" t="str">
        <f>VLOOKUP(A329,Xtal_Templ!A:B,2,FALSE)</f>
        <v>crfr2_human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41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1196</v>
      </c>
      <c r="B330" s="1" t="str">
        <f>VLOOKUP(A330,Xtal_Templ!A:B,2,FALSE)</f>
        <v>crfr2_human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41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1197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 t="e">
        <f>VLOOKUP(A331,'SegEnds_NonXtal_Prot#'!A:AL,10,FALSE)-VLOOKUP(A331,'SegEnds_NonXtal_Prot#'!A:AL,7,FALSE)</f>
        <v>#VALUE!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1693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29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44</v>
      </c>
      <c r="AI332" s="1">
        <f>VLOOKUP(A332,'SegEnds_NonXtal_Prot#'!A:AL,31,FALSE)-VLOOKUP(A332,'SegEnds_NonXtal_Prot#'!A:AL,28,FALSE)</f>
        <v>50</v>
      </c>
      <c r="AJ332" s="1">
        <f>VLOOKUP(A332,'SegEnds_NonXtal_Prot#'!A:AL,34,FALSE)-VLOOKUP(A332,'SegEnds_NonXtal_Prot#'!A:AL,31,FALSE)</f>
        <v>29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415</v>
      </c>
      <c r="B333" s="1" t="str">
        <f>VLOOKUP(A333,Xtal_Templ!A:B,2,FALSE)</f>
        <v>calcr_human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48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416</v>
      </c>
      <c r="B334" s="4" t="str">
        <f>VLOOKUP(A334,Xtal_Templ!A:B,2,FALSE)</f>
        <v>calrl_human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41</v>
      </c>
      <c r="P334" s="4">
        <f>VLOOKUP($B334&amp;"__wt",'SegEnds_Xtal_BW#'!$A:$Z,16,FALSE)</f>
        <v>67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4">
        <f>VLOOKUP(A334,'SegEnds_NonXtal_Prot#'!A:AL,10,FALSE)-VLOOKUP(A334,'SegEnds_NonXtal_Prot#'!A:AL,7,FALSE)</f>
        <v>15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4">
        <f>VLOOKUP(A334,'SegEnds_NonXtal_Prot#'!A:AL,31,FALSE)-VLOOKUP(A334,'SegEnds_NonXtal_Prot#'!A:AL,28,FALSE)</f>
        <v>48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417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47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1172</v>
      </c>
      <c r="B336" s="1" t="str">
        <f>VLOOKUP(A336,Xtal_Templ!A:B,2,FALSE)</f>
        <v>pacr_human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54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46</v>
      </c>
      <c r="AI336" s="1">
        <f>VLOOKUP(A336,'SegEnds_NonXtal_Prot#'!A:AL,31,FALSE)-VLOOKUP(A336,'SegEnds_NonXtal_Prot#'!A:AL,28,FALSE)</f>
        <v>86</v>
      </c>
      <c r="AJ336" s="1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4" t="s">
        <v>1173</v>
      </c>
      <c r="B337" s="4" t="str">
        <f>VLOOKUP(A337,Xtal_Templ!A:B,2,FALSE)</f>
        <v>crfr1_human</v>
      </c>
      <c r="C337" s="5">
        <v>23</v>
      </c>
      <c r="D337" s="4">
        <f>VLOOKUP($B337&amp;"__wt",'SegEnds_Xtal_BW#'!$A:$Z,4,FALSE)</f>
        <v>60</v>
      </c>
      <c r="E337" s="4">
        <f>VLOOKUP($B337&amp;"__wt",'SegEnds_Xtal_BW#'!$A:$Z,5,FALSE)</f>
        <v>48</v>
      </c>
      <c r="F337" s="4">
        <f>VLOOKUP($B337&amp;"__wt",'SegEnds_Xtal_BW#'!$A:$Z,6,FALSE)</f>
        <v>51</v>
      </c>
      <c r="G337" s="4">
        <v>37</v>
      </c>
      <c r="H337" s="11">
        <v>63</v>
      </c>
      <c r="I337" s="4" t="str">
        <f>VLOOKUP($B337&amp;"__wt",'SegEnds_Xtal_BW#'!$A:$Z,9,FALSE)</f>
        <v>-</v>
      </c>
      <c r="J337" s="4" t="str">
        <f>VLOOKUP($B337&amp;"__wt",'SegEnds_Xtal_BW#'!$A:$Z,10,FALSE)</f>
        <v>-</v>
      </c>
      <c r="K337" s="11">
        <v>23</v>
      </c>
      <c r="L337" s="4">
        <f>VLOOKUP($B337&amp;"__wt",'SegEnds_Xtal_BW#'!$A:$Z,12,FALSE)</f>
        <v>56</v>
      </c>
      <c r="M337" s="4" t="str">
        <f>VLOOKUP($B337&amp;"__wt",'SegEnds_Xtal_BW#'!$A:$Z,13,FALSE)</f>
        <v>-</v>
      </c>
      <c r="N337" s="11" t="str">
        <f>VLOOKUP($B337&amp;"__wt",'SegEnds_Xtal_BW#'!$A:$Z,14,FALSE)</f>
        <v>-</v>
      </c>
      <c r="O337" s="88">
        <f>VLOOKUP($B337&amp;"__wt",'SegEnds_Xtal_BW#'!$A:$Z,15,FALSE)</f>
        <v>40</v>
      </c>
      <c r="P337" s="4">
        <f>VLOOKUP($B337&amp;"__wt",'SegEnds_Xtal_BW#'!$A:$Z,16,FALSE)</f>
        <v>68</v>
      </c>
      <c r="Q337" s="4">
        <f>VLOOKUP($B337&amp;"__wt",'SegEnds_Xtal_BW#'!$A:$Z,17,FALSE)</f>
        <v>50</v>
      </c>
      <c r="R337" s="4">
        <f>VLOOKUP($B337&amp;"__wt",'SegEnds_Xtal_BW#'!$A:$Z,18,FALSE)</f>
        <v>52</v>
      </c>
      <c r="S337" s="4">
        <v>36</v>
      </c>
      <c r="T337" s="4">
        <v>69</v>
      </c>
      <c r="U337" s="4">
        <v>29</v>
      </c>
      <c r="V337" s="4">
        <f>VLOOKUP($B337&amp;"__wt",'SegEnds_Xtal_BW#'!$A:$Z,22,FALSE)</f>
        <v>53</v>
      </c>
      <c r="W337" s="4">
        <v>29</v>
      </c>
      <c r="X337" s="4">
        <f>VLOOKUP($B337&amp;"__wt",'SegEnds_Xtal_BW#'!$A:$Z,24,FALSE)</f>
        <v>56</v>
      </c>
      <c r="Y337" s="4">
        <f>VLOOKUP($B337&amp;"__wt",'SegEnds_Xtal_BW#'!$A:$Z,25,FALSE)</f>
        <v>47</v>
      </c>
      <c r="Z337" s="4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4" t="e">
        <f>VLOOKUP(A337,'SegEnds_NonXtal_Prot#'!A:AL,10,FALSE)-VLOOKUP(A337,'SegEnds_NonXtal_Prot#'!A:AL,7,FALSE)</f>
        <v>#VALUE!</v>
      </c>
      <c r="AD337" s="4" t="e">
        <f>VLOOKUP(A337,'SegEnds_NonXtal_Prot#'!A:AL,13,FALSE)-VLOOKUP(A337,'SegEnds_NonXtal_Prot#'!A:AL,10,FALSE)</f>
        <v>#VALUE!</v>
      </c>
      <c r="AE337" s="4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4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43</v>
      </c>
      <c r="AI337" s="4">
        <f>VLOOKUP(A337,'SegEnds_NonXtal_Prot#'!A:AL,31,FALSE)-VLOOKUP(A337,'SegEnds_NonXtal_Prot#'!A:AL,28,FALSE)</f>
        <v>100</v>
      </c>
      <c r="AJ337" s="4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1174</v>
      </c>
      <c r="B338" s="1" t="str">
        <f>VLOOKUP(A338,Xtal_Templ!A:B,2,FALSE)</f>
        <v>crfr2_human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29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26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18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85</v>
      </c>
      <c r="AJ338" s="1">
        <f>VLOOKUP(A338,'SegEnds_NonXtal_Prot#'!A:AL,34,FALSE)-VLOOKUP(A338,'SegEnds_NonXtal_Prot#'!A:AL,31,FALSE)</f>
        <v>31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1188</v>
      </c>
      <c r="B339" s="4" t="str">
        <f>VLOOKUP(A339,Xtal_Templ!A:B,2,FALSE)</f>
        <v>glr_human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40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115">
        <v>28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35</v>
      </c>
      <c r="AC339" s="4">
        <f>VLOOKUP(A339,'SegEnds_NonXtal_Prot#'!A:AL,10,FALSE)-VLOOKUP(A339,'SegEnds_NonXtal_Prot#'!A:AL,7,FALSE)</f>
        <v>21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57</v>
      </c>
      <c r="AI339" s="4">
        <f>VLOOKUP(A339,'SegEnds_NonXtal_Prot#'!A:AL,31,FALSE)-VLOOKUP(A339,'SegEnds_NonXtal_Prot#'!A:AL,28,FALSE)</f>
        <v>44</v>
      </c>
      <c r="AJ339" s="4">
        <f>VLOOKUP(A339,'SegEnds_NonXtal_Prot#'!A:AL,34,FALSE)-VLOOKUP(A339,'SegEnds_NonXtal_Prot#'!A:AL,31,FALSE)</f>
        <v>30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4" t="s">
        <v>1189</v>
      </c>
      <c r="B340" s="4" t="str">
        <f>VLOOKUP(A340,Xtal_Templ!A:B,2,FALSE)</f>
        <v>pacr_human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88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54</v>
      </c>
      <c r="W340" s="4">
        <v>31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29</v>
      </c>
      <c r="AC340" s="4" t="e">
        <f>VLOOKUP(A340,'SegEnds_NonXtal_Prot#'!A:AL,10,FALSE)-VLOOKUP(A340,'SegEnds_NonXtal_Prot#'!A:AL,7,FALSE)</f>
        <v>#VALUE!</v>
      </c>
      <c r="AD340" s="4" t="e">
        <f>VLOOKUP(A340,'SegEnds_NonXtal_Prot#'!A:AL,13,FALSE)-VLOOKUP(A340,'SegEnds_NonXtal_Prot#'!A:AL,10,FALSE)</f>
        <v>#VALUE!</v>
      </c>
      <c r="AE340" s="4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4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54</v>
      </c>
      <c r="AI340" s="4">
        <f>VLOOKUP(A340,'SegEnds_NonXtal_Prot#'!A:AL,31,FALSE)-VLOOKUP(A340,'SegEnds_NonXtal_Prot#'!A:AL,28,FALSE)</f>
        <v>51</v>
      </c>
      <c r="AJ340" s="4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1190</v>
      </c>
      <c r="B341" s="1" t="str">
        <f>VLOOKUP(A341,Xtal_Templ!A:B,2,FALSE)</f>
        <v>pth1r_human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37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v>50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33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47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18</v>
      </c>
      <c r="AH341" s="1">
        <f>VLOOKUP(A341,'SegEnds_NonXtal_Prot#'!A:AL,28,FALSE)-VLOOKUP(A341,'SegEnds_NonXtal_Prot#'!A:AL,22,FALSE)</f>
        <v>51</v>
      </c>
      <c r="AI341" s="1">
        <f>VLOOKUP(A341,'SegEnds_NonXtal_Prot#'!A:AL,31,FALSE)-VLOOKUP(A341,'SegEnds_NonXtal_Prot#'!A:AL,28,FALSE)</f>
        <v>54</v>
      </c>
      <c r="AJ341" s="1">
        <f>VLOOKUP(A341,'SegEnds_NonXtal_Prot#'!A:AL,34,FALSE)-VLOOKUP(A341,'SegEnds_NonXtal_Prot#'!A:AL,31,FALSE)</f>
        <v>26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4" t="s">
        <v>1191</v>
      </c>
      <c r="B342" s="4" t="str">
        <f>VLOOKUP(A342,Xtal_Templ!A:B,2,FALSE)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88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4">
        <v>31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4" t="e">
        <f>VLOOKUP(A342,'SegEnds_NonXtal_Prot#'!A:AL,10,FALSE)-VLOOKUP(A342,'SegEnds_NonXtal_Prot#'!A:AL,7,FALSE)</f>
        <v>#VALUE!</v>
      </c>
      <c r="AD342" s="4" t="e">
        <f>VLOOKUP(A342,'SegEnds_NonXtal_Prot#'!A:AL,13,FALSE)-VLOOKUP(A342,'SegEnds_NonXtal_Prot#'!A:AL,10,FALSE)</f>
        <v>#VALUE!</v>
      </c>
      <c r="AE342" s="4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4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47</v>
      </c>
      <c r="AI342" s="4">
        <f>VLOOKUP(A342,'SegEnds_NonXtal_Prot#'!A:AL,31,FALSE)-VLOOKUP(A342,'SegEnds_NonXtal_Prot#'!A:AL,28,FALSE)</f>
        <v>50</v>
      </c>
      <c r="AJ342" s="4">
        <f>VLOOKUP(A342,'SegEnds_NonXtal_Prot#'!A:AL,34,FALSE)-VLOOKUP(A342,'SegEnds_NonXtal_Prot#'!A:AL,31,FALSE)</f>
        <v>28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1409</v>
      </c>
      <c r="B343" s="1" t="str">
        <f>VLOOKUP(A343,Xtal_Templ!A:B,2,FALSE)</f>
        <v>crfr2_human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41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1">
        <f>VLOOKUP(A343,'SegEnds_NonXtal_Prot#'!A:AL,10,FALSE)-VLOOKUP(A343,'SegEnds_NonXtal_Prot#'!A:AL,7,FALSE)</f>
        <v>16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53</v>
      </c>
      <c r="AI343" s="1">
        <f>VLOOKUP(A343,'SegEnds_NonXtal_Prot#'!A:AL,31,FALSE)-VLOOKUP(A343,'SegEnds_NonXtal_Prot#'!A:AL,28,FALSE)</f>
        <v>51</v>
      </c>
      <c r="AJ343" s="1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1694</v>
      </c>
      <c r="B344" s="4" t="str">
        <f>VLOOKUP(A344,Xtal_Templ!A:B,2,FALSE)</f>
        <v>glp1r_human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38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53</v>
      </c>
      <c r="W344" s="4">
        <v>31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28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43</v>
      </c>
      <c r="AI344" s="4">
        <f>VLOOKUP(A344,'SegEnds_NonXtal_Prot#'!A:AL,31,FALSE)-VLOOKUP(A344,'SegEnds_NonXtal_Prot#'!A:AL,28,FALSE)</f>
        <v>52</v>
      </c>
      <c r="AJ344" s="4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1695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54</v>
      </c>
      <c r="AI345" s="1">
        <f>VLOOKUP(A345,'SegEnds_NonXtal_Prot#'!A:AL,31,FALSE)-VLOOKUP(A345,'SegEnds_NonXtal_Prot#'!A:AL,28,FALSE)</f>
        <v>49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1192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28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48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49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1185</v>
      </c>
      <c r="B347" s="1" t="str">
        <f>VLOOKUP(A347,Xtal_Templ!A:B,2,FALSE)</f>
        <v>calrl_human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41</v>
      </c>
      <c r="P347" s="1">
        <f>VLOOKUP($B347&amp;"__wt",'SegEnds_Xtal_BW#'!$A:$Z,16,FALSE)</f>
        <v>67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31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50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45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29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1183</v>
      </c>
      <c r="B348" s="1" t="str">
        <f>VLOOKUP(A348,Xtal_Templ!A:B,2,FALSE)</f>
        <v>pth1r_human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37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54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31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51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21</v>
      </c>
      <c r="AH348" s="1">
        <f>VLOOKUP(A348,'SegEnds_NonXtal_Prot#'!A:AL,28,FALSE)-VLOOKUP(A348,'SegEnds_NonXtal_Prot#'!A:AL,22,FALSE)</f>
        <v>47</v>
      </c>
      <c r="AI348" s="1">
        <f>VLOOKUP(A348,'SegEnds_NonXtal_Prot#'!A:AL,31,FALSE)-VLOOKUP(A348,'SegEnds_NonXtal_Prot#'!A:AL,28,FALSE)</f>
        <v>52</v>
      </c>
      <c r="AJ348" s="1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1" t="s">
        <v>1184</v>
      </c>
      <c r="B349" s="1" t="str">
        <f>VLOOKUP(A349,Xtal_Templ!A:B,2,FALSE)</f>
        <v>calrl_human</v>
      </c>
      <c r="C349" s="5">
        <v>23</v>
      </c>
      <c r="D349" s="1">
        <f>VLOOKUP($B349&amp;"__wt",'SegEnds_Xtal_BW#'!$A:$Z,4,FALSE)</f>
        <v>60</v>
      </c>
      <c r="E349" s="1">
        <f>VLOOKUP($B349&amp;"__wt",'SegEnds_Xtal_BW#'!$A:$Z,5,FALSE)</f>
        <v>48</v>
      </c>
      <c r="F349" s="1">
        <f>VLOOKUP($B349&amp;"__wt",'SegEnds_Xtal_BW#'!$A:$Z,6,FALSE)</f>
        <v>51</v>
      </c>
      <c r="G349" s="1">
        <v>37</v>
      </c>
      <c r="H349" s="12">
        <v>63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v>23</v>
      </c>
      <c r="L349" s="1">
        <f>VLOOKUP($B349&amp;"__wt",'SegEnds_Xtal_BW#'!$A:$Z,12,FALSE)</f>
        <v>56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41</v>
      </c>
      <c r="P349" s="1">
        <f>VLOOKUP($B349&amp;"__wt",'SegEnds_Xtal_BW#'!$A:$Z,16,FALSE)</f>
        <v>67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v>36</v>
      </c>
      <c r="T349" s="1">
        <v>69</v>
      </c>
      <c r="U349" s="1">
        <v>29</v>
      </c>
      <c r="V349" s="108">
        <v>50</v>
      </c>
      <c r="W349" s="1">
        <v>31</v>
      </c>
      <c r="X349" s="1">
        <f>VLOOKUP($B349&amp;"__wt",'SegEnds_Xtal_BW#'!$A:$Z,24,FALSE)</f>
        <v>56</v>
      </c>
      <c r="Y349" s="1">
        <f>VLOOKUP($B349&amp;"__wt",'SegEnds_Xtal_BW#'!$A:$Z,25,FALSE)</f>
        <v>47</v>
      </c>
      <c r="Z349" s="1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31</v>
      </c>
      <c r="AC349" s="1" t="e">
        <f>VLOOKUP(A349,'SegEnds_NonXtal_Prot#'!A:AL,10,FALSE)-VLOOKUP(A349,'SegEnds_NonXtal_Prot#'!A:AL,7,FALSE)</f>
        <v>#VALUE!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20</v>
      </c>
      <c r="AH349" s="1">
        <f>VLOOKUP(A349,'SegEnds_NonXtal_Prot#'!A:AL,28,FALSE)-VLOOKUP(A349,'SegEnds_NonXtal_Prot#'!A:AL,22,FALSE)</f>
        <v>46</v>
      </c>
      <c r="AI349" s="1">
        <f>VLOOKUP(A349,'SegEnds_NonXtal_Prot#'!A:AL,31,FALSE)-VLOOKUP(A349,'SegEnds_NonXtal_Prot#'!A:AL,28,FALSE)</f>
        <v>57</v>
      </c>
      <c r="AJ349" s="1">
        <f>VLOOKUP(A349,'SegEnds_NonXtal_Prot#'!A:AL,34,FALSE)-VLOOKUP(A349,'SegEnds_NonXtal_Prot#'!A:AL,31,FALSE)</f>
        <v>23</v>
      </c>
      <c r="AK349" s="1" t="e">
        <f>VLOOKUP(A349,'SegEnds_NonXtal_Prot#'!A:AL,37,FALSE)-VLOOKUP(A349,'SegEnds_NonXtal_Prot#'!A:AL,34,FALSE)</f>
        <v>#VALUE!</v>
      </c>
      <c r="AL349" s="1" t="str">
        <f>IF(ISERROR(MATCH(A349,'SegEnds_Xtal_Prot#'!B:B, 0)), "NoXtal", "Xtal")</f>
        <v>NoXtal</v>
      </c>
    </row>
    <row r="350" spans="1:38" x14ac:dyDescent="0.2">
      <c r="A350" s="1" t="s">
        <v>1186</v>
      </c>
      <c r="B350" s="1" t="str">
        <f>VLOOKUP(A350,Xtal_Templ!A:B,2,FALSE)</f>
        <v>crfr1_human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53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31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20</v>
      </c>
      <c r="AH350" s="1">
        <f>VLOOKUP(A350,'SegEnds_NonXtal_Prot#'!A:AL,28,FALSE)-VLOOKUP(A350,'SegEnds_NonXtal_Prot#'!A:AL,22,FALSE)</f>
        <v>46</v>
      </c>
      <c r="AI350" s="1">
        <f>VLOOKUP(A350,'SegEnds_NonXtal_Prot#'!A:AL,31,FALSE)-VLOOKUP(A350,'SegEnds_NonXtal_Prot#'!A:AL,28,FALSE)</f>
        <v>51</v>
      </c>
      <c r="AJ350" s="1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1187</v>
      </c>
      <c r="B351" s="1" t="str">
        <f>VLOOKUP(A351,Xtal_Templ!A:B,2,FALSE)</f>
        <v>crfr1_human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63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23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40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53</v>
      </c>
      <c r="W351" s="1">
        <v>31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17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20</v>
      </c>
      <c r="AH351" s="1">
        <f>VLOOKUP(A351,'SegEnds_NonXtal_Prot#'!A:AL,28,FALSE)-VLOOKUP(A351,'SegEnds_NonXtal_Prot#'!A:AL,22,FALSE)</f>
        <v>46</v>
      </c>
      <c r="AI351" s="1">
        <f>VLOOKUP(A351,'SegEnds_NonXtal_Prot#'!A:AL,31,FALSE)-VLOOKUP(A351,'SegEnds_NonXtal_Prot#'!A:AL,28,FALSE)</f>
        <v>52</v>
      </c>
      <c r="AJ351" s="1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x14ac:dyDescent="0.2">
      <c r="A352" s="1" t="s">
        <v>1193</v>
      </c>
      <c r="B352" s="1" t="str">
        <f>VLOOKUP(A352,Xtal_Templ!A:B,2,FALSE)</f>
        <v>pth1r_human</v>
      </c>
      <c r="C352" s="5">
        <v>23</v>
      </c>
      <c r="D352" s="1">
        <f>VLOOKUP($B352&amp;"__wt",'SegEnds_Xtal_BW#'!$A:$Z,4,FALSE)</f>
        <v>60</v>
      </c>
      <c r="E352" s="1">
        <f>VLOOKUP($B352&amp;"__wt",'SegEnds_Xtal_BW#'!$A:$Z,5,FALSE)</f>
        <v>48</v>
      </c>
      <c r="F352" s="1">
        <f>VLOOKUP($B352&amp;"__wt",'SegEnds_Xtal_BW#'!$A:$Z,6,FALSE)</f>
        <v>51</v>
      </c>
      <c r="G352" s="1">
        <v>37</v>
      </c>
      <c r="H352" s="12">
        <v>65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v>18</v>
      </c>
      <c r="L352" s="1">
        <f>VLOOKUP($B352&amp;"__wt",'SegEnds_Xtal_BW#'!$A:$Z,12,FALSE)</f>
        <v>56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37</v>
      </c>
      <c r="P352" s="1">
        <f>VLOOKUP($B352&amp;"__wt",'SegEnds_Xtal_BW#'!$A:$Z,16,FALSE)</f>
        <v>68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v>36</v>
      </c>
      <c r="T352" s="1">
        <v>69</v>
      </c>
      <c r="U352" s="1">
        <v>29</v>
      </c>
      <c r="V352" s="1">
        <f>VLOOKUP($B352&amp;"__wt",'SegEnds_Xtal_BW#'!$A:$Z,22,FALSE)</f>
        <v>54</v>
      </c>
      <c r="W352" s="1">
        <v>29</v>
      </c>
      <c r="X352" s="1">
        <f>VLOOKUP($B352&amp;"__wt",'SegEnds_Xtal_BW#'!$A:$Z,24,FALSE)</f>
        <v>56</v>
      </c>
      <c r="Y352" s="1">
        <f>VLOOKUP($B352&amp;"__wt",'SegEnds_Xtal_BW#'!$A:$Z,25,FALSE)</f>
        <v>47</v>
      </c>
      <c r="Z352" s="1">
        <v>63</v>
      </c>
      <c r="AA352" s="27" t="str">
        <f>VLOOKUP(A352,Classification!A:B,2,FALSE)</f>
        <v>B2</v>
      </c>
      <c r="AB352" s="1">
        <f>VLOOKUP(A352,'SegEnds_NonXtal_Prot#'!A:AL,10,FALSE)-VLOOKUP(A352,'SegEnds_NonXtal_Prot#'!A:AL,4,FALSE)</f>
        <v>29</v>
      </c>
      <c r="AC352" s="1" t="e">
        <f>VLOOKUP(A352,'SegEnds_NonXtal_Prot#'!A:AL,10,FALSE)-VLOOKUP(A352,'SegEnds_NonXtal_Prot#'!A:AL,7,FALSE)</f>
        <v>#VALUE!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73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26</v>
      </c>
      <c r="AH352" s="1">
        <f>VLOOKUP(A352,'SegEnds_NonXtal_Prot#'!A:AL,28,FALSE)-VLOOKUP(A352,'SegEnds_NonXtal_Prot#'!A:AL,22,FALSE)</f>
        <v>60</v>
      </c>
      <c r="AI352" s="1">
        <f>VLOOKUP(A352,'SegEnds_NonXtal_Prot#'!A:AL,31,FALSE)-VLOOKUP(A352,'SegEnds_NonXtal_Prot#'!A:AL,28,FALSE)</f>
        <v>51</v>
      </c>
      <c r="AJ352" s="1">
        <f>VLOOKUP(A352,'SegEnds_NonXtal_Prot#'!A:AL,34,FALSE)-VLOOKUP(A352,'SegEnds_NonXtal_Prot#'!A:AL,31,FALSE)</f>
        <v>31</v>
      </c>
      <c r="AK352" s="1">
        <f>VLOOKUP(A352,'SegEnds_NonXtal_Prot#'!A:AL,37,FALSE)-VLOOKUP(A352,'SegEnds_NonXtal_Prot#'!A:AL,34,FALSE)</f>
        <v>10</v>
      </c>
      <c r="AL352" s="1" t="str">
        <f>IF(ISERROR(MATCH(A352,'SegEnds_Xtal_Prot#'!B:B, 0)), "NoXtal", "Xtal")</f>
        <v>NoXtal</v>
      </c>
    </row>
    <row r="353" spans="1:38" s="42" customFormat="1" x14ac:dyDescent="0.2">
      <c r="A353" s="42" t="s">
        <v>105</v>
      </c>
      <c r="B353" s="42" t="str">
        <f>VLOOKUP(A353,Xtal_Templ!A:B,2,FALSE)</f>
        <v>grm5_human</v>
      </c>
      <c r="C353" s="43">
        <f>VLOOKUP($B353&amp;"__wt",'SegEnds_Xtal_BW#'!$A:$Z,3,FALSE)</f>
        <v>34</v>
      </c>
      <c r="D353" s="42">
        <f>VLOOKUP($B353&amp;"__wt",'SegEnds_Xtal_BW#'!$A:$Z,4,FALSE)</f>
        <v>60</v>
      </c>
      <c r="E353" s="42">
        <f>VLOOKUP($B353&amp;"__wt",'SegEnds_Xtal_BW#'!$A:$Z,5,FALSE)</f>
        <v>47</v>
      </c>
      <c r="F353" s="42">
        <f>VLOOKUP($B353&amp;"__wt",'SegEnds_Xtal_BW#'!$A:$Z,6,FALSE)</f>
        <v>53</v>
      </c>
      <c r="G353" s="42">
        <v>39</v>
      </c>
      <c r="H353" s="101">
        <f>VLOOKUP($B353&amp;"__wt",'SegEnds_Xtal_BW#'!$A:$Z,8,FALSE)</f>
        <v>61</v>
      </c>
      <c r="I353" s="42" t="str">
        <f>VLOOKUP($B353&amp;"__wt",'SegEnds_Xtal_BW#'!$A:$Z,9,FALSE)</f>
        <v>-</v>
      </c>
      <c r="J353" s="42" t="str">
        <f>VLOOKUP($B353&amp;"__wt",'SegEnds_Xtal_BW#'!$A:$Z,10,FALSE)</f>
        <v>-</v>
      </c>
      <c r="K353" s="101">
        <f>VLOOKUP($B353&amp;"__wt",'SegEnds_Xtal_BW#'!$A:$Z,11,FALSE)</f>
        <v>21</v>
      </c>
      <c r="L353" s="42">
        <f>VLOOKUP($B353&amp;"__wt",'SegEnds_Xtal_BW#'!$A:$Z,12,FALSE)</f>
        <v>54</v>
      </c>
      <c r="M353" s="42" t="str">
        <f>VLOOKUP($B353&amp;"__wt",'SegEnds_Xtal_BW#'!$A:$Z,13,FALSE)</f>
        <v>-</v>
      </c>
      <c r="N353" s="101" t="str">
        <f>VLOOKUP($B353&amp;"__wt",'SegEnds_Xtal_BW#'!$A:$Z,14,FALSE)</f>
        <v>-</v>
      </c>
      <c r="O353" s="89">
        <f>VLOOKUP($B353&amp;"__wt",'SegEnds_Xtal_BW#'!$A:$Z,15,FALSE)</f>
        <v>38</v>
      </c>
      <c r="P353" s="42">
        <f>VLOOKUP($B353&amp;"__wt",'SegEnds_Xtal_BW#'!$A:$Z,16,FALSE)</f>
        <v>64</v>
      </c>
      <c r="Q353" s="42">
        <f>VLOOKUP($B353&amp;"__wt",'SegEnds_Xtal_BW#'!$A:$Z,17,FALSE)</f>
        <v>50</v>
      </c>
      <c r="R353" s="42">
        <f>VLOOKUP($B353&amp;"__wt",'SegEnds_Xtal_BW#'!$A:$Z,18,FALSE)</f>
        <v>52</v>
      </c>
      <c r="S353" s="42">
        <f>VLOOKUP($B353&amp;"__wt",'SegEnds_Xtal_BW#'!$A:$Z,19,FALSE)</f>
        <v>36</v>
      </c>
      <c r="T353" s="42">
        <f>VLOOKUP($B353&amp;"__wt",'SegEnds_Xtal_BW#'!$A:$Z,20,FALSE)</f>
        <v>61</v>
      </c>
      <c r="U353" s="42">
        <f>VLOOKUP($B353&amp;"__wt",'SegEnds_Xtal_BW#'!$A:$Z,21,FALSE)</f>
        <v>33</v>
      </c>
      <c r="V353" s="42">
        <f>VLOOKUP($B353&amp;"__wt",'SegEnds_Xtal_BW#'!$A:$Z,22,FALSE)</f>
        <v>57</v>
      </c>
      <c r="W353" s="42">
        <f>VLOOKUP($B353&amp;"__wt",'SegEnds_Xtal_BW#'!$A:$Z,23,FALSE)</f>
        <v>33</v>
      </c>
      <c r="X353" s="42">
        <f>VLOOKUP($B353&amp;"__wt",'SegEnds_Xtal_BW#'!$A:$Z,24,FALSE)</f>
        <v>64</v>
      </c>
      <c r="Y353" s="42">
        <f>VLOOKUP($B353&amp;"__wt",'SegEnds_Xtal_BW#'!$A:$Z,25,FALSE)</f>
        <v>46</v>
      </c>
      <c r="Z353" s="42">
        <f>VLOOKUP($B353&amp;"__wt",'SegEnds_Xtal_BW#'!$A:$Z,26,FALSE)</f>
        <v>57</v>
      </c>
      <c r="AA353" s="44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2">
        <f>VLOOKUP(A353,'SegEnds_NonXtal_Prot#'!A:AL,10,FALSE)-VLOOKUP(A353,'SegEnds_NonXtal_Prot#'!A:AL,7,FALSE)</f>
        <v>15</v>
      </c>
      <c r="AD353" s="42" t="e">
        <f>VLOOKUP(A353,'SegEnds_NonXtal_Prot#'!A:AL,13,FALSE)-VLOOKUP(A353,'SegEnds_NonXtal_Prot#'!A:AL,10,FALSE)</f>
        <v>#VALUE!</v>
      </c>
      <c r="AE353" s="42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2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51</v>
      </c>
      <c r="AI353" s="42">
        <f>VLOOKUP(A353,'SegEnds_NonXtal_Prot#'!A:AL,31,FALSE)-VLOOKUP(A353,'SegEnds_NonXtal_Prot#'!A:AL,28,FALSE)</f>
        <v>37</v>
      </c>
      <c r="AJ353" s="42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109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16</v>
      </c>
      <c r="AH354" s="1">
        <f>VLOOKUP(A354,'SegEnds_NonXtal_Prot#'!A:AL,28,FALSE)-VLOOKUP(A354,'SegEnds_NonXtal_Prot#'!A:AL,22,FALSE)</f>
        <v>65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33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110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16</v>
      </c>
      <c r="AH355" s="1">
        <f>VLOOKUP(A355,'SegEnds_NonXtal_Prot#'!A:AL,28,FALSE)-VLOOKUP(A355,'SegEnds_NonXtal_Prot#'!A:AL,22,FALSE)</f>
        <v>65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33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111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4">
        <f>VLOOKUP(A356,'SegEnds_NonXtal_Prot#'!A:AL,10,FALSE)-VLOOKUP(A356,'SegEnds_NonXtal_Prot#'!A:AL,7,FALSE)</f>
        <v>19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40</v>
      </c>
      <c r="AI356" s="4">
        <f>VLOOKUP(A356,'SegEnds_NonXtal_Prot#'!A:AL,31,FALSE)-VLOOKUP(A356,'SegEnds_NonXtal_Prot#'!A:AL,28,FALSE)</f>
        <v>39</v>
      </c>
      <c r="AJ356" s="4">
        <f>VLOOKUP(A356,'SegEnds_NonXtal_Prot#'!A:AL,34,FALSE)-VLOOKUP(A356,'SegEnds_NonXtal_Prot#'!A:AL,31,FALSE)</f>
        <v>35</v>
      </c>
      <c r="AK356" s="1">
        <f>VLOOKUP(A356,'SegEnds_NonXtal_Prot#'!A:AL,37,FALSE)-VLOOKUP(A356,'SegEnds_NonXtal_Prot#'!A:AL,34,FALSE)</f>
        <v>20</v>
      </c>
      <c r="AL356" s="1" t="str">
        <f>IF(ISERROR(MATCH(A356,'SegEnds_Xtal_Prot#'!B:B, 0)), "NoXtal", "Xtal")</f>
        <v>NoXtal</v>
      </c>
    </row>
    <row r="357" spans="1:38" x14ac:dyDescent="0.2">
      <c r="A357" s="1" t="s">
        <v>112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33</v>
      </c>
      <c r="AC357" s="1">
        <f>VLOOKUP(A357,'SegEnds_NonXtal_Prot#'!A:AL,10,FALSE)-VLOOKUP(A357,'SegEnds_NonXtal_Prot#'!A:AL,7,FALSE)</f>
        <v>19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55</v>
      </c>
      <c r="AI357" s="1">
        <f>VLOOKUP(A357,'SegEnds_NonXtal_Prot#'!A:AL,31,FALSE)-VLOOKUP(A357,'SegEnds_NonXtal_Prot#'!A:AL,28,FALSE)</f>
        <v>39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20</v>
      </c>
      <c r="AL357" s="1" t="str">
        <f>IF(ISERROR(MATCH(A357,'SegEnds_Xtal_Prot#'!B:B, 0)), "NoXtal", "Xtal")</f>
        <v>NoXtal</v>
      </c>
    </row>
    <row r="358" spans="1:38" x14ac:dyDescent="0.2">
      <c r="A358" s="4" t="s">
        <v>113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33</v>
      </c>
      <c r="AC358" s="4">
        <f>VLOOKUP(A358,'SegEnds_NonXtal_Prot#'!A:AL,10,FALSE)-VLOOKUP(A358,'SegEnds_NonXtal_Prot#'!A:AL,7,FALSE)</f>
        <v>19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16</v>
      </c>
      <c r="AH358" s="1">
        <f>VLOOKUP(A358,'SegEnds_NonXtal_Prot#'!A:AL,28,FALSE)-VLOOKUP(A358,'SegEnds_NonXtal_Prot#'!A:AL,22,FALSE)</f>
        <v>43</v>
      </c>
      <c r="AI358" s="4">
        <f>VLOOKUP(A358,'SegEnds_NonXtal_Prot#'!A:AL,31,FALSE)-VLOOKUP(A358,'SegEnds_NonXtal_Prot#'!A:AL,28,FALSE)</f>
        <v>39</v>
      </c>
      <c r="AJ358" s="4">
        <f>VLOOKUP(A358,'SegEnds_NonXtal_Prot#'!A:AL,34,FALSE)-VLOOKUP(A358,'SegEnds_NonXtal_Prot#'!A:AL,31,FALSE)</f>
        <v>35</v>
      </c>
      <c r="AK358" s="1">
        <f>VLOOKUP(A358,'SegEnds_NonXtal_Prot#'!A:AL,37,FALSE)-VLOOKUP(A358,'SegEnds_NonXtal_Prot#'!A:AL,34,FALSE)</f>
        <v>21</v>
      </c>
      <c r="AL358" s="1" t="str">
        <f>IF(ISERROR(MATCH(A358,'SegEnds_Xtal_Prot#'!B:B, 0)), "NoXtal", "Xtal")</f>
        <v>NoXtal</v>
      </c>
    </row>
    <row r="359" spans="1:38" x14ac:dyDescent="0.2">
      <c r="A359" s="4" t="s">
        <v>114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88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36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33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32</v>
      </c>
      <c r="AC359" s="4">
        <f>VLOOKUP(A359,'SegEnds_NonXtal_Prot#'!A:AL,10,FALSE)-VLOOKUP(A359,'SegEnds_NonXtal_Prot#'!A:AL,7,FALSE)</f>
        <v>16</v>
      </c>
      <c r="AD359" s="4" t="e">
        <f>VLOOKUP(A359,'SegEnds_NonXtal_Prot#'!A:AL,13,FALSE)-VLOOKUP(A359,'SegEnds_NonXtal_Prot#'!A:AL,10,FALSE)</f>
        <v>#VALUE!</v>
      </c>
      <c r="AE359" s="4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4">
        <f>VLOOKUP(A359,'SegEnds_NonXtal_Prot#'!A:AL,28,FALSE)-VLOOKUP(A359,'SegEnds_NonXtal_Prot#'!A:AL,25,FALSE)</f>
        <v>18</v>
      </c>
      <c r="AH359" s="1">
        <f>VLOOKUP(A359,'SegEnds_NonXtal_Prot#'!A:AL,28,FALSE)-VLOOKUP(A359,'SegEnds_NonXtal_Prot#'!A:AL,22,FALSE)</f>
        <v>50</v>
      </c>
      <c r="AI359" s="4">
        <f>VLOOKUP(A359,'SegEnds_NonXtal_Prot#'!A:AL,31,FALSE)-VLOOKUP(A359,'SegEnds_NonXtal_Prot#'!A:AL,28,FALSE)</f>
        <v>35</v>
      </c>
      <c r="AJ359" s="4">
        <f>VLOOKUP(A359,'SegEnds_NonXtal_Prot#'!A:AL,34,FALSE)-VLOOKUP(A359,'SegEnds_NonXtal_Prot#'!A:AL,31,FALSE)</f>
        <v>29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4" t="s">
        <v>40</v>
      </c>
      <c r="B360" s="4" t="str">
        <f>VLOOKUP(A360,Xtal_Templ!A:B,2,FALSE)</f>
        <v>grm1_human</v>
      </c>
      <c r="C360" s="5">
        <f>VLOOKUP($B360&amp;"__wt",'SegEnds_Xtal_BW#'!$A:$Z,3,FALSE)</f>
        <v>34</v>
      </c>
      <c r="D360" s="4">
        <f>VLOOKUP($B360&amp;"__wt",'SegEnds_Xtal_BW#'!$A:$Z,4,FALSE)</f>
        <v>60</v>
      </c>
      <c r="E360" s="4">
        <f>VLOOKUP($B360&amp;"__wt",'SegEnds_Xtal_BW#'!$A:$Z,5,FALSE)</f>
        <v>47</v>
      </c>
      <c r="F360" s="4">
        <f>VLOOKUP($B360&amp;"__wt",'SegEnds_Xtal_BW#'!$A:$Z,6,FALSE)</f>
        <v>53</v>
      </c>
      <c r="G360" s="4">
        <v>39</v>
      </c>
      <c r="H360" s="11">
        <f>VLOOKUP($B360&amp;"__wt",'SegEnds_Xtal_BW#'!$A:$Z,8,FALSE)</f>
        <v>61</v>
      </c>
      <c r="I360" s="4" t="str">
        <f>VLOOKUP($B360&amp;"__wt",'SegEnds_Xtal_BW#'!$A:$Z,9,FALSE)</f>
        <v>-</v>
      </c>
      <c r="J360" s="4" t="str">
        <f>VLOOKUP($B360&amp;"__wt",'SegEnds_Xtal_BW#'!$A:$Z,10,FALSE)</f>
        <v>-</v>
      </c>
      <c r="K360" s="11">
        <f>VLOOKUP($B360&amp;"__wt",'SegEnds_Xtal_BW#'!$A:$Z,11,FALSE)</f>
        <v>22</v>
      </c>
      <c r="L360" s="4">
        <f>VLOOKUP($B360&amp;"__wt",'SegEnds_Xtal_BW#'!$A:$Z,12,FALSE)</f>
        <v>54</v>
      </c>
      <c r="M360" s="4" t="str">
        <f>VLOOKUP($B360&amp;"__wt",'SegEnds_Xtal_BW#'!$A:$Z,13,FALSE)</f>
        <v>-</v>
      </c>
      <c r="N360" s="11" t="str">
        <f>VLOOKUP($B360&amp;"__wt",'SegEnds_Xtal_BW#'!$A:$Z,14,FALSE)</f>
        <v>-</v>
      </c>
      <c r="O360" s="88">
        <f>VLOOKUP($B360&amp;"__wt",'SegEnds_Xtal_BW#'!$A:$Z,15,FALSE)</f>
        <v>38</v>
      </c>
      <c r="P360" s="4">
        <f>VLOOKUP($B360&amp;"__wt",'SegEnds_Xtal_BW#'!$A:$Z,16,FALSE)</f>
        <v>64</v>
      </c>
      <c r="Q360" s="4">
        <f>VLOOKUP($B360&amp;"__wt",'SegEnds_Xtal_BW#'!$A:$Z,17,FALSE)</f>
        <v>50</v>
      </c>
      <c r="R360" s="4">
        <f>VLOOKUP($B360&amp;"__wt",'SegEnds_Xtal_BW#'!$A:$Z,18,FALSE)</f>
        <v>52</v>
      </c>
      <c r="S360" s="4">
        <f>VLOOKUP($B360&amp;"__wt",'SegEnds_Xtal_BW#'!$A:$Z,19,FALSE)</f>
        <v>36</v>
      </c>
      <c r="T360" s="4">
        <f>VLOOKUP($B360&amp;"__wt",'SegEnds_Xtal_BW#'!$A:$Z,20,FALSE)</f>
        <v>61</v>
      </c>
      <c r="U360" s="4">
        <f>VLOOKUP($B360&amp;"__wt",'SegEnds_Xtal_BW#'!$A:$Z,21,FALSE)</f>
        <v>33</v>
      </c>
      <c r="V360" s="4">
        <f>VLOOKUP($B360&amp;"__wt",'SegEnds_Xtal_BW#'!$A:$Z,22,FALSE)</f>
        <v>57</v>
      </c>
      <c r="W360" s="4">
        <f>VLOOKUP($B360&amp;"__wt",'SegEnds_Xtal_BW#'!$A:$Z,23,FALSE)</f>
        <v>33</v>
      </c>
      <c r="X360" s="4">
        <f>VLOOKUP($B360&amp;"__wt",'SegEnds_Xtal_BW#'!$A:$Z,24,FALSE)</f>
        <v>64</v>
      </c>
      <c r="Y360" s="4">
        <f>VLOOKUP($B360&amp;"__wt",'SegEnds_Xtal_BW#'!$A:$Z,25,FALSE)</f>
        <v>46</v>
      </c>
      <c r="Z360" s="4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4">
        <f>VLOOKUP(A360,'SegEnds_NonXtal_Prot#'!A:AL,10,FALSE)-VLOOKUP(A360,'SegEnds_NonXtal_Prot#'!A:AL,7,FALSE)</f>
        <v>15</v>
      </c>
      <c r="AD360" s="4" t="e">
        <f>VLOOKUP(A360,'SegEnds_NonXtal_Prot#'!A:AL,13,FALSE)-VLOOKUP(A360,'SegEnds_NonXtal_Prot#'!A:AL,10,FALSE)</f>
        <v>#VALUE!</v>
      </c>
      <c r="AE360" s="4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4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49</v>
      </c>
      <c r="AI360" s="4">
        <f>VLOOKUP(A360,'SegEnds_NonXtal_Prot#'!A:AL,31,FALSE)-VLOOKUP(A360,'SegEnds_NonXtal_Prot#'!A:AL,28,FALSE)</f>
        <v>37</v>
      </c>
      <c r="AJ360" s="4">
        <f>VLOOKUP(A360,'SegEnds_NonXtal_Prot#'!A:AL,34,FALSE)-VLOOKUP(A360,'SegEnds_NonXtal_Prot#'!A:AL,31,FALSE)</f>
        <v>27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Xtal</v>
      </c>
    </row>
    <row r="361" spans="1:38" x14ac:dyDescent="0.2">
      <c r="A361" s="1" t="s">
        <v>115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116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31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117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41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49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27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121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1">
        <f>VLOOKUP(A368,'SegEnds_NonXtal_Prot#'!A:AL,10,FALSE)-VLOOKUP(A368,'SegEnds_NonXtal_Prot#'!A:AL,7,FALSE)</f>
        <v>19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 t="e">
        <f>VLOOKUP(A368,'SegEnds_NonXtal_Prot#'!A:AL,28,FALSE)-VLOOKUP(A368,'SegEnds_NonXtal_Prot#'!A:AL,25,FALSE)</f>
        <v>#VALUE!</v>
      </c>
      <c r="AH368" s="1">
        <f>VLOOKUP(A368,'SegEnds_NonXtal_Prot#'!A:AL,28,FALSE)-VLOOKUP(A368,'SegEnds_NonXtal_Prot#'!A:AL,22,FALSE)</f>
        <v>45</v>
      </c>
      <c r="AI368" s="1">
        <f>VLOOKUP(A368,'SegEnds_NonXtal_Prot#'!A:AL,31,FALSE)-VLOOKUP(A368,'SegEnds_NonXtal_Prot#'!A:AL,28,FALSE)</f>
        <v>39</v>
      </c>
      <c r="AJ368" s="1">
        <f>VLOOKUP(A368,'SegEnds_NonXtal_Prot#'!A:AL,34,FALSE)-VLOOKUP(A368,'SegEnds_NonXtal_Prot#'!A:AL,31,FALSE)</f>
        <v>31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122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51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123</v>
      </c>
      <c r="B370" s="1" t="str">
        <f>VLOOKUP(A370,Xtal_Templ!A:B,2,FALSE)</f>
        <v>grm1_human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18</v>
      </c>
      <c r="AH370" s="1">
        <f>VLOOKUP(A370,'SegEnds_NonXtal_Prot#'!A:AL,28,FALSE)-VLOOKUP(A370,'SegEnds_NonXtal_Prot#'!A:AL,22,FALSE)</f>
        <v>52</v>
      </c>
      <c r="AI370" s="1">
        <f>VLOOKUP(A370,'SegEnds_NonXtal_Prot#'!A:AL,31,FALSE)-VLOOKUP(A370,'SegEnds_NonXtal_Prot#'!A:AL,28,FALSE)</f>
        <v>37</v>
      </c>
      <c r="AJ370" s="1">
        <f>VLOOKUP(A370,'SegEnds_NonXtal_Prot#'!A:AL,34,FALSE)-VLOOKUP(A370,'SegEnds_NonXtal_Prot#'!A:AL,31,FALSE)</f>
        <v>29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124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18</v>
      </c>
      <c r="AH371" s="1">
        <f>VLOOKUP(A371,'SegEnds_NonXtal_Prot#'!A:AL,28,FALSE)-VLOOKUP(A371,'SegEnds_NonXtal_Prot#'!A:AL,22,FALSE)</f>
        <v>51</v>
      </c>
      <c r="AI371" s="1">
        <f>VLOOKUP(A371,'SegEnds_NonXtal_Prot#'!A:AL,31,FALSE)-VLOOKUP(A371,'SegEnds_NonXtal_Prot#'!A:AL,28,FALSE)</f>
        <v>37</v>
      </c>
      <c r="AJ371" s="1">
        <f>VLOOKUP(A371,'SegEnds_NonXtal_Prot#'!A:AL,34,FALSE)-VLOOKUP(A371,'SegEnds_NonXtal_Prot#'!A:AL,31,FALSE)</f>
        <v>29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1" t="s">
        <v>108</v>
      </c>
      <c r="B372" s="1" t="str">
        <f>VLOOKUP(A372,Xtal_Templ!A:B,2,FALSE)</f>
        <v>grm1_human</v>
      </c>
      <c r="C372" s="5">
        <f>VLOOKUP($B372&amp;"__wt",'SegEnds_Xtal_BW#'!$A:$Z,3,FALSE)</f>
        <v>34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53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54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61</v>
      </c>
      <c r="U372" s="1">
        <f>VLOOKUP($B372&amp;"__wt",'SegEnds_Xtal_BW#'!$A:$Z,21,FALSE)</f>
        <v>33</v>
      </c>
      <c r="V372" s="1">
        <f>VLOOKUP($B372&amp;"__wt",'SegEnds_Xtal_BW#'!$A:$Z,22,FALSE)</f>
        <v>57</v>
      </c>
      <c r="W372" s="1">
        <f>VLOOKUP($B372&amp;"__wt",'SegEnds_Xtal_BW#'!$A:$Z,23,FALSE)</f>
        <v>33</v>
      </c>
      <c r="X372" s="1">
        <f>VLOOKUP($B372&amp;"__wt",'SegEnds_Xtal_BW#'!$A:$Z,24,FALSE)</f>
        <v>64</v>
      </c>
      <c r="Y372" s="1">
        <f>VLOOKUP($B372&amp;"__wt",'SegEnds_Xtal_BW#'!$A:$Z,25,FALSE)</f>
        <v>46</v>
      </c>
      <c r="Z372" s="1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1">
        <f>VLOOKUP(A372,'SegEnds_NonXtal_Prot#'!A:AL,10,FALSE)-VLOOKUP(A372,'SegEnds_NonXtal_Prot#'!A:AL,7,FALSE)</f>
        <v>15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50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19</v>
      </c>
      <c r="AH372" s="1">
        <f>VLOOKUP(A372,'SegEnds_NonXtal_Prot#'!A:AL,28,FALSE)-VLOOKUP(A372,'SegEnds_NonXtal_Prot#'!A:AL,22,FALSE)</f>
        <v>62</v>
      </c>
      <c r="AI372" s="1">
        <f>VLOOKUP(A372,'SegEnds_NonXtal_Prot#'!A:AL,31,FALSE)-VLOOKUP(A372,'SegEnds_NonXtal_Prot#'!A:AL,28,FALSE)</f>
        <v>39</v>
      </c>
      <c r="AJ372" s="1">
        <f>VLOOKUP(A372,'SegEnds_NonXtal_Prot#'!A:AL,34,FALSE)-VLOOKUP(A372,'SegEnds_NonXtal_Prot#'!A:AL,31,FALSE)</f>
        <v>30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4" t="s">
        <v>106</v>
      </c>
      <c r="B373" s="4" t="str">
        <f>VLOOKUP(A373,Xtal_Templ!A:B,2,FALSE)</f>
        <v>grm1_human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61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22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36</v>
      </c>
      <c r="T373" s="4">
        <f>VLOOKUP($B373&amp;"__wt",'SegEnds_Xtal_BW#'!$A:$Z,20,FALSE)</f>
        <v>61</v>
      </c>
      <c r="U373" s="4">
        <f>VLOOKUP($B373&amp;"__wt",'SegEnds_Xtal_BW#'!$A:$Z,21,FALSE)</f>
        <v>33</v>
      </c>
      <c r="V373" s="4">
        <f>VLOOKUP($B373&amp;"__wt",'SegEnds_Xtal_BW#'!$A:$Z,22,FALSE)</f>
        <v>57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4">
        <f>VLOOKUP(A373,'SegEnds_NonXtal_Prot#'!A:AL,10,FALSE)-VLOOKUP(A373,'SegEnds_NonXtal_Prot#'!A:AL,7,FALSE)</f>
        <v>15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51</v>
      </c>
      <c r="AF373" s="1" t="e">
        <f>VLOOKUP(A373,'SegEnds_NonXtal_Prot#'!A:AL,22,FALSE)-VLOOKUP(A373,'SegEnds_NonXtal_Prot#'!A:AL,19,FALSE)</f>
        <v>#VALUE!</v>
      </c>
      <c r="AG373" s="4">
        <f>VLOOKUP(A373,'SegEnds_NonXtal_Prot#'!A:AL,28,FALSE)-VLOOKUP(A373,'SegEnds_NonXtal_Prot#'!A:AL,25,FALSE)</f>
        <v>19</v>
      </c>
      <c r="AH373" s="1">
        <f>VLOOKUP(A373,'SegEnds_NonXtal_Prot#'!A:AL,28,FALSE)-VLOOKUP(A373,'SegEnds_NonXtal_Prot#'!A:AL,22,FALSE)</f>
        <v>62</v>
      </c>
      <c r="AI373" s="4">
        <f>VLOOKUP(A373,'SegEnds_NonXtal_Prot#'!A:AL,31,FALSE)-VLOOKUP(A373,'SegEnds_NonXtal_Prot#'!A:AL,28,FALSE)</f>
        <v>38</v>
      </c>
      <c r="AJ373" s="4">
        <f>VLOOKUP(A373,'SegEnds_NonXtal_Prot#'!A:AL,34,FALSE)-VLOOKUP(A373,'SegEnds_NonXtal_Prot#'!A:AL,31,FALSE)</f>
        <v>31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NoXtal</v>
      </c>
    </row>
    <row r="374" spans="1:38" x14ac:dyDescent="0.2">
      <c r="A374" s="1" t="s">
        <v>107</v>
      </c>
      <c r="B374" s="1" t="str">
        <f>VLOOKUP(A374,Xtal_Templ!A:B,2,FALSE)</f>
        <v>grm5_human</v>
      </c>
      <c r="C374" s="5">
        <f>VLOOKUP($B374&amp;"__wt",'SegEnds_Xtal_BW#'!$A:$Z,3,FALSE)</f>
        <v>34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53</v>
      </c>
      <c r="G374" s="1">
        <v>39</v>
      </c>
      <c r="H374" s="12">
        <f>VLOOKUP($B374&amp;"__wt",'SegEnds_Xtal_BW#'!$A:$Z,8,FALSE)</f>
        <v>61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21</v>
      </c>
      <c r="L374" s="1">
        <f>VLOOKUP($B374&amp;"__wt",'SegEnds_Xtal_BW#'!$A:$Z,12,FALSE)</f>
        <v>54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61</v>
      </c>
      <c r="U374" s="1">
        <f>VLOOKUP($B374&amp;"__wt",'SegEnds_Xtal_BW#'!$A:$Z,21,FALSE)</f>
        <v>33</v>
      </c>
      <c r="V374" s="1">
        <f>VLOOKUP($B374&amp;"__wt",'SegEnds_Xtal_BW#'!$A:$Z,22,FALSE)</f>
        <v>57</v>
      </c>
      <c r="W374" s="1">
        <f>VLOOKUP($B374&amp;"__wt",'SegEnds_Xtal_BW#'!$A:$Z,23,FALSE)</f>
        <v>33</v>
      </c>
      <c r="X374" s="1">
        <f>VLOOKUP($B374&amp;"__wt",'SegEnds_Xtal_BW#'!$A:$Z,24,FALSE)</f>
        <v>64</v>
      </c>
      <c r="Y374" s="1">
        <f>VLOOKUP($B374&amp;"__wt",'SegEnds_Xtal_BW#'!$A:$Z,25,FALSE)</f>
        <v>46</v>
      </c>
      <c r="Z374" s="1">
        <f>VLOOKUP($B374&amp;"__wt",'SegEnds_Xtal_BW#'!$A:$Z,26,FALSE)</f>
        <v>57</v>
      </c>
      <c r="AA374" s="27" t="str">
        <f>VLOOKUP(A374,Classification!A:B,2,FALSE)</f>
        <v>C</v>
      </c>
      <c r="AB374" s="1">
        <f>VLOOKUP(A374,'SegEnds_NonXtal_Prot#'!A:AL,10,FALSE)-VLOOKUP(A374,'SegEnds_NonXtal_Prot#'!A:AL,4,FALSE)</f>
        <v>31</v>
      </c>
      <c r="AC374" s="1">
        <f>VLOOKUP(A374,'SegEnds_NonXtal_Prot#'!A:AL,10,FALSE)-VLOOKUP(A374,'SegEnds_NonXtal_Prot#'!A:AL,7,FALSE)</f>
        <v>15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51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19</v>
      </c>
      <c r="AH374" s="1">
        <f>VLOOKUP(A374,'SegEnds_NonXtal_Prot#'!A:AL,28,FALSE)-VLOOKUP(A374,'SegEnds_NonXtal_Prot#'!A:AL,22,FALSE)</f>
        <v>62</v>
      </c>
      <c r="AI374" s="1">
        <f>VLOOKUP(A374,'SegEnds_NonXtal_Prot#'!A:AL,31,FALSE)-VLOOKUP(A374,'SegEnds_NonXtal_Prot#'!A:AL,28,FALSE)</f>
        <v>38</v>
      </c>
      <c r="AJ374" s="1">
        <f>VLOOKUP(A374,'SegEnds_NonXtal_Prot#'!A:AL,34,FALSE)-VLOOKUP(A374,'SegEnds_NonXtal_Prot#'!A:AL,31,FALSE)</f>
        <v>31</v>
      </c>
      <c r="AK374" s="1">
        <f>VLOOKUP(A374,'SegEnds_NonXtal_Prot#'!A:AL,37,FALSE)-VLOOKUP(A374,'SegEnds_NonXtal_Prot#'!A:AL,34,FALSE)</f>
        <v>19</v>
      </c>
      <c r="AL374" s="1" t="str">
        <f>IF(ISERROR(MATCH(A374,'SegEnds_Xtal_Prot#'!B:B, 0)), "NoXtal", "Xtal")</f>
        <v>NoXtal</v>
      </c>
    </row>
    <row r="375" spans="1:38" x14ac:dyDescent="0.2">
      <c r="A375" s="1" t="s">
        <v>447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443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66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56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451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66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58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442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62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444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55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">
        <f>VLOOKUP($B380&amp;"__wt",'SegEnds_Xtal_BW#'!$A:$Z,22,FALSE)</f>
        <v>58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36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449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66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28</v>
      </c>
      <c r="V381" s="108"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55</v>
      </c>
      <c r="AJ381" s="1">
        <f>VLOOKUP(A381,'SegEnds_NonXtal_Prot#'!A:AL,34,FALSE)-VLOOKUP(A381,'SegEnds_NonXtal_Prot#'!A:AL,31,FALSE)</f>
        <v>55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21" t="s">
        <v>1491</v>
      </c>
      <c r="B382" s="1" t="str">
        <f>VLOOKUP(A382,Xtal_Templ!A:B,2,FALSE)</f>
        <v>q98sw5_xenla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61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59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38</v>
      </c>
      <c r="P382" s="1">
        <f>VLOOKUP($B382&amp;"__wt",'SegEnds_Xtal_BW#'!$A:$Z,16,FALSE)</f>
        <v>63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24</v>
      </c>
      <c r="V382" s="1">
        <f>VLOOKUP($B382&amp;"__wt",'SegEnds_Xtal_BW#'!$A:$Z,22,FALSE)</f>
        <v>81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27</v>
      </c>
      <c r="AC382" s="1">
        <f>VLOOKUP(A382,'SegEnds_NonXtal_Prot#'!A:AL,10,FALSE)-VLOOKUP(A382,'SegEnds_NonXtal_Prot#'!A:AL,7,FALSE)</f>
        <v>13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67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62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Xtal</v>
      </c>
    </row>
    <row r="383" spans="1:38" x14ac:dyDescent="0.2">
      <c r="A383" s="1" t="s">
        <v>33</v>
      </c>
      <c r="B383" s="1" t="str">
        <f>VLOOKUP(A383,Xtal_Templ!A:B,2,FALSE)</f>
        <v>smo_human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40</v>
      </c>
      <c r="H383" s="12">
        <f>VLOOKUP($B383&amp;"__wt",'SegEnds_Xtal_BW#'!$A:$Z,8,FALSE)</f>
        <v>63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20</v>
      </c>
      <c r="V383" s="1">
        <f>VLOOKUP($B383&amp;"__wt",'SegEnds_Xtal_BW#'!$A:$Z,22,FALSE)</f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27</v>
      </c>
      <c r="AC383" s="1">
        <f>VLOOKUP(A383,'SegEnds_NonXtal_Prot#'!A:AL,10,FALSE)-VLOOKUP(A383,'SegEnds_NonXtal_Prot#'!A:AL,7,FALSE)</f>
        <v>13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67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57</v>
      </c>
      <c r="AJ383" s="1">
        <f>VLOOKUP(A383,'SegEnds_NonXtal_Prot#'!A:AL,34,FALSE)-VLOOKUP(A383,'SegEnds_NonXtal_Prot#'!A:AL,31,FALSE)</f>
        <v>62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Xtal</v>
      </c>
    </row>
    <row r="384" spans="1:38" x14ac:dyDescent="0.2">
      <c r="A384" s="1" t="s">
        <v>1590</v>
      </c>
      <c r="B384" s="1" t="str">
        <f>VLOOKUP(A384,Xtal_Templ!A:B,2,FALSE)</f>
        <v>smo_mouse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41</v>
      </c>
      <c r="H384" s="12">
        <f>VLOOKUP($B384&amp;"__wt",'SegEnds_Xtal_BW#'!$A:$Z,8,FALSE)</f>
        <v>63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56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20</v>
      </c>
      <c r="V384" s="1">
        <f>VLOOKUP($B384&amp;"__wt",'SegEnds_Xtal_BW#'!$A:$Z,22,FALSE)</f>
        <v>78</v>
      </c>
      <c r="W384" s="1">
        <f>VLOOKUP($B384&amp;"__wt",'SegEnds_Xtal_BW#'!$A:$Z,23,FALSE)</f>
        <v>34</v>
      </c>
      <c r="X384" s="1">
        <f>VLOOKUP($B384&amp;"__wt",'SegEnds_Xtal_BW#'!$A:$Z,24,FALSE)</f>
        <v>57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27</v>
      </c>
      <c r="AC384" s="1">
        <f>VLOOKUP(A384,'SegEnds_NonXtal_Prot#'!A:AL,10,FALSE)-VLOOKUP(A384,'SegEnds_NonXtal_Prot#'!A:AL,7,FALSE)</f>
        <v>13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67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57</v>
      </c>
      <c r="AJ384" s="1">
        <f>VLOOKUP(A384,'SegEnds_NonXtal_Prot#'!A:AL,34,FALSE)-VLOOKUP(A384,'SegEnds_NonXtal_Prot#'!A:AL,31,FALSE)</f>
        <v>62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Xtal</v>
      </c>
    </row>
    <row r="385" spans="1:38" x14ac:dyDescent="0.2">
      <c r="A385" s="1" t="s">
        <v>445</v>
      </c>
      <c r="B385" s="1" t="str">
        <f>VLOOKUP(A385,Xtal_Templ!A:B,2,FALSE)</f>
        <v>fzd4_human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39</v>
      </c>
      <c r="H385" s="12">
        <f>VLOOKUP($B385&amp;"__wt",'SegEnds_Xtal_BW#'!$A:$Z,8,FALSE)</f>
        <v>66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22</v>
      </c>
      <c r="L385" s="1">
        <f>VLOOKUP($B385&amp;"__wt",'SegEnds_Xtal_BW#'!$A:$Z,12,FALSE)</f>
        <v>55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28</v>
      </c>
      <c r="V385" s="108">
        <v>78</v>
      </c>
      <c r="W385" s="1">
        <f>VLOOKUP($B385&amp;"__wt",'SegEnds_Xtal_BW#'!$A:$Z,23,FALSE)</f>
        <v>34</v>
      </c>
      <c r="X385" s="1">
        <f>VLOOKUP($B385&amp;"__wt",'SegEnds_Xtal_BW#'!$A:$Z,24,FALSE)</f>
        <v>57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26</v>
      </c>
      <c r="AC385" s="1">
        <f>VLOOKUP(A385,'SegEnds_NonXtal_Prot#'!A:AL,10,FALSE)-VLOOKUP(A385,'SegEnds_NonXtal_Prot#'!A:AL,7,FALSE)</f>
        <v>12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68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55</v>
      </c>
      <c r="AJ385" s="1">
        <f>VLOOKUP(A385,'SegEnds_NonXtal_Prot#'!A:AL,34,FALSE)-VLOOKUP(A385,'SegEnds_NonXtal_Prot#'!A:AL,31,FALSE)</f>
        <v>55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NoXtal</v>
      </c>
    </row>
    <row r="386" spans="1:38" x14ac:dyDescent="0.2">
      <c r="A386" s="1" t="s">
        <v>448</v>
      </c>
      <c r="B386" s="1" t="str">
        <f>VLOOKUP(A386,Xtal_Templ!A:B,2,FALSE)</f>
        <v>fzd4_human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39</v>
      </c>
      <c r="H386" s="12">
        <f>VLOOKUP($B386&amp;"__wt",'SegEnds_Xtal_BW#'!$A:$Z,8,FALSE)</f>
        <v>66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22</v>
      </c>
      <c r="L386" s="1">
        <f>VLOOKUP($B386&amp;"__wt",'SegEnds_Xtal_BW#'!$A:$Z,12,FALSE)</f>
        <v>55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28</v>
      </c>
      <c r="V386" s="108">
        <v>78</v>
      </c>
      <c r="W386" s="1">
        <f>VLOOKUP($B386&amp;"__wt",'SegEnds_Xtal_BW#'!$A:$Z,23,FALSE)</f>
        <v>34</v>
      </c>
      <c r="X386" s="1">
        <f>VLOOKUP($B386&amp;"__wt",'SegEnds_Xtal_BW#'!$A:$Z,24,FALSE)</f>
        <v>57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26</v>
      </c>
      <c r="AC386" s="1">
        <f>VLOOKUP(A386,'SegEnds_NonXtal_Prot#'!A:AL,10,FALSE)-VLOOKUP(A386,'SegEnds_NonXtal_Prot#'!A:AL,7,FALSE)</f>
        <v>12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68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55</v>
      </c>
      <c r="AJ386" s="1">
        <f>VLOOKUP(A386,'SegEnds_NonXtal_Prot#'!A:AL,34,FALSE)-VLOOKUP(A386,'SegEnds_NonXtal_Prot#'!A:AL,31,FALSE)</f>
        <v>55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NoXtal</v>
      </c>
    </row>
    <row r="387" spans="1:38" x14ac:dyDescent="0.2">
      <c r="A387" s="1" t="s">
        <v>450</v>
      </c>
      <c r="B387" s="1" t="str">
        <f>VLOOKUP(A387,Xtal_Templ!A:B,2,FALSE)</f>
        <v>fzd4_human</v>
      </c>
      <c r="C387" s="5">
        <f>VLOOKUP($B387&amp;"__wt",'SegEnds_Xtal_BW#'!$A:$Z,3,FALSE)</f>
        <v>28</v>
      </c>
      <c r="D387" s="1">
        <f>VLOOKUP($B387&amp;"__wt",'SegEnds_Xtal_BW#'!$A:$Z,4,FALSE)</f>
        <v>60</v>
      </c>
      <c r="E387" s="1">
        <f>VLOOKUP($B387&amp;"__wt",'SegEnds_Xtal_BW#'!$A:$Z,5,FALSE)</f>
        <v>47</v>
      </c>
      <c r="F387" s="1">
        <f>VLOOKUP($B387&amp;"__wt",'SegEnds_Xtal_BW#'!$A:$Z,6,FALSE)</f>
        <v>51</v>
      </c>
      <c r="G387" s="1">
        <v>39</v>
      </c>
      <c r="H387" s="12">
        <f>VLOOKUP($B387&amp;"__wt",'SegEnds_Xtal_BW#'!$A:$Z,8,FALSE)</f>
        <v>66</v>
      </c>
      <c r="I387" s="1" t="str">
        <f>VLOOKUP($B387&amp;"__wt",'SegEnds_Xtal_BW#'!$A:$Z,9,FALSE)</f>
        <v>-</v>
      </c>
      <c r="J387" s="1" t="str">
        <f>VLOOKUP($B387&amp;"__wt",'SegEnds_Xtal_BW#'!$A:$Z,10,FALSE)</f>
        <v>-</v>
      </c>
      <c r="K387" s="12">
        <f>VLOOKUP($B387&amp;"__wt",'SegEnds_Xtal_BW#'!$A:$Z,11,FALSE)</f>
        <v>22</v>
      </c>
      <c r="L387" s="1">
        <f>VLOOKUP($B387&amp;"__wt",'SegEnds_Xtal_BW#'!$A:$Z,12,FALSE)</f>
        <v>55</v>
      </c>
      <c r="M387" s="1" t="str">
        <f>VLOOKUP($B387&amp;"__wt",'SegEnds_Xtal_BW#'!$A:$Z,13,FALSE)</f>
        <v>-</v>
      </c>
      <c r="N387" s="12" t="str">
        <f>VLOOKUP($B387&amp;"__wt",'SegEnds_Xtal_BW#'!$A:$Z,14,FALSE)</f>
        <v>-</v>
      </c>
      <c r="O387" s="87">
        <f>VLOOKUP($B387&amp;"__wt",'SegEnds_Xtal_BW#'!$A:$Z,15,FALSE)</f>
        <v>41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f>VLOOKUP($B387&amp;"__wt",'SegEnds_Xtal_BW#'!$A:$Z,19,FALSE)</f>
        <v>35</v>
      </c>
      <c r="T387" s="1">
        <f>VLOOKUP($B387&amp;"__wt",'SegEnds_Xtal_BW#'!$A:$Z,20,FALSE)</f>
        <v>72</v>
      </c>
      <c r="U387" s="1">
        <f>VLOOKUP($B387&amp;"__wt",'SegEnds_Xtal_BW#'!$A:$Z,21,FALSE)</f>
        <v>28</v>
      </c>
      <c r="V387" s="108">
        <v>78</v>
      </c>
      <c r="W387" s="1">
        <f>VLOOKUP($B387&amp;"__wt",'SegEnds_Xtal_BW#'!$A:$Z,23,FALSE)</f>
        <v>34</v>
      </c>
      <c r="X387" s="1">
        <f>VLOOKUP($B387&amp;"__wt",'SegEnds_Xtal_BW#'!$A:$Z,24,FALSE)</f>
        <v>57</v>
      </c>
      <c r="Y387" s="1">
        <f>VLOOKUP($B387&amp;"__wt",'SegEnds_Xtal_BW#'!$A:$Z,25,FALSE)</f>
        <v>47</v>
      </c>
      <c r="Z387" s="1">
        <f>VLOOKUP($B387&amp;"__wt",'SegEnds_Xtal_BW#'!$A:$Z,26,FALSE)</f>
        <v>62</v>
      </c>
      <c r="AA387" s="27" t="str">
        <f>VLOOKUP(A387,Classification!A:B,2,FALSE)</f>
        <v>F</v>
      </c>
      <c r="AB387" s="1">
        <f>VLOOKUP(A387,'SegEnds_NonXtal_Prot#'!A:AL,10,FALSE)-VLOOKUP(A387,'SegEnds_NonXtal_Prot#'!A:AL,4,FALSE)</f>
        <v>26</v>
      </c>
      <c r="AC387" s="1">
        <f>VLOOKUP(A387,'SegEnds_NonXtal_Prot#'!A:AL,10,FALSE)-VLOOKUP(A387,'SegEnds_NonXtal_Prot#'!A:AL,7,FALSE)</f>
        <v>12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103</v>
      </c>
      <c r="AF387" s="1" t="e">
        <f>VLOOKUP(A387,'SegEnds_NonXtal_Prot#'!A:AL,22,FALSE)-VLOOKUP(A387,'SegEnds_NonXtal_Prot#'!A:AL,19,FALSE)</f>
        <v>#VALUE!</v>
      </c>
      <c r="AG387" s="1">
        <f>VLOOKUP(A387,'SegEnds_NonXtal_Prot#'!A:AL,28,FALSE)-VLOOKUP(A387,'SegEnds_NonXtal_Prot#'!A:AL,25,FALSE)</f>
        <v>21</v>
      </c>
      <c r="AH387" s="1">
        <f>VLOOKUP(A387,'SegEnds_NonXtal_Prot#'!A:AL,28,FALSE)-VLOOKUP(A387,'SegEnds_NonXtal_Prot#'!A:AL,22,FALSE)</f>
        <v>46</v>
      </c>
      <c r="AI387" s="1">
        <f>VLOOKUP(A387,'SegEnds_NonXtal_Prot#'!A:AL,31,FALSE)-VLOOKUP(A387,'SegEnds_NonXtal_Prot#'!A:AL,28,FALSE)</f>
        <v>57</v>
      </c>
      <c r="AJ387" s="1">
        <f>VLOOKUP(A387,'SegEnds_NonXtal_Prot#'!A:AL,34,FALSE)-VLOOKUP(A387,'SegEnds_NonXtal_Prot#'!A:AL,31,FALSE)</f>
        <v>49</v>
      </c>
      <c r="AK387" s="1">
        <f>VLOOKUP(A387,'SegEnds_NonXtal_Prot#'!A:AL,37,FALSE)-VLOOKUP(A387,'SegEnds_NonXtal_Prot#'!A:AL,34,FALSE)</f>
        <v>11</v>
      </c>
      <c r="AL387" s="1" t="str">
        <f>IF(ISERROR(MATCH(A387,'SegEnds_Xtal_Prot#'!B:B, 0)), "NoXtal", "Xtal")</f>
        <v>NoXtal</v>
      </c>
    </row>
    <row r="388" spans="1:38" x14ac:dyDescent="0.2">
      <c r="A388" s="1" t="s">
        <v>480</v>
      </c>
      <c r="B388" s="1" t="str">
        <f>VLOOKUP(A388,Xtal_Templ!A:B,2,FALSE)</f>
        <v>pe2r4_human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08">
        <v>61</v>
      </c>
      <c r="Q388" s="1" t="s">
        <v>23</v>
      </c>
      <c r="R388" s="1" t="s">
        <v>23</v>
      </c>
      <c r="S388" s="108">
        <v>40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32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45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25</v>
      </c>
      <c r="AI388" s="1">
        <f>VLOOKUP(A388,'SegEnds_NonXtal_Prot#'!A:AL,31,FALSE)-VLOOKUP(A388,'SegEnds_NonXtal_Prot#'!A:AL,28,FALSE)</f>
        <v>76</v>
      </c>
      <c r="AJ388" s="1">
        <f>VLOOKUP(A388,'SegEnds_NonXtal_Prot#'!A:AL,34,FALSE)-VLOOKUP(A388,'SegEnds_NonXtal_Prot#'!A:AL,31,FALSE)</f>
        <v>36</v>
      </c>
      <c r="AK388" s="1">
        <f>VLOOKUP(A388,'SegEnds_NonXtal_Prot#'!A:AL,37,FALSE)-VLOOKUP(A388,'SegEnds_NonXtal_Prot#'!A:AL,34,FALSE)</f>
        <v>24</v>
      </c>
      <c r="AL388" s="1" t="str">
        <f>IF(ISERROR(MATCH(A388,'SegEnds_Xtal_Prot#'!B:B, 0)), "NoXtal", "Xtal")</f>
        <v>NoXtal</v>
      </c>
    </row>
    <row r="389" spans="1:38" x14ac:dyDescent="0.2">
      <c r="A389" s="1" t="s">
        <v>482</v>
      </c>
      <c r="B389" s="1" t="str">
        <f>VLOOKUP(A389,Xtal_Templ!A:B,2,FALSE)</f>
        <v>5ht2c_human</v>
      </c>
      <c r="C389" s="5">
        <f>VLOOKUP($B389&amp;"__wt",'SegEnds_Xtal_BW#'!$A:$Z,3,FALSE)</f>
        <v>33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">
        <v>64</v>
      </c>
      <c r="Q389" s="1" t="s">
        <v>23</v>
      </c>
      <c r="R389" s="1" t="s">
        <v>23</v>
      </c>
      <c r="S389" s="1">
        <v>39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28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47</v>
      </c>
      <c r="AF389" s="1" t="e">
        <f>VLOOKUP(A389,'SegEnds_NonXtal_Prot#'!A:AL,22,FALSE)-VLOOKUP(A389,'SegEnds_NonXtal_Prot#'!A:AL,19,FALSE)</f>
        <v>#VALUE!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29</v>
      </c>
      <c r="AI389" s="1">
        <f>VLOOKUP(A389,'SegEnds_NonXtal_Prot#'!A:AL,31,FALSE)-VLOOKUP(A389,'SegEnds_NonXtal_Prot#'!A:AL,28,FALSE)</f>
        <v>67</v>
      </c>
      <c r="AJ389" s="1">
        <f>VLOOKUP(A389,'SegEnds_NonXtal_Prot#'!A:AL,34,FALSE)-VLOOKUP(A389,'SegEnds_NonXtal_Prot#'!A:AL,31,FALSE)</f>
        <v>45</v>
      </c>
      <c r="AK389" s="1">
        <f>VLOOKUP(A389,'SegEnds_NonXtal_Prot#'!A:AL,37,FALSE)-VLOOKUP(A389,'SegEnds_NonXtal_Prot#'!A:AL,34,FALSE)</f>
        <v>18</v>
      </c>
      <c r="AL389" s="1" t="str">
        <f>IF(ISERROR(MATCH(A389,'SegEnds_Xtal_Prot#'!B:B, 0)), "NoXtal", "Xtal")</f>
        <v>NoXtal</v>
      </c>
    </row>
    <row r="390" spans="1:38" x14ac:dyDescent="0.2">
      <c r="A390" s="4" t="s">
        <v>481</v>
      </c>
      <c r="B390" s="4" t="str">
        <f>VLOOKUP(A390,Xtal_Templ!A:B,2,FALSE)</f>
        <v>aa2ar_human</v>
      </c>
      <c r="C390" s="5">
        <f>VLOOKUP($B390&amp;"__wt",'SegEnds_Xtal_BW#'!$A:$Z,3,FALSE)</f>
        <v>27</v>
      </c>
      <c r="D390" s="4">
        <v>60</v>
      </c>
      <c r="E390" s="4" t="s">
        <v>23</v>
      </c>
      <c r="F390" s="4" t="s">
        <v>23</v>
      </c>
      <c r="G390" s="4">
        <v>39</v>
      </c>
      <c r="H390" s="11">
        <v>63</v>
      </c>
      <c r="I390" s="4" t="s">
        <v>23</v>
      </c>
      <c r="J390" s="4" t="s">
        <v>23</v>
      </c>
      <c r="K390" s="11">
        <v>23</v>
      </c>
      <c r="L390" s="4">
        <v>56</v>
      </c>
      <c r="M390" s="4" t="s">
        <v>23</v>
      </c>
      <c r="N390" s="11" t="s">
        <v>23</v>
      </c>
      <c r="O390" s="88">
        <v>40</v>
      </c>
      <c r="P390" s="4">
        <v>64</v>
      </c>
      <c r="Q390" s="4" t="s">
        <v>23</v>
      </c>
      <c r="R390" s="4" t="s">
        <v>23</v>
      </c>
      <c r="S390" s="4">
        <v>39</v>
      </c>
      <c r="T390" s="4">
        <v>61</v>
      </c>
      <c r="U390" s="4">
        <v>29</v>
      </c>
      <c r="V390" s="4">
        <v>53</v>
      </c>
      <c r="W390" s="4">
        <v>35</v>
      </c>
      <c r="X390" s="4">
        <v>56</v>
      </c>
      <c r="Y390" s="4">
        <v>47</v>
      </c>
      <c r="Z390" s="4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36</v>
      </c>
      <c r="AC390" s="4" t="e">
        <f>VLOOKUP(A390,'SegEnds_NonXtal_Prot#'!A:AL,10,FALSE)-VLOOKUP(A390,'SegEnds_NonXtal_Prot#'!A:AL,7,FALSE)</f>
        <v>#VALUE!</v>
      </c>
      <c r="AD390" s="4" t="e">
        <f>VLOOKUP(A390,'SegEnds_NonXtal_Prot#'!A:AL,13,FALSE)-VLOOKUP(A390,'SegEnds_NonXtal_Prot#'!A:AL,10,FALSE)</f>
        <v>#VALUE!</v>
      </c>
      <c r="AE390" s="4">
        <f>VLOOKUP(A390,'SegEnds_NonXtal_Prot#'!A:AL,16,FALSE)-VLOOKUP(A390,'SegEnds_NonXtal_Prot#'!A:AL,10,FALSE)</f>
        <v>63</v>
      </c>
      <c r="AF390" s="1" t="e">
        <f>VLOOKUP(A390,'SegEnds_NonXtal_Prot#'!A:AL,22,FALSE)-VLOOKUP(A390,'SegEnds_NonXtal_Prot#'!A:AL,19,FALSE)</f>
        <v>#VALUE!</v>
      </c>
      <c r="AG390" s="4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39</v>
      </c>
      <c r="AI390" s="4">
        <f>VLOOKUP(A390,'SegEnds_NonXtal_Prot#'!A:AL,31,FALSE)-VLOOKUP(A390,'SegEnds_NonXtal_Prot#'!A:AL,28,FALSE)</f>
        <v>58</v>
      </c>
      <c r="AJ390" s="4">
        <f>VLOOKUP(A390,'SegEnds_NonXtal_Prot#'!A:AL,34,FALSE)-VLOOKUP(A390,'SegEnds_NonXtal_Prot#'!A:AL,31,FALSE)</f>
        <v>49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478</v>
      </c>
      <c r="B391" s="1" t="str">
        <f>VLOOKUP(A391,Xtal_Templ!A:B,2,FALSE)</f>
        <v>ccr9_human</v>
      </c>
      <c r="C391" s="5">
        <f>VLOOKUP($B391&amp;"__wt",'SegEnds_Xtal_BW#'!$A:$Z,3,FALSE)</f>
        <v>27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49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74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81</v>
      </c>
      <c r="AI391" s="1">
        <f>VLOOKUP(A391,'SegEnds_NonXtal_Prot#'!A:AL,31,FALSE)-VLOOKUP(A391,'SegEnds_NonXtal_Prot#'!A:AL,28,FALSE)</f>
        <v>37</v>
      </c>
      <c r="AJ391" s="1">
        <f>VLOOKUP(A391,'SegEnds_NonXtal_Prot#'!A:AL,34,FALSE)-VLOOKUP(A391,'SegEnds_NonXtal_Prot#'!A:AL,31,FALSE)</f>
        <v>44</v>
      </c>
      <c r="AK391" s="1">
        <f>VLOOKUP(A391,'SegEnds_NonXtal_Prot#'!A:AL,37,FALSE)-VLOOKUP(A391,'SegEnds_NonXtal_Prot#'!A:AL,34,FALSE)</f>
        <v>11</v>
      </c>
      <c r="AL391" s="1" t="str">
        <f>IF(ISERROR(MATCH(A391,'SegEnds_Xtal_Prot#'!B:B, 0)), "NoXtal", "Xtal")</f>
        <v>NoXtal</v>
      </c>
    </row>
    <row r="392" spans="1:38" x14ac:dyDescent="0.2">
      <c r="A392" s="1" t="s">
        <v>477</v>
      </c>
      <c r="B392" s="1" t="str">
        <f>VLOOKUP(A392,Xtal_Templ!A:B,2,FALSE)</f>
        <v>fpr2_human</v>
      </c>
      <c r="C392" s="5">
        <f>VLOOKUP($B392&amp;"__wt",'SegEnds_Xtal_BW#'!$A:$Z,3,FALSE)</f>
        <v>25</v>
      </c>
      <c r="D392" s="1">
        <v>60</v>
      </c>
      <c r="E392" s="1" t="s">
        <v>23</v>
      </c>
      <c r="F392" s="1" t="s">
        <v>23</v>
      </c>
      <c r="G392" s="1">
        <v>39</v>
      </c>
      <c r="H392" s="12">
        <v>63</v>
      </c>
      <c r="I392" s="1" t="s">
        <v>23</v>
      </c>
      <c r="J392" s="1" t="s">
        <v>23</v>
      </c>
      <c r="K392" s="12">
        <v>23</v>
      </c>
      <c r="L392" s="1">
        <v>56</v>
      </c>
      <c r="M392" s="1" t="s">
        <v>23</v>
      </c>
      <c r="N392" s="12" t="s">
        <v>23</v>
      </c>
      <c r="O392" s="87">
        <v>40</v>
      </c>
      <c r="P392" s="1">
        <f>VLOOKUP($B392&amp;"__wt",'SegEnds_Xtal_BW#'!$A:$Z,16,FALSE)</f>
        <v>64</v>
      </c>
      <c r="Q392" s="1" t="s">
        <v>23</v>
      </c>
      <c r="R392" s="1" t="s">
        <v>23</v>
      </c>
      <c r="S392" s="1">
        <v>39</v>
      </c>
      <c r="T392" s="1">
        <v>61</v>
      </c>
      <c r="U392" s="1">
        <v>29</v>
      </c>
      <c r="V392" s="1">
        <v>53</v>
      </c>
      <c r="W392" s="1">
        <v>35</v>
      </c>
      <c r="X392" s="1">
        <v>56</v>
      </c>
      <c r="Y392" s="1">
        <v>47</v>
      </c>
      <c r="Z392" s="1">
        <v>57</v>
      </c>
      <c r="AA392" s="27" t="str">
        <f>VLOOKUP(A392,Classification!A:B,2,FALSE)</f>
        <v>O</v>
      </c>
      <c r="AB392" s="1">
        <f>VLOOKUP(A392,'SegEnds_NonXtal_Prot#'!A:AL,10,FALSE)-VLOOKUP(A392,'SegEnds_NonXtal_Prot#'!A:AL,4,FALSE)</f>
        <v>18</v>
      </c>
      <c r="AC392" s="1" t="e">
        <f>VLOOKUP(A392,'SegEnds_NonXtal_Prot#'!A:AL,10,FALSE)-VLOOKUP(A392,'SegEnds_NonXtal_Prot#'!A:AL,7,FALSE)</f>
        <v>#VALUE!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81</v>
      </c>
      <c r="AF392" s="1" t="e">
        <f>VLOOKUP(A392,'SegEnds_NonXtal_Prot#'!A:AL,22,FALSE)-VLOOKUP(A392,'SegEnds_NonXtal_Prot#'!A:AL,19,FALSE)</f>
        <v>#VALUE!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83</v>
      </c>
      <c r="AI392" s="1">
        <f>VLOOKUP(A392,'SegEnds_NonXtal_Prot#'!A:AL,31,FALSE)-VLOOKUP(A392,'SegEnds_NonXtal_Prot#'!A:AL,28,FALSE)</f>
        <v>79</v>
      </c>
      <c r="AJ392" s="1">
        <f>VLOOKUP(A392,'SegEnds_NonXtal_Prot#'!A:AL,34,FALSE)-VLOOKUP(A392,'SegEnds_NonXtal_Prot#'!A:AL,31,FALSE)</f>
        <v>33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455</v>
      </c>
      <c r="B393" s="1" t="str">
        <f>VLOOKUP(A393,Xtal_Templ!A:B,2,FALSE)</f>
        <v>pd2r2_human</v>
      </c>
      <c r="C393" s="5">
        <v>32</v>
      </c>
      <c r="D393" s="1">
        <v>62</v>
      </c>
      <c r="E393" s="1" t="str">
        <f>VLOOKUP($B393&amp;"__wt",'SegEnds_Xtal_BW#'!$A:$Z,5,FALSE)</f>
        <v>-</v>
      </c>
      <c r="F393" s="1" t="str">
        <f>VLOOKUP($B393&amp;"__wt",'SegEnds_Xtal_BW#'!$A:$Z,6,FALSE)</f>
        <v>-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24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7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47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50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4" t="s">
        <v>470</v>
      </c>
      <c r="B394" s="4" t="str">
        <f>VLOOKUP(A394,Xtal_Templ!A:B,2,FALSE)</f>
        <v>cxcr4_human</v>
      </c>
      <c r="C394" s="5">
        <v>32</v>
      </c>
      <c r="D394" s="4">
        <v>62</v>
      </c>
      <c r="E394" s="4">
        <f>VLOOKUP($B394&amp;"__wt",'SegEnds_Xtal_BW#'!$A:$Z,5,FALSE)</f>
        <v>48</v>
      </c>
      <c r="F394" s="4">
        <f>VLOOKUP($B394&amp;"__wt",'SegEnds_Xtal_BW#'!$A:$Z,6,FALSE)</f>
        <v>51</v>
      </c>
      <c r="G394" s="4">
        <v>39</v>
      </c>
      <c r="H394" s="11">
        <v>66</v>
      </c>
      <c r="I394" s="4" t="s">
        <v>23</v>
      </c>
      <c r="J394" s="4" t="s">
        <v>23</v>
      </c>
      <c r="K394" s="11">
        <v>24</v>
      </c>
      <c r="L394" s="4">
        <f>VLOOKUP($B394&amp;"__wt",'SegEnds_Xtal_BW#'!$A:$Z,12,FALSE)</f>
        <v>56</v>
      </c>
      <c r="M394" s="4">
        <f>VLOOKUP($B394&amp;"__wt",'SegEnds_Xtal_BW#'!$A:$Z,13,FALSE)</f>
        <v>50</v>
      </c>
      <c r="N394" s="11">
        <v>57</v>
      </c>
      <c r="O394" s="88">
        <v>38</v>
      </c>
      <c r="P394" s="4">
        <f>VLOOKUP($B394&amp;"__wt",'SegEnds_Xtal_BW#'!$A:$Z,16,FALSE)</f>
        <v>64</v>
      </c>
      <c r="Q394" s="4">
        <f>VLOOKUP($B394&amp;"__wt",'SegEnds_Xtal_BW#'!$A:$Z,17,FALSE)</f>
        <v>50</v>
      </c>
      <c r="R394" s="4">
        <f>VLOOKUP($B394&amp;"__wt",'SegEnds_Xtal_BW#'!$A:$Z,18,FALSE)</f>
        <v>52</v>
      </c>
      <c r="S394" s="4">
        <v>32</v>
      </c>
      <c r="T394" s="4">
        <v>72</v>
      </c>
      <c r="U394" s="4">
        <v>29</v>
      </c>
      <c r="V394" s="4">
        <v>61</v>
      </c>
      <c r="W394" s="4">
        <v>31</v>
      </c>
      <c r="X394" s="4">
        <f>VLOOKUP($B394&amp;"__wt",'SegEnds_Xtal_BW#'!$A:$Z,24,FALSE)</f>
        <v>56</v>
      </c>
      <c r="Y394" s="4">
        <f>VLOOKUP($B394&amp;"__wt",'SegEnds_Xtal_BW#'!$A:$Z,25,FALSE)</f>
        <v>47</v>
      </c>
      <c r="Z394" s="4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4">
        <f>VLOOKUP(A394,'SegEnds_NonXtal_Prot#'!A:AL,10,FALSE)-VLOOKUP(A394,'SegEnds_NonXtal_Prot#'!A:AL,7,FALSE)</f>
        <v>16</v>
      </c>
      <c r="AD394" s="4" t="e">
        <f>VLOOKUP(A394,'SegEnds_NonXtal_Prot#'!A:AL,13,FALSE)-VLOOKUP(A394,'SegEnds_NonXtal_Prot#'!A:AL,10,FALSE)</f>
        <v>#VALUE!</v>
      </c>
      <c r="AE394" s="4">
        <f>VLOOKUP(A394,'SegEnds_NonXtal_Prot#'!A:AL,16,FALSE)-VLOOKUP(A394,'SegEnds_NonXtal_Prot#'!A:AL,10,FALSE)</f>
        <v>48</v>
      </c>
      <c r="AF394" s="1">
        <f>VLOOKUP(A394,'SegEnds_NonXtal_Prot#'!A:AL,22,FALSE)-VLOOKUP(A394,'SegEnds_NonXtal_Prot#'!A:AL,19,FALSE)</f>
        <v>20</v>
      </c>
      <c r="AG394" s="4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54</v>
      </c>
      <c r="AI394" s="4">
        <f>VLOOKUP(A394,'SegEnds_NonXtal_Prot#'!A:AL,31,FALSE)-VLOOKUP(A394,'SegEnds_NonXtal_Prot#'!A:AL,28,FALSE)</f>
        <v>53</v>
      </c>
      <c r="AJ394" s="4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473</v>
      </c>
      <c r="B395" s="1" t="str">
        <f>VLOOKUP(A395,Xtal_Templ!A:B,2,FALSE)</f>
        <v>hrh1_human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24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f>VLOOKUP($B395&amp;"__wt",'SegEnds_Xtal_BW#'!$A:$Z,14,FALSE)</f>
        <v>57</v>
      </c>
      <c r="O395" s="87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48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457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458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459</v>
      </c>
      <c r="B399" s="1" t="str">
        <f>VLOOKUP(A399,Xtal_Templ!A:B,2,FALSE)</f>
        <v>drd2_human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465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925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466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467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5ht1b_human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53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452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f>VLOOKUP($B405&amp;"__wt",'SegEnds_Xtal_BW#'!$A:$Z,14,FALSE)</f>
        <v>58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30</v>
      </c>
      <c r="AC405" s="1">
        <f>VLOOKUP(A405,'SegEnds_NonXtal_Prot#'!A:AL,10,FALSE)-VLOOKUP(A405,'SegEnds_NonXtal_Prot#'!A:AL,7,FALSE)</f>
        <v>15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50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453</v>
      </c>
      <c r="B406" s="1" t="str">
        <f>VLOOKUP(A406,Xtal_Templ!A:B,2,FALSE)</f>
        <v>5ht2a_human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454</v>
      </c>
      <c r="B407" s="1" t="str">
        <f>VLOOKUP(A407,Xtal_Templ!A:B,2,FALSE)</f>
        <v>5ht2c_human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67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54</v>
      </c>
      <c r="AI407" s="1">
        <f>VLOOKUP(A407,'SegEnds_NonXtal_Prot#'!A:AL,31,FALSE)-VLOOKUP(A407,'SegEnds_NonXtal_Prot#'!A:AL,28,FALSE)</f>
        <v>52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461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462</v>
      </c>
      <c r="B409" s="1" t="str">
        <f>VLOOKUP(A409,Xtal_Templ!A:B,2,FALSE)</f>
        <v>5ht2a_human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67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463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35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464</v>
      </c>
      <c r="B411" s="1" t="str">
        <f>VLOOKUP(A411,Xtal_Templ!A:B,2,FALSE)</f>
        <v>hrh1_human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468</v>
      </c>
      <c r="B412" s="1" t="str">
        <f>VLOOKUP(A412,Xtal_Templ!A:B,2,FALSE)</f>
        <v>oprk_human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8">
        <v>38</v>
      </c>
      <c r="P412" s="1">
        <f>VLOOKUP($B412&amp;"__wt",'SegEnds_Xtal_BW#'!$A:$Z,16,FALSE)</f>
        <v>64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58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471</v>
      </c>
      <c r="B413" s="1" t="str">
        <f>VLOOKUP(A413,Xtal_Templ!A:B,2,FALSE)</f>
        <v>cxcr4_human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56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474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67</v>
      </c>
      <c r="I414" s="1" t="s">
        <v>23</v>
      </c>
      <c r="J414" s="1" t="s">
        <v>23</v>
      </c>
      <c r="K414" s="12">
        <v>21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8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475</v>
      </c>
      <c r="B415" s="1" t="str">
        <f>VLOOKUP(A415,Xtal_Templ!A:B,2,FALSE)</f>
        <v>drd2_human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7">
        <v>38</v>
      </c>
      <c r="P415" s="1">
        <f>VLOOKUP($B415&amp;"__wt",'SegEnds_Xtal_BW#'!$A:$Z,16,FALSE)</f>
        <v>62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57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36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476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66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8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54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  <row r="417" spans="1:38" x14ac:dyDescent="0.2">
      <c r="A417" s="1" t="s">
        <v>460</v>
      </c>
      <c r="B417" s="1" t="str">
        <f>VLOOKUP(A417,Xtal_Templ!A:B,2,FALSE)</f>
        <v>agtr1_human</v>
      </c>
      <c r="C417" s="5">
        <v>32</v>
      </c>
      <c r="D417" s="1">
        <v>62</v>
      </c>
      <c r="E417" s="1">
        <f>VLOOKUP($B417&amp;"__wt",'SegEnds_Xtal_BW#'!$A:$Z,5,FALSE)</f>
        <v>48</v>
      </c>
      <c r="F417" s="1">
        <f>VLOOKUP($B417&amp;"__wt",'SegEnds_Xtal_BW#'!$A:$Z,6,FALSE)</f>
        <v>51</v>
      </c>
      <c r="G417" s="1">
        <v>39</v>
      </c>
      <c r="H417" s="12">
        <v>67</v>
      </c>
      <c r="I417" s="1" t="s">
        <v>23</v>
      </c>
      <c r="J417" s="1" t="s">
        <v>23</v>
      </c>
      <c r="K417" s="12">
        <v>18</v>
      </c>
      <c r="L417" s="1">
        <f>VLOOKUP($B417&amp;"__wt",'SegEnds_Xtal_BW#'!$A:$Z,12,FALSE)</f>
        <v>56</v>
      </c>
      <c r="M417" s="1">
        <f>VLOOKUP($B417&amp;"__wt",'SegEnds_Xtal_BW#'!$A:$Z,13,FALSE)</f>
        <v>50</v>
      </c>
      <c r="N417" s="12">
        <v>57</v>
      </c>
      <c r="O417" s="87">
        <v>38</v>
      </c>
      <c r="P417" s="1">
        <f>VLOOKUP($B417&amp;"__wt",'SegEnds_Xtal_BW#'!$A:$Z,16,FALSE)</f>
        <v>64</v>
      </c>
      <c r="Q417" s="1">
        <f>VLOOKUP($B417&amp;"__wt",'SegEnds_Xtal_BW#'!$A:$Z,17,FALSE)</f>
        <v>50</v>
      </c>
      <c r="R417" s="1">
        <f>VLOOKUP($B417&amp;"__wt",'SegEnds_Xtal_BW#'!$A:$Z,18,FALSE)</f>
        <v>52</v>
      </c>
      <c r="S417" s="1">
        <v>32</v>
      </c>
      <c r="T417" s="1">
        <v>72</v>
      </c>
      <c r="U417" s="1">
        <v>29</v>
      </c>
      <c r="V417" s="1">
        <v>61</v>
      </c>
      <c r="W417" s="1">
        <v>31</v>
      </c>
      <c r="X417" s="1">
        <f>VLOOKUP($B417&amp;"__wt",'SegEnds_Xtal_BW#'!$A:$Z,24,FALSE)</f>
        <v>56</v>
      </c>
      <c r="Y417" s="1">
        <f>VLOOKUP($B417&amp;"__wt",'SegEnds_Xtal_BW#'!$A:$Z,25,FALSE)</f>
        <v>47</v>
      </c>
      <c r="Z417" s="1">
        <v>60</v>
      </c>
      <c r="AA417" s="27" t="str">
        <f>VLOOKUP(A417,Classification!A:B,2,FALSE)</f>
        <v>T</v>
      </c>
      <c r="AB417" s="1">
        <f>VLOOKUP(A417,'SegEnds_NonXtal_Prot#'!A:AL,10,FALSE)-VLOOKUP(A417,'SegEnds_NonXtal_Prot#'!A:AL,4,FALSE)</f>
        <v>31</v>
      </c>
      <c r="AC417" s="1">
        <f>VLOOKUP(A417,'SegEnds_NonXtal_Prot#'!A:AL,10,FALSE)-VLOOKUP(A417,'SegEnds_NonXtal_Prot#'!A:AL,7,FALSE)</f>
        <v>16</v>
      </c>
      <c r="AD417" s="1" t="e">
        <f>VLOOKUP(A417,'SegEnds_NonXtal_Prot#'!A:AL,13,FALSE)-VLOOKUP(A417,'SegEnds_NonXtal_Prot#'!A:AL,10,FALSE)</f>
        <v>#VALUE!</v>
      </c>
      <c r="AE417" s="1">
        <f>VLOOKUP(A417,'SegEnds_NonXtal_Prot#'!A:AL,16,FALSE)-VLOOKUP(A417,'SegEnds_NonXtal_Prot#'!A:AL,10,FALSE)</f>
        <v>53</v>
      </c>
      <c r="AF417" s="1">
        <f>VLOOKUP(A417,'SegEnds_NonXtal_Prot#'!A:AL,22,FALSE)-VLOOKUP(A417,'SegEnds_NonXtal_Prot#'!A:AL,19,FALSE)</f>
        <v>20</v>
      </c>
      <c r="AG417" s="1" t="e">
        <f>VLOOKUP(A417,'SegEnds_NonXtal_Prot#'!A:AL,28,FALSE)-VLOOKUP(A417,'SegEnds_NonXtal_Prot#'!A:AL,25,FALSE)</f>
        <v>#VALUE!</v>
      </c>
      <c r="AH417" s="1">
        <f>VLOOKUP(A417,'SegEnds_NonXtal_Prot#'!A:AL,28,FALSE)-VLOOKUP(A417,'SegEnds_NonXtal_Prot#'!A:AL,22,FALSE)</f>
        <v>59</v>
      </c>
      <c r="AI417" s="1">
        <f>VLOOKUP(A417,'SegEnds_NonXtal_Prot#'!A:AL,31,FALSE)-VLOOKUP(A417,'SegEnds_NonXtal_Prot#'!A:AL,28,FALSE)</f>
        <v>53</v>
      </c>
      <c r="AJ417" s="1">
        <f>VLOOKUP(A417,'SegEnds_NonXtal_Prot#'!A:AL,34,FALSE)-VLOOKUP(A417,'SegEnds_NonXtal_Prot#'!A:AL,31,FALSE)</f>
        <v>36</v>
      </c>
      <c r="AK417" s="1">
        <f>VLOOKUP(A417,'SegEnds_NonXtal_Prot#'!A:AL,37,FALSE)-VLOOKUP(A417,'SegEnds_NonXtal_Prot#'!A:AL,34,FALSE)</f>
        <v>10</v>
      </c>
      <c r="AL417" s="1" t="str">
        <f>IF(ISERROR(MATCH(A417,'SegEnds_Xtal_Prot#'!B:B, 0)), "NoXtal", "Xtal")</f>
        <v>NoXtal</v>
      </c>
    </row>
  </sheetData>
  <sortState ref="A2:AL417">
    <sortCondition ref="AA2:AA417"/>
    <sortCondition ref="AE2:AE417"/>
    <sortCondition ref="A2:A41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9"/>
  <sheetViews>
    <sheetView zoomScale="120" zoomScaleNormal="120" zoomScalePageLayoutView="120" workbookViewId="0">
      <pane ySplit="1" topLeftCell="A327" activePane="bottomLeft" state="frozenSplit"/>
      <selection pane="bottomLeft" activeCell="B352" sqref="B35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1199</v>
      </c>
      <c r="C1" s="8" t="s">
        <v>1056</v>
      </c>
      <c r="D1" s="41" t="s">
        <v>1077</v>
      </c>
      <c r="E1" s="8" t="s">
        <v>1057</v>
      </c>
      <c r="F1" s="41" t="s">
        <v>1073</v>
      </c>
      <c r="G1" s="41" t="s">
        <v>1078</v>
      </c>
      <c r="H1" s="41" t="s">
        <v>1074</v>
      </c>
      <c r="I1" s="41" t="s">
        <v>1058</v>
      </c>
      <c r="J1" s="41" t="s">
        <v>1079</v>
      </c>
      <c r="K1" s="8" t="s">
        <v>1059</v>
      </c>
      <c r="L1" s="8" t="s">
        <v>1075</v>
      </c>
      <c r="M1" s="41" t="s">
        <v>1080</v>
      </c>
      <c r="N1" s="8" t="s">
        <v>1076</v>
      </c>
      <c r="O1" s="8" t="s">
        <v>1060</v>
      </c>
      <c r="P1" s="41" t="s">
        <v>1081</v>
      </c>
      <c r="Q1" s="8" t="s">
        <v>1061</v>
      </c>
      <c r="R1" s="8" t="s">
        <v>1088</v>
      </c>
      <c r="S1" s="41" t="s">
        <v>1087</v>
      </c>
      <c r="T1" s="86" t="s">
        <v>1089</v>
      </c>
      <c r="U1" s="99" t="s">
        <v>1062</v>
      </c>
      <c r="V1" s="41" t="s">
        <v>1082</v>
      </c>
      <c r="W1" s="8" t="s">
        <v>1063</v>
      </c>
      <c r="X1" s="8" t="s">
        <v>1091</v>
      </c>
      <c r="Y1" s="41" t="s">
        <v>1090</v>
      </c>
      <c r="Z1" s="8" t="s">
        <v>1092</v>
      </c>
      <c r="AA1" s="8" t="s">
        <v>1064</v>
      </c>
      <c r="AB1" s="41" t="s">
        <v>1083</v>
      </c>
      <c r="AC1" s="8" t="s">
        <v>1065</v>
      </c>
      <c r="AD1" s="8" t="s">
        <v>1066</v>
      </c>
      <c r="AE1" s="41" t="s">
        <v>1084</v>
      </c>
      <c r="AF1" s="8" t="s">
        <v>1067</v>
      </c>
      <c r="AG1" s="8" t="s">
        <v>1068</v>
      </c>
      <c r="AH1" s="41" t="s">
        <v>1085</v>
      </c>
      <c r="AI1" s="8" t="s">
        <v>1069</v>
      </c>
      <c r="AJ1" s="8" t="s">
        <v>1070</v>
      </c>
      <c r="AK1" s="41" t="s">
        <v>1086</v>
      </c>
      <c r="AL1" s="8" t="s">
        <v>1071</v>
      </c>
      <c r="AM1" s="26" t="s">
        <v>99</v>
      </c>
      <c r="AN1" s="26" t="s">
        <v>1162</v>
      </c>
      <c r="AO1" s="8" t="s">
        <v>1222</v>
      </c>
      <c r="AP1" s="8" t="s">
        <v>1224</v>
      </c>
      <c r="AQ1" s="8" t="s">
        <v>1225</v>
      </c>
      <c r="AR1" s="8" t="s">
        <v>1226</v>
      </c>
      <c r="AS1" s="8" t="s">
        <v>1227</v>
      </c>
      <c r="AT1" s="8" t="s">
        <v>1228</v>
      </c>
      <c r="AU1" s="8" t="s">
        <v>1229</v>
      </c>
      <c r="AV1" s="8" t="s">
        <v>1230</v>
      </c>
      <c r="AW1" s="8" t="s">
        <v>1231</v>
      </c>
      <c r="AX1" s="8" t="s">
        <v>1232</v>
      </c>
      <c r="AY1" s="8" t="s">
        <v>1233</v>
      </c>
      <c r="AZ1" s="8" t="s">
        <v>1234</v>
      </c>
      <c r="BA1" s="8" t="s">
        <v>1301</v>
      </c>
      <c r="BB1" s="26" t="s">
        <v>1236</v>
      </c>
      <c r="BC1" s="99" t="s">
        <v>1271</v>
      </c>
      <c r="BD1" s="8" t="s">
        <v>1236</v>
      </c>
      <c r="BE1" s="8" t="s">
        <v>1238</v>
      </c>
      <c r="BF1" s="8" t="s">
        <v>1235</v>
      </c>
      <c r="BG1" s="8" t="s">
        <v>1302</v>
      </c>
    </row>
    <row r="2" spans="1:59" s="3" customFormat="1" x14ac:dyDescent="0.2">
      <c r="A2" s="3" t="s">
        <v>209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1170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1171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ccr6_human</v>
      </c>
      <c r="C10" s="3">
        <f>VLOOKUP($A10,'SegEnds_NonXtal_BW#'!$A:$Z,3,FALSE)+D10-50</f>
        <v>32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324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26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ccr6_human</v>
      </c>
      <c r="C11" s="3">
        <f>VLOOKUP($A11,'SegEnds_NonXtal_BW#'!$A:$Z,3,FALSE)+D11-50</f>
        <v>41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204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333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6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27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drd4_mouse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295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392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9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1436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1447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915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915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435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25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905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mc4r_human</v>
      </c>
      <c r="C61" s="3">
        <f>VLOOKUP($A61,'SegEnds_NonXtal_BW#'!$A:$Z,3,FALSE)+D61-50</f>
        <v>27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169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171</v>
      </c>
      <c r="AB61" s="9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208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257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294</v>
      </c>
      <c r="AM61" s="28" t="str">
        <f>VLOOKUP(A61,Classification!A:B,2,FALSE)</f>
        <v>A</v>
      </c>
      <c r="AN61" s="28" t="b">
        <f>AND(IF(Y61="-",IF(AA61-W61&gt;1,TRUE,FALSE),TRUE),IF(M61="-",IF(O61-K61&gt;3,TRUE,FALSE),TRUE),IF(AG61-AF61&gt;1,TRUE,FALS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5</v>
      </c>
      <c r="AY61" s="3">
        <f t="shared" si="11"/>
        <v>12</v>
      </c>
      <c r="AZ61" s="3">
        <f t="shared" si="12"/>
        <v>1</v>
      </c>
      <c r="BA61" s="3">
        <f>IF(ISERROR(LEN(VLOOKUP(A61,Seqs!A:E,2,FALSE))-AL61),"-",LEN(VLOOKUP(A61,Seqs!A:E,2,FALSE))-AL61)</f>
        <v>3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ada2a_human</v>
      </c>
      <c r="C62" s="3">
        <f>VLOOKUP($A62,'SegEnds_NonXtal_BW#'!$A:$Z,3,FALSE)+D62-50</f>
        <v>26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343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123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ada2b_human</v>
      </c>
      <c r="C63" s="3">
        <f>VLOOKUP($A63,'SegEnds_NonXtal_BW#'!$A:$Z,3,FALSE)+D63-50</f>
        <v>44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ada2b_human</v>
      </c>
      <c r="C64" s="3">
        <f>VLOOKUP($A64,'SegEnds_NonXtal_BW#'!$A:$Z,3,FALSE)+D64-50</f>
        <v>95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ada2a_human</v>
      </c>
      <c r="C65" s="3">
        <f>VLOOKUP($A65,'SegEnds_NonXtal_BW#'!$A:$Z,3,FALSE)+D65-50</f>
        <v>33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404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443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4</v>
      </c>
      <c r="AZ65" s="3">
        <f t="shared" si="12"/>
        <v>1</v>
      </c>
      <c r="BA65" s="3">
        <f>IF(ISERROR(LEN(VLOOKUP(A65,Seqs!A:E,2,FALSE))-AL65),"-",LEN(VLOOKUP(A65,Seqs!A:E,2,FALSE))-AL65)</f>
        <v>7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ada2b_human</v>
      </c>
      <c r="C66" s="3">
        <f>VLOOKUP($A66,'SegEnds_NonXtal_BW#'!$A:$Z,3,FALSE)+D66-50</f>
        <v>11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ada2c_human</v>
      </c>
      <c r="C67" s="3">
        <f>VLOOKUP($A67,'SegEnds_NonXtal_BW#'!$A:$Z,3,FALSE)+D67-50</f>
        <v>47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409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6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122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2" si="39">IF(ISERROR(F68-E68),"-",F68-E68)</f>
        <v>1</v>
      </c>
      <c r="AQ68" s="3">
        <f t="shared" ref="AQ68:AQ132" si="40">IF(ISERROR(I68-H68),"-",I68-H68)</f>
        <v>1</v>
      </c>
      <c r="AR68" s="3">
        <f t="shared" ref="AR68:AR132" si="41">IF(ISERROR(L68-K68),"-",L68-K68)</f>
        <v>1</v>
      </c>
      <c r="AS68" s="3">
        <f t="shared" ref="AS68:AS132" si="42">IF(ISERROR(O68-N68),"-",O68-N68)</f>
        <v>1</v>
      </c>
      <c r="AT68" s="3">
        <f t="shared" ref="AT68:AT132" si="43">IF(ISERROR(R68-Q68),"-",R68-Q68)</f>
        <v>1</v>
      </c>
      <c r="AU68" s="3">
        <f t="shared" ref="AU68:AU132" si="44">IF(ISERROR(U68-T68),"-",U68-T68)</f>
        <v>1</v>
      </c>
      <c r="AV68" s="3">
        <f t="shared" ref="AV68:AV132" si="45">IF(ISERROR(X68-W68),"-",X68-W68)</f>
        <v>19</v>
      </c>
      <c r="AW68" s="3">
        <f t="shared" ref="AW68:AW132" si="46">IF(ISERROR(AA68-Z68),"-",AA68-Z68)</f>
        <v>3</v>
      </c>
      <c r="AX68" s="3">
        <f t="shared" ref="AX68:AX132" si="47">IF(ISERROR(AD68-AC68),"-",AD68-AC68)</f>
        <v>53</v>
      </c>
      <c r="AY68" s="3">
        <f t="shared" ref="AY68:AY132" si="48">IF(ISERROR(AG68-AF68),"-",AG68-AF68)</f>
        <v>5</v>
      </c>
      <c r="AZ68" s="3">
        <f t="shared" ref="AZ68:AZ132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2" si="50">J68-D68</f>
        <v>28</v>
      </c>
      <c r="BC68" s="9">
        <f t="shared" ref="BC68:BC132" si="51">IF(ISERROR(V68-S68),"-",V68-S68)</f>
        <v>20</v>
      </c>
      <c r="BD68" s="3">
        <f t="shared" ref="BD68:BD132" si="52">J68-D68</f>
        <v>28</v>
      </c>
      <c r="BE68" s="3">
        <f t="shared" ref="BE68:BE132" si="53">AE68-AB68</f>
        <v>103</v>
      </c>
    </row>
    <row r="69" spans="1:58" s="3" customFormat="1" ht="17" customHeight="1" x14ac:dyDescent="0.2">
      <c r="A69" s="3" t="s">
        <v>907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105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3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97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101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97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1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97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1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2" si="61">G90-2</f>
        <v>145</v>
      </c>
      <c r="G90" s="3">
        <v>147</v>
      </c>
      <c r="H90" s="3">
        <f t="shared" ref="H90:H99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2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8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1" si="65">M93-1</f>
        <v>116</v>
      </c>
      <c r="M93" s="3">
        <v>117</v>
      </c>
      <c r="N93" s="3">
        <f t="shared" ref="N93:N101" si="66">M93+2</f>
        <v>119</v>
      </c>
      <c r="O93" s="3">
        <f t="shared" ref="O93:O101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1167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98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2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1690</v>
      </c>
      <c r="B98" s="3" t="str">
        <f>LOWER(VLOOKUP(A98,Xtal_Templ!A:B,2,FALSE))</f>
        <v>drd4_mouse</v>
      </c>
      <c r="C98" s="3">
        <f>VLOOKUP($A98,'SegEnds_NonXtal_BW#'!$A:$Z,3,FALSE)+D98-50</f>
        <v>28</v>
      </c>
      <c r="D98" s="3">
        <v>49</v>
      </c>
      <c r="E98" s="3">
        <f>IF(ISERROR(VLOOKUP($A98,'SegEnds_NonXtal_BW#'!$A:$Z,4,FALSE)+VLOOKUP($A98,A:AL,4,FALSE)-50),"-",(VLOOKUP($A98,'SegEnds_NonXtal_BW#'!$A:$Z,4,FALSE)+VLOOKUP($A98,A:AL,4,FALSE)-50))</f>
        <v>59</v>
      </c>
      <c r="F98" s="3">
        <f t="shared" ref="F98" si="68">G98-2</f>
        <v>60</v>
      </c>
      <c r="G98" s="3">
        <v>62</v>
      </c>
      <c r="H98" s="3">
        <f t="shared" ref="H98" si="69">G98+1</f>
        <v>63</v>
      </c>
      <c r="I98" s="3">
        <f t="shared" ref="I98" si="70">H98+1</f>
        <v>64</v>
      </c>
      <c r="J98" s="3">
        <v>77</v>
      </c>
      <c r="K98" s="3">
        <f>VLOOKUP($A98,'SegEnds_NonXtal_BW#'!$A:$Z,8,FALSE)+VLOOKUP($A98,A:AL,10,FALSE)-50</f>
        <v>95</v>
      </c>
      <c r="L98" s="3">
        <f t="shared" ref="L98" si="71">M98-1</f>
        <v>97</v>
      </c>
      <c r="M98" s="3">
        <v>98</v>
      </c>
      <c r="N98" s="3">
        <f t="shared" ref="N98" si="72">M98+2</f>
        <v>100</v>
      </c>
      <c r="O98" s="3">
        <f t="shared" ref="O98" si="73">N98+1</f>
        <v>101</v>
      </c>
      <c r="P98" s="3">
        <v>130</v>
      </c>
      <c r="Q98" s="3">
        <f>VLOOKUP($A98,'SegEnds_NonXtal_BW#'!$A:$Z,12,FALSE)+VLOOKUP($A98,A:AL,16,FALSE)-50</f>
        <v>136</v>
      </c>
      <c r="R98" s="3">
        <f>IF(ISERROR(VLOOKUP($A98,'SegEnds_NonXtal_BW#'!$A:$Z,13,FALSE)+VLOOKUP($A98,A:AL,19,FALSE)-50),"-",VLOOKUP($A98,'SegEnds_NonXtal_BW#'!$A:$Z,13,FALSE)+VLOOKUP($A98,A:AL,19,FALSE)-50)</f>
        <v>137</v>
      </c>
      <c r="S98" s="3">
        <v>137</v>
      </c>
      <c r="T98" s="100">
        <f>IF(ISERROR(VLOOKUP($A98,'SegEnds_NonXtal_BW#'!$A:$Z,14,FALSE)+VLOOKUP($A98,A:AL,19,FALSE)-50),"-",(VLOOKUP($A98,'SegEnds_NonXtal_BW#'!$A:$Z,14,FALSE)+VLOOKUP($A98,A:AL,19,FALSE)-50))</f>
        <v>140</v>
      </c>
      <c r="U98" s="9">
        <f>IF(ISERROR(VLOOKUP($A98,'SegEnds_NonXtal_BW#'!$A:$Z,15,FALSE)+VLOOKUP($A98,A:AL,22,FALSE)-50),"-",VLOOKUP($A98,'SegEnds_NonXtal_BW#'!$A:$Z,15,FALSE)+VLOOKUP($A98,A:AL,22,FALSE)-50)</f>
        <v>141</v>
      </c>
      <c r="V98" s="3">
        <v>155</v>
      </c>
      <c r="W98" s="3">
        <f>IF(ISERROR(VLOOKUP($A98,'SegEnds_NonXtal_BW#'!$A:$Z,16,FALSE)+VLOOKUP($A98,A:AL,22,FALSE)-50),"-",(VLOOKUP($A98,'SegEnds_NonXtal_BW#'!$A:$Z,16,FALSE)+VLOOKUP($A98,A:AL,22,FALSE)-50))</f>
        <v>168</v>
      </c>
      <c r="X98" s="3">
        <f>IF(ISERROR(VLOOKUP($A98,'SegEnds_NonXtal_BW#'!$A:$Z,17,FALSE)+VLOOKUP($A98,A:AL,25,FALSE)-50),"-",(VLOOKUP($A98,'SegEnds_NonXtal_BW#'!$A:$Z,17,FALSE)+VLOOKUP($A98,A:AL,25,FALSE)-50))</f>
        <v>180</v>
      </c>
      <c r="Y98" s="3">
        <v>180</v>
      </c>
      <c r="Z98" s="3">
        <f t="shared" ref="Z98" si="74">Y98+2</f>
        <v>182</v>
      </c>
      <c r="AA98" s="3">
        <f>IF(ISERROR(VLOOKUP($A98,'SegEnds_NonXtal_BW#'!$A:$Z,19,FALSE)+VLOOKUP($A98,A:AL,28,FALSE)-50),"-",(VLOOKUP($A98,'SegEnds_NonXtal_BW#'!$A:$Z,19,FALSE)+VLOOKUP($A98,A:AL,28,FALSE)-50))</f>
        <v>184</v>
      </c>
      <c r="AB98" s="3">
        <v>199</v>
      </c>
      <c r="AC98" s="3">
        <f>IF(ISERROR((VLOOKUP($A98,'SegEnds_NonXtal_BW#'!$A:$Z,20,FALSE)+VLOOKUP($A98,A:AL,28,FALSE)-50)),"-",(VLOOKUP($A98,'SegEnds_NonXtal_BW#'!$A:$Z,20,FALSE)+VLOOKUP($A98,A:AL,28,FALSE)-50))</f>
        <v>225</v>
      </c>
      <c r="AD98" s="3">
        <f>IF(ISERROR(VLOOKUP($A98,'SegEnds_NonXtal_BW#'!$A:$Z,21,FALSE)+VLOOKUP($A98,A:AL,31,FALSE)-50),"-",(VLOOKUP($A98,'SegEnds_NonXtal_BW#'!$A:$Z,21,FALSE)+VLOOKUP($A98,A:AL,31,FALSE)-50))</f>
        <v>303</v>
      </c>
      <c r="AE98" s="3">
        <v>329</v>
      </c>
      <c r="AF98" s="3">
        <f>IF(ISERROR((VLOOKUP($A98,'SegEnds_NonXtal_BW#'!$A:$Z,22,FALSE)+VLOOKUP($A98,A:AL,31,FALSE)-50)),"-",(VLOOKUP($A98,'SegEnds_NonXtal_BW#'!$A:$Z,22,FALSE)+VLOOKUP($A98,A:AL,31,FALSE)-50))</f>
        <v>340</v>
      </c>
      <c r="AG98" s="3">
        <f>IF(ISERROR(VLOOKUP($A98,'SegEnds_NonXtal_BW#'!$A:$Z,23,FALSE)+VLOOKUP($A98,A:AL,34,FALSE)-50),"-",(VLOOKUP($A98,'SegEnds_NonXtal_BW#'!$A:$Z,23,FALSE)+VLOOKUP($A98,A:AL,34,FALSE)-50))</f>
        <v>346</v>
      </c>
      <c r="AH98" s="3">
        <v>365</v>
      </c>
      <c r="AI98" s="3">
        <f>IF(ISERROR((VLOOKUP($A98,'SegEnds_NonXtal_BW#'!$A:$Z,24,FALSE)+VLOOKUP($A98,A:AL,34,FALSE)-50)),"-",(VLOOKUP($A98,'SegEnds_NonXtal_BW#'!$A:$Z,24,FALSE)+VLOOKUP($A98,A:AL,34,FALSE)-50))</f>
        <v>371</v>
      </c>
      <c r="AJ98" s="3">
        <f>IF(ISERROR(VLOOKUP($A98,'SegEnds_NonXtal_BW#'!$A:$Z,25,FALSE)+VLOOKUP($A98,A:AL,37,FALSE)-50),"-",(VLOOKUP($A98,'SegEnds_NonXtal_BW#'!$A:$Z,25,FALSE)+VLOOKUP($A98,A:AL,37,FALSE)-50))</f>
        <v>372</v>
      </c>
      <c r="AK98" s="3">
        <v>375</v>
      </c>
      <c r="AL98" s="3">
        <f>IF(ISERROR((VLOOKUP($A98,'SegEnds_NonXtal_BW#'!$A:$Z,26,FALSE)+VLOOKUP($A98,A:AL,37,FALSE)-50)),"-",(VLOOKUP($A98,'SegEnds_NonXtal_BW#'!$A:$Z,26,FALSE)+VLOOKUP($A98,A:AL,37,FALSE)-50))</f>
        <v>384</v>
      </c>
      <c r="AM98" s="28" t="str">
        <f>VLOOKUP(A98,Classification!A:B,2,FALSE)</f>
        <v>A</v>
      </c>
      <c r="AN98" s="28" t="b">
        <f t="shared" ref="AN98" si="75">AND(IF(Y98="-",IF(AA98-W98&gt;3,TRUE,FALSE),TRUE),IF(M98="-",IF(O98-K98&gt;3,TRUE,FALSE),TRUE),IF(AG98-AF98&gt;1,TRUE,FALS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 t="shared" ref="AP98" si="76">IF(ISERROR(F98-E98),"-",F98-E98)</f>
        <v>1</v>
      </c>
      <c r="AQ98" s="3">
        <f t="shared" ref="AQ98" si="77">IF(ISERROR(I98-H98),"-",I98-H98)</f>
        <v>1</v>
      </c>
      <c r="AR98" s="3">
        <f t="shared" ref="AR98" si="78">IF(ISERROR(L98-K98),"-",L98-K98)</f>
        <v>2</v>
      </c>
      <c r="AS98" s="3">
        <f t="shared" ref="AS98" si="79">IF(ISERROR(O98-N98),"-",O98-N98)</f>
        <v>1</v>
      </c>
      <c r="AT98" s="3">
        <f t="shared" ref="AT98" si="80">IF(ISERROR(R98-Q98),"-",R98-Q98)</f>
        <v>1</v>
      </c>
      <c r="AU98" s="3">
        <f t="shared" ref="AU98" si="81">IF(ISERROR(U98-T98),"-",U98-T98)</f>
        <v>1</v>
      </c>
      <c r="AV98" s="3">
        <f t="shared" ref="AV98" si="82">IF(ISERROR(X98-W98),"-",X98-W98)</f>
        <v>12</v>
      </c>
      <c r="AW98" s="3">
        <f t="shared" ref="AW98" si="83">IF(ISERROR(AA98-Z98),"-",AA98-Z98)</f>
        <v>2</v>
      </c>
      <c r="AX98" s="3">
        <f t="shared" ref="AX98" si="84">IF(ISERROR(AD98-AC98),"-",AD98-AC98)</f>
        <v>78</v>
      </c>
      <c r="AY98" s="3">
        <f t="shared" ref="AY98" si="85">IF(ISERROR(AG98-AF98),"-",AG98-AF98)</f>
        <v>6</v>
      </c>
      <c r="AZ98" s="3">
        <f t="shared" ref="AZ98" si="86">IF(ISERROR(AJ98-AI98),"-",AJ98-AI98)</f>
        <v>1</v>
      </c>
      <c r="BA98" s="3">
        <f>IF(ISERROR(LEN(VLOOKUP(A98,Seqs!A:E,2,FALSE))-AL98),"-",LEN(VLOOKUP(A98,Seqs!A:E,2,FALSE))-AL98)</f>
        <v>3</v>
      </c>
      <c r="BB98" s="16">
        <f t="shared" ref="BB98" si="87">J98-D98</f>
        <v>28</v>
      </c>
      <c r="BC98" s="9">
        <f t="shared" ref="BC98" si="88">IF(ISERROR(V98-S98),"-",V98-S98)</f>
        <v>18</v>
      </c>
      <c r="BD98" s="3">
        <f t="shared" ref="BD98" si="89">J98-D98</f>
        <v>28</v>
      </c>
      <c r="BE98" s="3">
        <f t="shared" ref="BE98" si="90">AE98-AB98</f>
        <v>130</v>
      </c>
      <c r="BF98" s="3">
        <f>AH98-AE98</f>
        <v>36</v>
      </c>
    </row>
    <row r="99" spans="1:58" s="3" customFormat="1" x14ac:dyDescent="0.2">
      <c r="A99" s="3" t="s">
        <v>194</v>
      </c>
      <c r="B99" s="3" t="str">
        <f>LOWER(VLOOKUP(A99,Xtal_Templ!A:B,2,FALSE))</f>
        <v>adrb2_human</v>
      </c>
      <c r="C99" s="3">
        <f>VLOOKUP($A99,'SegEnds_NonXtal_BW#'!$A:$Z,3,FALSE)+D99-50</f>
        <v>33</v>
      </c>
      <c r="D99" s="3">
        <v>58</v>
      </c>
      <c r="E99" s="3">
        <f>IF(ISERROR(VLOOKUP($A99,'SegEnds_NonXtal_BW#'!$A:$Z,4,FALSE)+VLOOKUP($A99,A:AL,4,FALSE)-50),"-",(VLOOKUP($A99,'SegEnds_NonXtal_BW#'!$A:$Z,4,FALSE)+VLOOKUP($A99,A:AL,4,FALSE)-50))</f>
        <v>68</v>
      </c>
      <c r="F99" s="3">
        <f t="shared" si="61"/>
        <v>69</v>
      </c>
      <c r="G99" s="3">
        <v>71</v>
      </c>
      <c r="H99" s="3">
        <f t="shared" si="62"/>
        <v>72</v>
      </c>
      <c r="I99" s="3">
        <f t="shared" si="63"/>
        <v>73</v>
      </c>
      <c r="J99" s="3">
        <v>87</v>
      </c>
      <c r="K99" s="3">
        <f>VLOOKUP($A99,'SegEnds_NonXtal_BW#'!$A:$Z,8,FALSE)+VLOOKUP($A99,A:AL,10,FALSE)-50</f>
        <v>103</v>
      </c>
      <c r="L99" s="3">
        <f t="shared" si="65"/>
        <v>106</v>
      </c>
      <c r="M99" s="3">
        <v>107</v>
      </c>
      <c r="N99" s="3">
        <f t="shared" si="66"/>
        <v>109</v>
      </c>
      <c r="O99" s="3">
        <f t="shared" si="67"/>
        <v>110</v>
      </c>
      <c r="P99" s="3">
        <v>138</v>
      </c>
      <c r="Q99" s="3">
        <f>VLOOKUP($A99,'SegEnds_NonXtal_BW#'!$A:$Z,12,FALSE)+VLOOKUP($A99,A:AL,16,FALSE)-50</f>
        <v>144</v>
      </c>
      <c r="R99" s="3">
        <f>IF(ISERROR(VLOOKUP($A99,'SegEnds_NonXtal_BW#'!$A:$Z,13,FALSE)+VLOOKUP($A99,A:AL,19,FALSE)-50),"-",VLOOKUP($A99,'SegEnds_NonXtal_BW#'!$A:$Z,13,FALSE)+VLOOKUP($A99,A:AL,19,FALSE)-50)</f>
        <v>145</v>
      </c>
      <c r="S99" s="3">
        <v>145</v>
      </c>
      <c r="T99" s="100">
        <f>IF(ISERROR(VLOOKUP($A99,'SegEnds_NonXtal_BW#'!$A:$Z,14,FALSE)+VLOOKUP($A99,A:AL,19,FALSE)-50),"-",(VLOOKUP($A99,'SegEnds_NonXtal_BW#'!$A:$Z,14,FALSE)+VLOOKUP($A99,A:AL,19,FALSE)-50))</f>
        <v>152</v>
      </c>
      <c r="U99" s="9">
        <f>IF(ISERROR(VLOOKUP($A99,'SegEnds_NonXtal_BW#'!$A:$Z,15,FALSE)+VLOOKUP($A99,A:AL,22,FALSE)-50),"-",VLOOKUP($A99,'SegEnds_NonXtal_BW#'!$A:$Z,15,FALSE)+VLOOKUP($A99,A:AL,22,FALSE)-50)</f>
        <v>153</v>
      </c>
      <c r="V99" s="3">
        <v>165</v>
      </c>
      <c r="W99" s="3">
        <f>IF(ISERROR(VLOOKUP($A99,'SegEnds_NonXtal_BW#'!$A:$Z,16,FALSE)+VLOOKUP($A99,A:AL,22,FALSE)-50),"-",(VLOOKUP($A99,'SegEnds_NonXtal_BW#'!$A:$Z,16,FALSE)+VLOOKUP($A99,A:AL,22,FALSE)-50))</f>
        <v>179</v>
      </c>
      <c r="X99" s="3">
        <f>IF(ISERROR(VLOOKUP($A99,'SegEnds_NonXtal_BW#'!$A:$Z,17,FALSE)+VLOOKUP($A99,A:AL,25,FALSE)-50),"-",(VLOOKUP($A99,'SegEnds_NonXtal_BW#'!$A:$Z,17,FALSE)+VLOOKUP($A99,A:AL,25,FALSE)-50))</f>
        <v>217</v>
      </c>
      <c r="Y99" s="3">
        <v>217</v>
      </c>
      <c r="Z99" s="3">
        <f t="shared" si="64"/>
        <v>219</v>
      </c>
      <c r="AA99" s="3">
        <f>IF(ISERROR(VLOOKUP($A99,'SegEnds_NonXtal_BW#'!$A:$Z,19,FALSE)+VLOOKUP($A99,A:AL,28,FALSE)-50),"-",(VLOOKUP($A99,'SegEnds_NonXtal_BW#'!$A:$Z,19,FALSE)+VLOOKUP($A99,A:AL,28,FALSE)-50))</f>
        <v>222</v>
      </c>
      <c r="AB99" s="3">
        <v>237</v>
      </c>
      <c r="AC99" s="3">
        <f>IF(ISERROR((VLOOKUP($A99,'SegEnds_NonXtal_BW#'!$A:$Z,20,FALSE)+VLOOKUP($A99,A:AL,28,FALSE)-50)),"-",(VLOOKUP($A99,'SegEnds_NonXtal_BW#'!$A:$Z,20,FALSE)+VLOOKUP($A99,A:AL,28,FALSE)-50))</f>
        <v>263</v>
      </c>
      <c r="AD99" s="3">
        <f>IF(ISERROR(VLOOKUP($A99,'SegEnds_NonXtal_BW#'!$A:$Z,21,FALSE)+VLOOKUP($A99,A:AL,31,FALSE)-50),"-",(VLOOKUP($A99,'SegEnds_NonXtal_BW#'!$A:$Z,21,FALSE)+VLOOKUP($A99,A:AL,31,FALSE)-50))</f>
        <v>285</v>
      </c>
      <c r="AE99" s="3">
        <v>311</v>
      </c>
      <c r="AF99" s="3">
        <f>IF(ISERROR((VLOOKUP($A99,'SegEnds_NonXtal_BW#'!$A:$Z,22,FALSE)+VLOOKUP($A99,A:AL,31,FALSE)-50)),"-",(VLOOKUP($A99,'SegEnds_NonXtal_BW#'!$A:$Z,22,FALSE)+VLOOKUP($A99,A:AL,31,FALSE)-50))</f>
        <v>325</v>
      </c>
      <c r="AG99" s="3">
        <f>IF(ISERROR(VLOOKUP($A99,'SegEnds_NonXtal_BW#'!$A:$Z,23,FALSE)+VLOOKUP($A99,A:AL,34,FALSE)-50),"-",(VLOOKUP($A99,'SegEnds_NonXtal_BW#'!$A:$Z,23,FALSE)+VLOOKUP($A99,A:AL,34,FALSE)-50))</f>
        <v>330</v>
      </c>
      <c r="AH99" s="3">
        <v>356</v>
      </c>
      <c r="AI99" s="3">
        <v>362</v>
      </c>
      <c r="AJ99" s="3">
        <f>IF(ISERROR(VLOOKUP($A99,'SegEnds_NonXtal_BW#'!$A:$Z,25,FALSE)+VLOOKUP($A99,A:AL,37,FALSE)-50),"-",(VLOOKUP($A99,'SegEnds_NonXtal_BW#'!$A:$Z,25,FALSE)+VLOOKUP($A99,A:AL,37,FALSE)-50))</f>
        <v>363</v>
      </c>
      <c r="AK99" s="3">
        <v>366</v>
      </c>
      <c r="AL99" s="3">
        <f>IF(ISERROR((VLOOKUP($A99,'SegEnds_NonXtal_BW#'!$A:$Z,26,FALSE)+VLOOKUP($A99,A:AL,37,FALSE)-50)),"-",(VLOOKUP($A99,'SegEnds_NonXtal_BW#'!$A:$Z,26,FALSE)+VLOOKUP($A99,A:AL,37,FALSE)-50))</f>
        <v>375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3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38</v>
      </c>
      <c r="AW99" s="3">
        <f t="shared" si="46"/>
        <v>3</v>
      </c>
      <c r="AX99" s="3">
        <f t="shared" si="47"/>
        <v>22</v>
      </c>
      <c r="AY99" s="3">
        <f t="shared" si="48"/>
        <v>5</v>
      </c>
      <c r="AZ99" s="3">
        <f t="shared" si="49"/>
        <v>1</v>
      </c>
      <c r="BA99" s="3">
        <f>IF(ISERROR(LEN(VLOOKUP(A99,Seqs!A:E,2,FALSE))-AL99),"-",LEN(VLOOKUP(A99,Seqs!A:E,2,FALSE))-AL99)</f>
        <v>102</v>
      </c>
      <c r="BB99" s="16">
        <f t="shared" si="50"/>
        <v>29</v>
      </c>
      <c r="BC99" s="9">
        <f t="shared" si="51"/>
        <v>20</v>
      </c>
      <c r="BD99" s="3">
        <f t="shared" si="52"/>
        <v>29</v>
      </c>
      <c r="BE99" s="3">
        <f t="shared" si="53"/>
        <v>74</v>
      </c>
    </row>
    <row r="100" spans="1:58" s="3" customFormat="1" x14ac:dyDescent="0.2">
      <c r="A100" s="3" t="s">
        <v>195</v>
      </c>
      <c r="B100" s="3" t="str">
        <f>LOWER(VLOOKUP(A100,Xtal_Templ!A:B,2,FALSE))</f>
        <v>ednrb_human</v>
      </c>
      <c r="C100" s="3">
        <f>VLOOKUP($A100,'SegEnds_NonXtal_BW#'!$A:$Z,3,FALSE)+D100-50</f>
        <v>70</v>
      </c>
      <c r="D100" s="3">
        <v>98</v>
      </c>
      <c r="E100" s="3">
        <f>IF(ISERROR(VLOOKUP($A100,'SegEnds_NonXtal_BW#'!$A:$Z,4,FALSE)+VLOOKUP($A100,A:AL,4,FALSE)-50),"-",(VLOOKUP($A100,'SegEnds_NonXtal_BW#'!$A:$Z,4,FALSE)+VLOOKUP($A100,A:AL,4,FALSE)-50))</f>
        <v>108</v>
      </c>
      <c r="F100" s="3">
        <f t="shared" si="61"/>
        <v>109</v>
      </c>
      <c r="G100" s="3">
        <v>111</v>
      </c>
      <c r="H100" s="3">
        <v>113</v>
      </c>
      <c r="I100" s="3">
        <f t="shared" si="63"/>
        <v>114</v>
      </c>
      <c r="J100" s="3">
        <v>126</v>
      </c>
      <c r="K100" s="3">
        <f>VLOOKUP($A100,'SegEnds_NonXtal_BW#'!$A:$Z,8,FALSE)+VLOOKUP($A100,A:AL,10,FALSE)-50</f>
        <v>143</v>
      </c>
      <c r="L100" s="3">
        <f t="shared" si="65"/>
        <v>145</v>
      </c>
      <c r="M100" s="3">
        <v>146</v>
      </c>
      <c r="N100" s="3">
        <f t="shared" si="66"/>
        <v>148</v>
      </c>
      <c r="O100" s="3">
        <f t="shared" si="67"/>
        <v>149</v>
      </c>
      <c r="P100" s="3">
        <v>183</v>
      </c>
      <c r="Q100" s="3">
        <f>VLOOKUP($A100,'SegEnds_NonXtal_BW#'!$A:$Z,12,FALSE)+VLOOKUP($A100,A:AL,16,FALSE)-50</f>
        <v>189</v>
      </c>
      <c r="R100" s="3">
        <f>IF(ISERROR(VLOOKUP($A100,'SegEnds_NonXtal_BW#'!$A:$Z,13,FALSE)+VLOOKUP($A100,A:AL,19,FALSE)-50),"-",VLOOKUP($A100,'SegEnds_NonXtal_BW#'!$A:$Z,13,FALSE)+VLOOKUP($A100,A:AL,19,FALSE)-50)</f>
        <v>190</v>
      </c>
      <c r="S100" s="3">
        <v>190</v>
      </c>
      <c r="T100" s="100">
        <f>IF(ISERROR(VLOOKUP($A100,'SegEnds_NonXtal_BW#'!$A:$Z,14,FALSE)+VLOOKUP($A100,A:AL,19,FALSE)-50),"-",(VLOOKUP($A100,'SegEnds_NonXtal_BW#'!$A:$Z,14,FALSE)+VLOOKUP($A100,A:AL,19,FALSE)-50))</f>
        <v>197</v>
      </c>
      <c r="U100" s="9">
        <f>IF(ISERROR(VLOOKUP($A100,'SegEnds_NonXtal_BW#'!$A:$Z,15,FALSE)+VLOOKUP($A100,A:AL,22,FALSE)-50),"-",VLOOKUP($A100,'SegEnds_NonXtal_BW#'!$A:$Z,15,FALSE)+VLOOKUP($A100,A:AL,22,FALSE)-50)</f>
        <v>198</v>
      </c>
      <c r="V100" s="3">
        <v>210</v>
      </c>
      <c r="W100" s="3">
        <f>IF(ISERROR(VLOOKUP($A100,'SegEnds_NonXtal_BW#'!$A:$Z,16,FALSE)+VLOOKUP($A100,A:AL,22,FALSE)-50),"-",(VLOOKUP($A100,'SegEnds_NonXtal_BW#'!$A:$Z,16,FALSE)+VLOOKUP($A100,A:AL,22,FALSE)-50))</f>
        <v>224</v>
      </c>
      <c r="X100" s="3">
        <f>IF(ISERROR(VLOOKUP($A100,'SegEnds_NonXtal_BW#'!$A:$Z,17,FALSE)+VLOOKUP($A100,A:AL,25,FALSE)-50),"-",(VLOOKUP($A100,'SegEnds_NonXtal_BW#'!$A:$Z,17,FALSE)+VLOOKUP($A100,A:AL,25,FALSE)-50))</f>
        <v>239</v>
      </c>
      <c r="Y100" s="3">
        <v>239</v>
      </c>
      <c r="Z100" s="3">
        <f t="shared" si="64"/>
        <v>241</v>
      </c>
      <c r="AA100" s="3">
        <f>IF(ISERROR(VLOOKUP($A100,'SegEnds_NonXtal_BW#'!$A:$Z,19,FALSE)+VLOOKUP($A100,A:AL,28,FALSE)-50),"-",(VLOOKUP($A100,'SegEnds_NonXtal_BW#'!$A:$Z,19,FALSE)+VLOOKUP($A100,A:AL,28,FALSE)-50))</f>
        <v>245</v>
      </c>
      <c r="AB100" s="3">
        <v>267</v>
      </c>
      <c r="AC100" s="3">
        <f>IF(ISERROR((VLOOKUP($A100,'SegEnds_NonXtal_BW#'!$A:$Z,20,FALSE)+VLOOKUP($A100,A:AL,28,FALSE)-50)),"-",(VLOOKUP($A100,'SegEnds_NonXtal_BW#'!$A:$Z,20,FALSE)+VLOOKUP($A100,A:AL,28,FALSE)-50))</f>
        <v>289</v>
      </c>
      <c r="AD100" s="3">
        <f>IF(ISERROR(VLOOKUP($A100,'SegEnds_NonXtal_BW#'!$A:$Z,21,FALSE)+VLOOKUP($A100,A:AL,31,FALSE)-50),"-",(VLOOKUP($A100,'SegEnds_NonXtal_BW#'!$A:$Z,21,FALSE)+VLOOKUP($A100,A:AL,31,FALSE)-50))</f>
        <v>295</v>
      </c>
      <c r="AE100" s="3">
        <v>321</v>
      </c>
      <c r="AF100" s="3">
        <f>IF(ISERROR((VLOOKUP($A100,'SegEnds_NonXtal_BW#'!$A:$Z,22,FALSE)+VLOOKUP($A100,A:AL,31,FALSE)-50)),"-",(VLOOKUP($A100,'SegEnds_NonXtal_BW#'!$A:$Z,22,FALSE)+VLOOKUP($A100,A:AL,31,FALSE)-50))</f>
        <v>333</v>
      </c>
      <c r="AG100" s="3">
        <f>IF(ISERROR(VLOOKUP($A100,'SegEnds_NonXtal_BW#'!$A:$Z,23,FALSE)+VLOOKUP($A100,A:AL,34,FALSE)-50),"-",(VLOOKUP($A100,'SegEnds_NonXtal_BW#'!$A:$Z,23,FALSE)+VLOOKUP($A100,A:AL,34,FALSE)-50))</f>
        <v>340</v>
      </c>
      <c r="AH100" s="3">
        <v>366</v>
      </c>
      <c r="AI100" s="3">
        <f>IF(ISERROR((VLOOKUP($A100,'SegEnds_NonXtal_BW#'!$A:$Z,24,FALSE)+VLOOKUP($A100,A:AL,34,FALSE)-50)),"-",(VLOOKUP($A100,'SegEnds_NonXtal_BW#'!$A:$Z,24,FALSE)+VLOOKUP($A100,A:AL,34,FALSE)-50))</f>
        <v>372</v>
      </c>
      <c r="AJ100" s="3">
        <f>IF(ISERROR(VLOOKUP($A100,'SegEnds_NonXtal_BW#'!$A:$Z,25,FALSE)+VLOOKUP($A100,A:AL,37,FALSE)-50),"-",(VLOOKUP($A100,'SegEnds_NonXtal_BW#'!$A:$Z,25,FALSE)+VLOOKUP($A100,A:AL,37,FALSE)-50))</f>
        <v>373</v>
      </c>
      <c r="AK100" s="3">
        <v>376</v>
      </c>
      <c r="AL100" s="3">
        <f>IF(ISERROR((VLOOKUP($A100,'SegEnds_NonXtal_BW#'!$A:$Z,26,FALSE)+VLOOKUP($A100,A:AL,37,FALSE)-50)),"-",(VLOOKUP($A100,'SegEnds_NonXtal_BW#'!$A:$Z,26,FALSE)+VLOOKUP($A100,A:AL,37,FALSE)-50))</f>
        <v>386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NoXtal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4</v>
      </c>
      <c r="AX100" s="3">
        <f t="shared" si="47"/>
        <v>6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41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54</v>
      </c>
    </row>
    <row r="101" spans="1:58" s="3" customFormat="1" x14ac:dyDescent="0.2">
      <c r="A101" s="3" t="s">
        <v>196</v>
      </c>
      <c r="B101" s="3" t="str">
        <f>LOWER(VLOOKUP(A101,Xtal_Templ!A:B,2,FALSE))</f>
        <v>ednrb_human</v>
      </c>
      <c r="C101" s="3">
        <f>VLOOKUP($A101,'SegEnds_NonXtal_BW#'!$A:$Z,3,FALSE)+D101-50</f>
        <v>91</v>
      </c>
      <c r="D101" s="3">
        <v>119</v>
      </c>
      <c r="E101" s="3">
        <f>IF(ISERROR(VLOOKUP($A101,'SegEnds_NonXtal_BW#'!$A:$Z,4,FALSE)+VLOOKUP($A101,A:AL,4,FALSE)-50),"-",(VLOOKUP($A101,'SegEnds_NonXtal_BW#'!$A:$Z,4,FALSE)+VLOOKUP($A101,A:AL,4,FALSE)-50))</f>
        <v>129</v>
      </c>
      <c r="F101" s="3">
        <f t="shared" si="61"/>
        <v>130</v>
      </c>
      <c r="G101" s="3">
        <v>132</v>
      </c>
      <c r="H101" s="3">
        <v>134</v>
      </c>
      <c r="I101" s="3">
        <f t="shared" si="63"/>
        <v>135</v>
      </c>
      <c r="J101" s="3">
        <v>147</v>
      </c>
      <c r="K101" s="3">
        <f>VLOOKUP($A101,'SegEnds_NonXtal_BW#'!$A:$Z,8,FALSE)+VLOOKUP($A101,A:AL,10,FALSE)-50</f>
        <v>164</v>
      </c>
      <c r="L101" s="3">
        <f t="shared" si="65"/>
        <v>166</v>
      </c>
      <c r="M101" s="3">
        <v>167</v>
      </c>
      <c r="N101" s="3">
        <f t="shared" si="66"/>
        <v>169</v>
      </c>
      <c r="O101" s="3">
        <f t="shared" si="67"/>
        <v>170</v>
      </c>
      <c r="P101" s="3">
        <v>199</v>
      </c>
      <c r="Q101" s="3">
        <f>VLOOKUP($A101,'SegEnds_NonXtal_BW#'!$A:$Z,12,FALSE)+VLOOKUP($A101,A:AL,16,FALSE)-50</f>
        <v>205</v>
      </c>
      <c r="R101" s="3">
        <f>IF(ISERROR(VLOOKUP($A101,'SegEnds_NonXtal_BW#'!$A:$Z,13,FALSE)+VLOOKUP($A101,A:AL,19,FALSE)-50),"-",VLOOKUP($A101,'SegEnds_NonXtal_BW#'!$A:$Z,13,FALSE)+VLOOKUP($A101,A:AL,19,FALSE)-50)</f>
        <v>206</v>
      </c>
      <c r="S101" s="3">
        <v>206</v>
      </c>
      <c r="T101" s="100">
        <f>IF(ISERROR(VLOOKUP($A101,'SegEnds_NonXtal_BW#'!$A:$Z,14,FALSE)+VLOOKUP($A101,A:AL,19,FALSE)-50),"-",(VLOOKUP($A101,'SegEnds_NonXtal_BW#'!$A:$Z,14,FALSE)+VLOOKUP($A101,A:AL,19,FALSE)-50))</f>
        <v>213</v>
      </c>
      <c r="U101" s="9">
        <f>IF(ISERROR(VLOOKUP($A101,'SegEnds_NonXtal_BW#'!$A:$Z,15,FALSE)+VLOOKUP($A101,A:AL,22,FALSE)-50),"-",VLOOKUP($A101,'SegEnds_NonXtal_BW#'!$A:$Z,15,FALSE)+VLOOKUP($A101,A:AL,22,FALSE)-50)</f>
        <v>214</v>
      </c>
      <c r="V101" s="3">
        <v>226</v>
      </c>
      <c r="W101" s="3">
        <f>IF(ISERROR(VLOOKUP($A101,'SegEnds_NonXtal_BW#'!$A:$Z,16,FALSE)+VLOOKUP($A101,A:AL,22,FALSE)-50),"-",(VLOOKUP($A101,'SegEnds_NonXtal_BW#'!$A:$Z,16,FALSE)+VLOOKUP($A101,A:AL,22,FALSE)-50))</f>
        <v>240</v>
      </c>
      <c r="X101" s="3">
        <f>IF(ISERROR(VLOOKUP($A101,'SegEnds_NonXtal_BW#'!$A:$Z,17,FALSE)+VLOOKUP($A101,A:AL,25,FALSE)-50),"-",(VLOOKUP($A101,'SegEnds_NonXtal_BW#'!$A:$Z,17,FALSE)+VLOOKUP($A101,A:AL,25,FALSE)-50))</f>
        <v>255</v>
      </c>
      <c r="Y101" s="3">
        <v>255</v>
      </c>
      <c r="Z101" s="3">
        <f t="shared" si="64"/>
        <v>257</v>
      </c>
      <c r="AA101" s="3">
        <f>IF(ISERROR(VLOOKUP($A101,'SegEnds_NonXtal_BW#'!$A:$Z,19,FALSE)+VLOOKUP($A101,A:AL,28,FALSE)-50),"-",(VLOOKUP($A101,'SegEnds_NonXtal_BW#'!$A:$Z,19,FALSE)+VLOOKUP($A101,A:AL,28,FALSE)-50))</f>
        <v>263</v>
      </c>
      <c r="AB101" s="3">
        <v>285</v>
      </c>
      <c r="AC101" s="3">
        <f>IF(ISERROR((VLOOKUP($A101,'SegEnds_NonXtal_BW#'!$A:$Z,20,FALSE)+VLOOKUP($A101,A:AL,28,FALSE)-50)),"-",(VLOOKUP($A101,'SegEnds_NonXtal_BW#'!$A:$Z,20,FALSE)+VLOOKUP($A101,A:AL,28,FALSE)-50))</f>
        <v>307</v>
      </c>
      <c r="AD101" s="3">
        <f>IF(ISERROR(VLOOKUP($A101,'SegEnds_NonXtal_BW#'!$A:$Z,21,FALSE)+VLOOKUP($A101,A:AL,31,FALSE)-50),"-",(VLOOKUP($A101,'SegEnds_NonXtal_BW#'!$A:$Z,21,FALSE)+VLOOKUP($A101,A:AL,31,FALSE)-50))</f>
        <v>312</v>
      </c>
      <c r="AE101" s="3">
        <v>338</v>
      </c>
      <c r="AF101" s="3">
        <f>IF(ISERROR((VLOOKUP($A101,'SegEnds_NonXtal_BW#'!$A:$Z,22,FALSE)+VLOOKUP($A101,A:AL,31,FALSE)-50)),"-",(VLOOKUP($A101,'SegEnds_NonXtal_BW#'!$A:$Z,22,FALSE)+VLOOKUP($A101,A:AL,31,FALSE)-50))</f>
        <v>350</v>
      </c>
      <c r="AG101" s="3">
        <f>IF(ISERROR(VLOOKUP($A101,'SegEnds_NonXtal_BW#'!$A:$Z,23,FALSE)+VLOOKUP($A101,A:AL,34,FALSE)-50),"-",(VLOOKUP($A101,'SegEnds_NonXtal_BW#'!$A:$Z,23,FALSE)+VLOOKUP($A101,A:AL,34,FALSE)-50))</f>
        <v>357</v>
      </c>
      <c r="AH101" s="3">
        <v>383</v>
      </c>
      <c r="AI101" s="3">
        <f>IF(ISERROR((VLOOKUP($A101,'SegEnds_NonXtal_BW#'!$A:$Z,24,FALSE)+VLOOKUP($A101,A:AL,34,FALSE)-50)),"-",(VLOOKUP($A101,'SegEnds_NonXtal_BW#'!$A:$Z,24,FALSE)+VLOOKUP($A101,A:AL,34,FALSE)-50))</f>
        <v>389</v>
      </c>
      <c r="AJ101" s="3">
        <f>IF(ISERROR(VLOOKUP($A101,'SegEnds_NonXtal_BW#'!$A:$Z,25,FALSE)+VLOOKUP($A101,A:AL,37,FALSE)-50),"-",(VLOOKUP($A101,'SegEnds_NonXtal_BW#'!$A:$Z,25,FALSE)+VLOOKUP($A101,A:AL,37,FALSE)-50))</f>
        <v>390</v>
      </c>
      <c r="AK101" s="3">
        <v>393</v>
      </c>
      <c r="AL101" s="3">
        <f>IF(ISERROR((VLOOKUP($A101,'SegEnds_NonXtal_BW#'!$A:$Z,26,FALSE)+VLOOKUP($A101,A:AL,37,FALSE)-50)),"-",(VLOOKUP($A101,'SegEnds_NonXtal_BW#'!$A:$Z,26,FALSE)+VLOOKUP($A101,A:AL,37,FALSE)-50))</f>
        <v>403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Xtal</v>
      </c>
      <c r="AP101" s="3">
        <f t="shared" si="39"/>
        <v>1</v>
      </c>
      <c r="AQ101" s="3">
        <f t="shared" si="40"/>
        <v>1</v>
      </c>
      <c r="AR101" s="3">
        <f t="shared" si="41"/>
        <v>2</v>
      </c>
      <c r="AS101" s="3">
        <f t="shared" si="42"/>
        <v>1</v>
      </c>
      <c r="AT101" s="3">
        <f t="shared" si="43"/>
        <v>1</v>
      </c>
      <c r="AU101" s="3">
        <f t="shared" si="44"/>
        <v>1</v>
      </c>
      <c r="AV101" s="3">
        <f t="shared" si="45"/>
        <v>15</v>
      </c>
      <c r="AW101" s="3">
        <f t="shared" si="46"/>
        <v>6</v>
      </c>
      <c r="AX101" s="3">
        <f t="shared" si="47"/>
        <v>5</v>
      </c>
      <c r="AY101" s="3">
        <f t="shared" si="48"/>
        <v>7</v>
      </c>
      <c r="AZ101" s="3">
        <f t="shared" si="49"/>
        <v>1</v>
      </c>
      <c r="BA101" s="3">
        <f>IF(ISERROR(LEN(VLOOKUP(A101,Seqs!A:E,2,FALSE))-AL101),"-",LEN(VLOOKUP(A101,Seqs!A:E,2,FALSE))-AL101)</f>
        <v>39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1692</v>
      </c>
      <c r="B102" s="3" t="str">
        <f>LOWER(VLOOKUP(A102,Xtal_Templ!A:B,2,FALSE))</f>
        <v>ednrb_human</v>
      </c>
      <c r="C102" s="3">
        <f>VLOOKUP($A102,'SegEnds_NonXtal_BW#'!$A:$Z,3,FALSE)+D102-50</f>
        <v>120</v>
      </c>
      <c r="D102" s="3">
        <v>148</v>
      </c>
      <c r="E102" s="3">
        <f>IF(ISERROR(VLOOKUP($A102,'SegEnds_NonXtal_BW#'!$A:$Z,4,FALSE)+VLOOKUP($A102,A:AL,4,FALSE)-50),"-",(VLOOKUP($A102,'SegEnds_NonXtal_BW#'!$A:$Z,4,FALSE)+VLOOKUP($A102,A:AL,4,FALSE)-50))</f>
        <v>158</v>
      </c>
      <c r="F102" s="3">
        <f t="shared" si="61"/>
        <v>159</v>
      </c>
      <c r="G102" s="3">
        <v>161</v>
      </c>
      <c r="H102" s="3">
        <f>G102+1</f>
        <v>162</v>
      </c>
      <c r="I102" s="3">
        <f t="shared" si="63"/>
        <v>163</v>
      </c>
      <c r="J102" s="3">
        <v>176</v>
      </c>
      <c r="K102" s="3">
        <f>VLOOKUP($A102,'SegEnds_NonXtal_BW#'!$A:$Z,8,FALSE)+VLOOKUP($A102,A:AL,10,FALSE)-50</f>
        <v>193</v>
      </c>
      <c r="L102" s="3" t="str">
        <f>IF(ISERROR(VLOOKUP($A102,'SegEnds_NonXtal_BW#'!$A:$Z,9,FALSE)+VLOOKUP($A102,A:AL,13,FALSE)-50),"-",(VLOOKUP($A102,'SegEnds_NonXtal_BW#'!$A:$Z,9,FALSE)+VLOOKUP($A102,A:AL,13,FALSE)-50))</f>
        <v>-</v>
      </c>
      <c r="M102" s="3" t="s">
        <v>23</v>
      </c>
      <c r="N102" s="3" t="str">
        <f>IF(ISERROR(VLOOKUP($A102,'SegEnds_NonXtal_BW#'!$A:$Z,10,FALSE)+VLOOKUP($A102,A:AL,13,FALSE)-50),"-",(VLOOKUP($A102,'SegEnds_NonXtal_BW#'!$A:$Z,10,FALSE)+VLOOKUP($A102,A:AL,13,FALSE)-50))</f>
        <v>-</v>
      </c>
      <c r="O102" s="3">
        <f>VLOOKUP($A102,'SegEnds_NonXtal_BW#'!$A:$Z,11,FALSE)+VLOOKUP($A102,A:AL,16,FALSE)-50</f>
        <v>199</v>
      </c>
      <c r="P102" s="3">
        <v>228</v>
      </c>
      <c r="Q102" s="3">
        <f>VLOOKUP($A102,'SegEnds_NonXtal_BW#'!$A:$Z,12,FALSE)+VLOOKUP($A102,A:AL,16,FALSE)-50</f>
        <v>234</v>
      </c>
      <c r="R102" s="3">
        <f>IF(ISERROR(VLOOKUP($A102,'SegEnds_NonXtal_BW#'!$A:$Z,13,FALSE)+VLOOKUP($A102,A:AL,19,FALSE)-50),"-",VLOOKUP($A102,'SegEnds_NonXtal_BW#'!$A:$Z,13,FALSE)+VLOOKUP($A102,A:AL,19,FALSE)-50)</f>
        <v>236</v>
      </c>
      <c r="S102" s="3">
        <v>236</v>
      </c>
      <c r="T102" s="100">
        <f>IF(ISERROR(VLOOKUP($A102,'SegEnds_NonXtal_BW#'!$A:$Z,14,FALSE)+VLOOKUP($A102,A:AL,19,FALSE)-50),"-",(VLOOKUP($A102,'SegEnds_NonXtal_BW#'!$A:$Z,14,FALSE)+VLOOKUP($A102,A:AL,19,FALSE)-50))</f>
        <v>243</v>
      </c>
      <c r="U102" s="9">
        <f>IF(ISERROR(VLOOKUP($A102,'SegEnds_NonXtal_BW#'!$A:$Z,15,FALSE)+VLOOKUP($A102,A:AL,22,FALSE)-50),"-",VLOOKUP($A102,'SegEnds_NonXtal_BW#'!$A:$Z,15,FALSE)+VLOOKUP($A102,A:AL,22,FALSE)-50)</f>
        <v>244</v>
      </c>
      <c r="V102" s="3">
        <v>256</v>
      </c>
      <c r="W102" s="3">
        <f>IF(ISERROR(VLOOKUP($A102,'SegEnds_NonXtal_BW#'!$A:$Z,16,FALSE)+VLOOKUP($A102,A:AL,22,FALSE)-50),"-",(VLOOKUP($A102,'SegEnds_NonXtal_BW#'!$A:$Z,16,FALSE)+VLOOKUP($A102,A:AL,22,FALSE)-50))</f>
        <v>270</v>
      </c>
      <c r="X102" s="3">
        <f>IF(ISERROR(VLOOKUP($A102,'SegEnds_NonXtal_BW#'!$A:$Z,17,FALSE)+VLOOKUP($A102,A:AL,25,FALSE)-50),"-",(VLOOKUP($A102,'SegEnds_NonXtal_BW#'!$A:$Z,17,FALSE)+VLOOKUP($A102,A:AL,25,FALSE)-50))</f>
        <v>286</v>
      </c>
      <c r="Y102" s="3">
        <v>286</v>
      </c>
      <c r="Z102" s="3">
        <f t="shared" si="64"/>
        <v>288</v>
      </c>
      <c r="AA102" s="3">
        <f>IF(ISERROR(VLOOKUP($A102,'SegEnds_NonXtal_BW#'!$A:$Z,19,FALSE)+VLOOKUP($A102,A:AL,28,FALSE)-50),"-",(VLOOKUP($A102,'SegEnds_NonXtal_BW#'!$A:$Z,19,FALSE)+VLOOKUP($A102,A:AL,28,FALSE)-50))</f>
        <v>299</v>
      </c>
      <c r="AB102" s="3">
        <v>321</v>
      </c>
      <c r="AC102" s="3">
        <f>IF(ISERROR((VLOOKUP($A102,'SegEnds_NonXtal_BW#'!$A:$Z,20,FALSE)+VLOOKUP($A102,A:AL,28,FALSE)-50)),"-",(VLOOKUP($A102,'SegEnds_NonXtal_BW#'!$A:$Z,20,FALSE)+VLOOKUP($A102,A:AL,28,FALSE)-50))</f>
        <v>343</v>
      </c>
      <c r="AD102" s="3">
        <f>IF(ISERROR(VLOOKUP($A102,'SegEnds_NonXtal_BW#'!$A:$Z,21,FALSE)+VLOOKUP($A102,A:AL,31,FALSE)-50),"-",(VLOOKUP($A102,'SegEnds_NonXtal_BW#'!$A:$Z,21,FALSE)+VLOOKUP($A102,A:AL,31,FALSE)-50))</f>
        <v>348</v>
      </c>
      <c r="AE102" s="3">
        <v>374</v>
      </c>
      <c r="AF102" s="3">
        <f>IF(ISERROR((VLOOKUP($A102,'SegEnds_NonXtal_BW#'!$A:$Z,22,FALSE)+VLOOKUP($A102,A:AL,31,FALSE)-50)),"-",(VLOOKUP($A102,'SegEnds_NonXtal_BW#'!$A:$Z,22,FALSE)+VLOOKUP($A102,A:AL,31,FALSE)-50))</f>
        <v>385</v>
      </c>
      <c r="AG102" s="3">
        <f>IF(ISERROR(VLOOKUP($A102,'SegEnds_NonXtal_BW#'!$A:$Z,23,FALSE)+VLOOKUP($A102,A:AL,34,FALSE)-50),"-",(VLOOKUP($A102,'SegEnds_NonXtal_BW#'!$A:$Z,23,FALSE)+VLOOKUP($A102,A:AL,34,FALSE)-50))</f>
        <v>387</v>
      </c>
      <c r="AH102" s="3">
        <v>413</v>
      </c>
      <c r="AI102" s="3">
        <f>IF(ISERROR((VLOOKUP($A102,'SegEnds_NonXtal_BW#'!$A:$Z,24,FALSE)+VLOOKUP($A102,A:AL,34,FALSE)-50)),"-",(VLOOKUP($A102,'SegEnds_NonXtal_BW#'!$A:$Z,24,FALSE)+VLOOKUP($A102,A:AL,34,FALSE)-50))</f>
        <v>419</v>
      </c>
      <c r="AJ102" s="3">
        <f>IF(ISERROR(VLOOKUP($A102,'SegEnds_NonXtal_BW#'!$A:$Z,25,FALSE)+VLOOKUP($A102,A:AL,37,FALSE)-50),"-",(VLOOKUP($A102,'SegEnds_NonXtal_BW#'!$A:$Z,25,FALSE)+VLOOKUP($A102,A:AL,37,FALSE)-50))</f>
        <v>420</v>
      </c>
      <c r="AK102" s="3">
        <v>423</v>
      </c>
      <c r="AL102" s="3">
        <f>IF(ISERROR((VLOOKUP($A102,'SegEnds_NonXtal_BW#'!$A:$Z,26,FALSE)+VLOOKUP($A102,A:AL,37,FALSE)-50)),"-",(VLOOKUP($A102,'SegEnds_NonXtal_BW#'!$A:$Z,26,FALSE)+VLOOKUP($A102,A:AL,37,FALSE)-50))</f>
        <v>433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NoXtal</v>
      </c>
      <c r="AP102" s="3">
        <f t="shared" si="39"/>
        <v>1</v>
      </c>
      <c r="AQ102" s="3">
        <f t="shared" si="40"/>
        <v>1</v>
      </c>
      <c r="AR102" s="3" t="str">
        <f t="shared" si="41"/>
        <v>-</v>
      </c>
      <c r="AS102" s="3" t="str">
        <f t="shared" si="42"/>
        <v>-</v>
      </c>
      <c r="AT102" s="3">
        <f t="shared" si="43"/>
        <v>2</v>
      </c>
      <c r="AU102" s="3">
        <f t="shared" si="44"/>
        <v>1</v>
      </c>
      <c r="AV102" s="3">
        <f t="shared" si="45"/>
        <v>16</v>
      </c>
      <c r="AW102" s="3">
        <f t="shared" si="46"/>
        <v>11</v>
      </c>
      <c r="AX102" s="3">
        <f t="shared" si="47"/>
        <v>5</v>
      </c>
      <c r="AY102" s="3">
        <f t="shared" si="48"/>
        <v>2</v>
      </c>
      <c r="AZ102" s="3">
        <f t="shared" si="49"/>
        <v>1</v>
      </c>
      <c r="BA102" s="3">
        <f>IF(ISERROR(LEN(VLOOKUP(A102,Seqs!A:E,2,FALSE))-AL102),"-",LEN(VLOOKUP(A102,Seqs!A:E,2,FALSE))-AL102)</f>
        <v>48</v>
      </c>
      <c r="BB102" s="16">
        <f t="shared" si="50"/>
        <v>28</v>
      </c>
      <c r="BC102" s="9">
        <f t="shared" si="51"/>
        <v>20</v>
      </c>
      <c r="BD102" s="3">
        <f t="shared" si="52"/>
        <v>28</v>
      </c>
      <c r="BE102" s="3">
        <f t="shared" si="53"/>
        <v>53</v>
      </c>
    </row>
    <row r="103" spans="1:58" s="3" customFormat="1" x14ac:dyDescent="0.2">
      <c r="A103" s="3" t="s">
        <v>1168</v>
      </c>
      <c r="B103" s="3" t="str">
        <f>LOWER(VLOOKUP(A103,Xtal_Templ!A:B,2,FALSE))</f>
        <v>ffar1_human</v>
      </c>
      <c r="C103" s="3">
        <f>VLOOKUP($A103,'SegEnds_NonXtal_BW#'!$A:$Z,3,FALSE)+D103-50</f>
        <v>4</v>
      </c>
      <c r="D103" s="3">
        <v>23</v>
      </c>
      <c r="E103" s="3">
        <f>IF(ISERROR(VLOOKUP($A103,'SegEnds_NonXtal_BW#'!$A:$Z,4,FALSE)+VLOOKUP($A103,A:AL,4,FALSE)-50),"-",(VLOOKUP($A103,'SegEnds_NonXtal_BW#'!$A:$Z,4,FALSE)+VLOOKUP($A103,A:AL,4,FALSE)-50))</f>
        <v>37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39</v>
      </c>
      <c r="J103" s="3">
        <v>52</v>
      </c>
      <c r="K103" s="3">
        <f>VLOOKUP($A103,'SegEnds_NonXtal_BW#'!$A:$Z,8,FALSE)+VLOOKUP($A103,A:AL,10,FALSE)-50</f>
        <v>69</v>
      </c>
      <c r="L103" s="3">
        <f t="shared" ref="L103:L116" si="91">M103-1</f>
        <v>71</v>
      </c>
      <c r="M103" s="3">
        <v>72</v>
      </c>
      <c r="N103" s="3">
        <f t="shared" ref="N103:N116" si="92">M103+2</f>
        <v>74</v>
      </c>
      <c r="O103" s="3">
        <f t="shared" ref="O103:O116" si="93">N103+1</f>
        <v>75</v>
      </c>
      <c r="P103" s="3">
        <v>104</v>
      </c>
      <c r="Q103" s="3">
        <f>VLOOKUP($A103,'SegEnds_NonXtal_BW#'!$A:$Z,12,FALSE)+VLOOKUP($A103,A:AL,16,FALSE)-50</f>
        <v>110</v>
      </c>
      <c r="R103" s="3">
        <f>IF(ISERROR(VLOOKUP($A103,'SegEnds_NonXtal_BW#'!$A:$Z,13,FALSE)+VLOOKUP($A103,A:AL,19,FALSE)-50),"-",VLOOKUP($A103,'SegEnds_NonXtal_BW#'!$A:$Z,13,FALSE)+VLOOKUP($A103,A:AL,19,FALSE)-50)</f>
        <v>111</v>
      </c>
      <c r="S103" s="3">
        <v>111</v>
      </c>
      <c r="T103" s="100">
        <f>IF(ISERROR(VLOOKUP($A103,'SegEnds_NonXtal_BW#'!$A:$Z,14,FALSE)+VLOOKUP($A103,A:AL,19,FALSE)-50),"-",(VLOOKUP($A103,'SegEnds_NonXtal_BW#'!$A:$Z,14,FALSE)+VLOOKUP($A103,A:AL,19,FALSE)-50))</f>
        <v>118</v>
      </c>
      <c r="U103" s="9">
        <f>IF(ISERROR(VLOOKUP($A103,'SegEnds_NonXtal_BW#'!$A:$Z,15,FALSE)+VLOOKUP($A103,A:AL,22,FALSE)-50),"-",VLOOKUP($A103,'SegEnds_NonXtal_BW#'!$A:$Z,15,FALSE)+VLOOKUP($A103,A:AL,22,FALSE)-50)</f>
        <v>119</v>
      </c>
      <c r="V103" s="3">
        <v>131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170</v>
      </c>
      <c r="Y103" s="3">
        <v>170</v>
      </c>
      <c r="Z103" s="3">
        <f t="shared" si="64"/>
        <v>172</v>
      </c>
      <c r="AA103" s="3">
        <f>IF(ISERROR(VLOOKUP($A103,'SegEnds_NonXtal_BW#'!$A:$Z,19,FALSE)+VLOOKUP($A103,A:AL,28,FALSE)-50),"-",(VLOOKUP($A103,'SegEnds_NonXtal_BW#'!$A:$Z,19,FALSE)+VLOOKUP($A103,A:AL,28,FALSE)-50))</f>
        <v>175</v>
      </c>
      <c r="AB103" s="3">
        <v>194</v>
      </c>
      <c r="AC103" s="3">
        <f>IF(ISERROR((VLOOKUP($A103,'SegEnds_NonXtal_BW#'!$A:$Z,20,FALSE)+VLOOKUP($A103,A:AL,28,FALSE)-50)),"-",(VLOOKUP($A103,'SegEnds_NonXtal_BW#'!$A:$Z,20,FALSE)+VLOOKUP($A103,A:AL,28,FALSE)-50))</f>
        <v>211</v>
      </c>
      <c r="AD103" s="3">
        <f>IF(ISERROR(VLOOKUP($A103,'SegEnds_NonXtal_BW#'!$A:$Z,21,FALSE)+VLOOKUP($A103,A:AL,31,FALSE)-50),"-",(VLOOKUP($A103,'SegEnds_NonXtal_BW#'!$A:$Z,21,FALSE)+VLOOKUP($A103,A:AL,31,FALSE)-50))</f>
        <v>217</v>
      </c>
      <c r="AE103" s="3">
        <v>239</v>
      </c>
      <c r="AF103" s="3">
        <f>IF(ISERROR((VLOOKUP($A103,'SegEnds_NonXtal_BW#'!$A:$Z,22,FALSE)+VLOOKUP($A103,A:AL,31,FALSE)-50)),"-",(VLOOKUP($A103,'SegEnds_NonXtal_BW#'!$A:$Z,22,FALSE)+VLOOKUP($A103,A:AL,31,FALSE)-50))</f>
        <v>250</v>
      </c>
      <c r="AG103" s="3">
        <f>IF(ISERROR(VLOOKUP($A103,'SegEnds_NonXtal_BW#'!$A:$Z,23,FALSE)+VLOOKUP($A103,A:AL,34,FALSE)-50),"-",(VLOOKUP($A103,'SegEnds_NonXtal_BW#'!$A:$Z,23,FALSE)+VLOOKUP($A103,A:AL,34,FALSE)-50))</f>
        <v>255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Xtal</v>
      </c>
      <c r="AP103" s="3" t="str">
        <f t="shared" si="39"/>
        <v>-</v>
      </c>
      <c r="AQ103" s="3" t="str">
        <f t="shared" si="40"/>
        <v>-</v>
      </c>
      <c r="AR103" s="3">
        <f t="shared" si="41"/>
        <v>2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24</v>
      </c>
      <c r="AW103" s="3">
        <f t="shared" si="46"/>
        <v>3</v>
      </c>
      <c r="AX103" s="3">
        <f t="shared" si="47"/>
        <v>6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6</v>
      </c>
      <c r="BB103" s="16">
        <f t="shared" si="50"/>
        <v>29</v>
      </c>
      <c r="BC103" s="9">
        <f t="shared" si="51"/>
        <v>20</v>
      </c>
      <c r="BD103" s="3">
        <f t="shared" si="52"/>
        <v>29</v>
      </c>
      <c r="BE103" s="3">
        <f t="shared" si="53"/>
        <v>45</v>
      </c>
      <c r="BF103" s="3">
        <f>AH103-AE103</f>
        <v>34</v>
      </c>
    </row>
    <row r="104" spans="1:58" s="3" customFormat="1" x14ac:dyDescent="0.2">
      <c r="A104" s="3" t="s">
        <v>197</v>
      </c>
      <c r="B104" s="3" t="str">
        <f>LOWER(VLOOKUP(A104,Xtal_Templ!A:B,2,FALSE))</f>
        <v>par2_human</v>
      </c>
      <c r="C104" s="3">
        <f>VLOOKUP($A104,'SegEnds_NonXtal_BW#'!$A:$Z,3,FALSE)+D104-50</f>
        <v>3</v>
      </c>
      <c r="D104" s="3">
        <v>25</v>
      </c>
      <c r="E104" s="3">
        <f>IF(ISERROR(VLOOKUP($A104,'SegEnds_NonXtal_BW#'!$A:$Z,4,FALSE)+VLOOKUP($A104,A:AL,4,FALSE)-50),"-",(VLOOKUP($A104,'SegEnds_NonXtal_BW#'!$A:$Z,4,FALSE)+VLOOKUP($A104,A:AL,4,FALSE)-50))</f>
        <v>35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42</v>
      </c>
      <c r="J104" s="3">
        <v>55</v>
      </c>
      <c r="K104" s="3">
        <f>VLOOKUP($A104,'SegEnds_NonXtal_BW#'!$A:$Z,8,FALSE)+VLOOKUP($A104,A:AL,10,FALSE)-50</f>
        <v>71</v>
      </c>
      <c r="L104" s="3">
        <f t="shared" si="91"/>
        <v>74</v>
      </c>
      <c r="M104" s="3">
        <v>75</v>
      </c>
      <c r="N104" s="3">
        <f t="shared" si="92"/>
        <v>77</v>
      </c>
      <c r="O104" s="3">
        <f t="shared" si="93"/>
        <v>78</v>
      </c>
      <c r="P104" s="3">
        <v>107</v>
      </c>
      <c r="Q104" s="3">
        <f>VLOOKUP($A104,'SegEnds_NonXtal_BW#'!$A:$Z,12,FALSE)+VLOOKUP($A104,A:AL,16,FALSE)-50</f>
        <v>113</v>
      </c>
      <c r="R104" s="3">
        <f>IF(ISERROR(VLOOKUP($A104,'SegEnds_NonXtal_BW#'!$A:$Z,13,FALSE)+VLOOKUP($A104,A:AL,19,FALSE)-50),"-",VLOOKUP($A104,'SegEnds_NonXtal_BW#'!$A:$Z,13,FALSE)+VLOOKUP($A104,A:AL,19,FALSE)-50)</f>
        <v>114</v>
      </c>
      <c r="S104" s="3">
        <v>114</v>
      </c>
      <c r="T104" s="100">
        <f>IF(ISERROR(VLOOKUP($A104,'SegEnds_NonXtal_BW#'!$A:$Z,14,FALSE)+VLOOKUP($A104,A:AL,19,FALSE)-50),"-",(VLOOKUP($A104,'SegEnds_NonXtal_BW#'!$A:$Z,14,FALSE)+VLOOKUP($A104,A:AL,19,FALSE)-50))</f>
        <v>121</v>
      </c>
      <c r="U104" s="9">
        <f>IF(ISERROR(VLOOKUP($A104,'SegEnds_NonXtal_BW#'!$A:$Z,15,FALSE)+VLOOKUP($A104,A:AL,22,FALSE)-50),"-",VLOOKUP($A104,'SegEnds_NonXtal_BW#'!$A:$Z,15,FALSE)+VLOOKUP($A104,A:AL,22,FALSE)-50)</f>
        <v>122</v>
      </c>
      <c r="V104" s="3">
        <v>134</v>
      </c>
      <c r="W104" s="3">
        <f>IF(ISERROR(VLOOKUP($A104,'SegEnds_NonXtal_BW#'!$A:$Z,16,FALSE)+VLOOKUP($A104,A:AL,22,FALSE)-50),"-",(VLOOKUP($A104,'SegEnds_NonXtal_BW#'!$A:$Z,16,FALSE)+VLOOKUP($A104,A:AL,22,FALSE)-50))</f>
        <v>146</v>
      </c>
      <c r="X104" s="3">
        <f>IF(ISERROR(VLOOKUP($A104,'SegEnds_NonXtal_BW#'!$A:$Z,17,FALSE)+VLOOKUP($A104,A:AL,25,FALSE)-50),"-",(VLOOKUP($A104,'SegEnds_NonXtal_BW#'!$A:$Z,17,FALSE)+VLOOKUP($A104,A:AL,25,FALSE)-50))</f>
        <v>164</v>
      </c>
      <c r="Y104" s="3">
        <v>164</v>
      </c>
      <c r="Z104" s="3">
        <f t="shared" si="64"/>
        <v>166</v>
      </c>
      <c r="AA104" s="3">
        <f>IF(ISERROR(VLOOKUP($A104,'SegEnds_NonXtal_BW#'!$A:$Z,19,FALSE)+VLOOKUP($A104,A:AL,28,FALSE)-50),"-",(VLOOKUP($A104,'SegEnds_NonXtal_BW#'!$A:$Z,19,FALSE)+VLOOKUP($A104,A:AL,28,FALSE)-50))</f>
        <v>172</v>
      </c>
      <c r="AB104" s="3">
        <v>191</v>
      </c>
      <c r="AC104" s="3">
        <f>IF(ISERROR((VLOOKUP($A104,'SegEnds_NonXtal_BW#'!$A:$Z,20,FALSE)+VLOOKUP($A104,A:AL,28,FALSE)-50)),"-",(VLOOKUP($A104,'SegEnds_NonXtal_BW#'!$A:$Z,20,FALSE)+VLOOKUP($A104,A:AL,28,FALSE)-50))</f>
        <v>208</v>
      </c>
      <c r="AD104" s="3">
        <f>IF(ISERROR(VLOOKUP($A104,'SegEnds_NonXtal_BW#'!$A:$Z,21,FALSE)+VLOOKUP($A104,A:AL,31,FALSE)-50),"-",(VLOOKUP($A104,'SegEnds_NonXtal_BW#'!$A:$Z,21,FALSE)+VLOOKUP($A104,A:AL,31,FALSE)-50))</f>
        <v>213</v>
      </c>
      <c r="AE104" s="3">
        <v>237</v>
      </c>
      <c r="AF104" s="3">
        <f>IF(ISERROR((VLOOKUP($A104,'SegEnds_NonXtal_BW#'!$A:$Z,22,FALSE)+VLOOKUP($A104,A:AL,31,FALSE)-50)),"-",(VLOOKUP($A104,'SegEnds_NonXtal_BW#'!$A:$Z,22,FALSE)+VLOOKUP($A104,A:AL,31,FALSE)-50))</f>
        <v>248</v>
      </c>
      <c r="AG104" s="3">
        <f>IF(ISERROR(VLOOKUP($A104,'SegEnds_NonXtal_BW#'!$A:$Z,23,FALSE)+VLOOKUP($A104,A:AL,34,FALSE)-50),"-",(VLOOKUP($A104,'SegEnds_NonXtal_BW#'!$A:$Z,23,FALSE)+VLOOKUP($A104,A:AL,34,FALSE)-50))</f>
        <v>253</v>
      </c>
      <c r="AH104" s="3">
        <v>270</v>
      </c>
      <c r="AI104" s="3">
        <f>IF(ISERROR((VLOOKUP($A104,'SegEnds_NonXtal_BW#'!$A:$Z,24,FALSE)+VLOOKUP($A104,A:AL,34,FALSE)-50)),"-",(VLOOKUP($A104,'SegEnds_NonXtal_BW#'!$A:$Z,24,FALSE)+VLOOKUP($A104,A:AL,34,FALSE)-50))</f>
        <v>276</v>
      </c>
      <c r="AJ104" s="3">
        <f>IF(ISERROR(VLOOKUP($A104,'SegEnds_NonXtal_BW#'!$A:$Z,25,FALSE)+VLOOKUP($A104,A:AL,37,FALSE)-50),"-",(VLOOKUP($A104,'SegEnds_NonXtal_BW#'!$A:$Z,25,FALSE)+VLOOKUP($A104,A:AL,37,FALSE)-50))</f>
        <v>277</v>
      </c>
      <c r="AK104" s="3">
        <v>280</v>
      </c>
      <c r="AL104" s="3">
        <f>IF(ISERROR((VLOOKUP($A104,'SegEnds_NonXtal_BW#'!$A:$Z,26,FALSE)+VLOOKUP($A104,A:AL,37,FALSE)-50)),"-",(VLOOKUP($A104,'SegEnds_NonXtal_BW#'!$A:$Z,26,FALSE)+VLOOKUP($A104,A:AL,37,FALSE)-50))</f>
        <v>291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18</v>
      </c>
      <c r="AW104" s="3">
        <f t="shared" si="46"/>
        <v>6</v>
      </c>
      <c r="AX104" s="3">
        <f t="shared" si="47"/>
        <v>5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39</v>
      </c>
      <c r="BB104" s="16">
        <f t="shared" si="50"/>
        <v>30</v>
      </c>
      <c r="BC104" s="9">
        <f t="shared" si="51"/>
        <v>20</v>
      </c>
      <c r="BD104" s="3">
        <f t="shared" si="52"/>
        <v>30</v>
      </c>
      <c r="BE104" s="3">
        <f t="shared" si="53"/>
        <v>46</v>
      </c>
    </row>
    <row r="105" spans="1:58" s="3" customFormat="1" x14ac:dyDescent="0.2">
      <c r="A105" s="3" t="s">
        <v>198</v>
      </c>
      <c r="B105" s="3" t="str">
        <f>LOWER(VLOOKUP(A105,Xtal_Templ!A:B,2,FALSE))</f>
        <v>par1_human</v>
      </c>
      <c r="C105" s="3">
        <f>VLOOKUP($A105,'SegEnds_NonXtal_BW#'!$A:$Z,3,FALSE)+D105-50</f>
        <v>11</v>
      </c>
      <c r="D105" s="3">
        <v>32</v>
      </c>
      <c r="E105" s="3">
        <f>IF(ISERROR(VLOOKUP($A105,'SegEnds_NonXtal_BW#'!$A:$Z,4,FALSE)+VLOOKUP($A105,A:AL,4,FALSE)-50),"-",(VLOOKUP($A105,'SegEnds_NonXtal_BW#'!$A:$Z,4,FALSE)+VLOOKUP($A105,A:AL,4,FALSE)-50))</f>
        <v>42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48</v>
      </c>
      <c r="J105" s="3">
        <v>61</v>
      </c>
      <c r="K105" s="3">
        <f>VLOOKUP($A105,'SegEnds_NonXtal_BW#'!$A:$Z,8,FALSE)+VLOOKUP($A105,A:AL,10,FALSE)-50</f>
        <v>77</v>
      </c>
      <c r="L105" s="3">
        <f t="shared" si="91"/>
        <v>80</v>
      </c>
      <c r="M105" s="3">
        <v>81</v>
      </c>
      <c r="N105" s="3">
        <f t="shared" si="92"/>
        <v>83</v>
      </c>
      <c r="O105" s="3">
        <f t="shared" si="93"/>
        <v>84</v>
      </c>
      <c r="P105" s="3">
        <v>113</v>
      </c>
      <c r="Q105" s="3">
        <f>VLOOKUP($A105,'SegEnds_NonXtal_BW#'!$A:$Z,12,FALSE)+VLOOKUP($A105,A:AL,16,FALSE)-50</f>
        <v>119</v>
      </c>
      <c r="R105" s="3">
        <f>IF(ISERROR(VLOOKUP($A105,'SegEnds_NonXtal_BW#'!$A:$Z,13,FALSE)+VLOOKUP($A105,A:AL,19,FALSE)-50),"-",VLOOKUP($A105,'SegEnds_NonXtal_BW#'!$A:$Z,13,FALSE)+VLOOKUP($A105,A:AL,19,FALSE)-50)</f>
        <v>120</v>
      </c>
      <c r="S105" s="3">
        <v>120</v>
      </c>
      <c r="T105" s="100">
        <f>IF(ISERROR(VLOOKUP($A105,'SegEnds_NonXtal_BW#'!$A:$Z,14,FALSE)+VLOOKUP($A105,A:AL,19,FALSE)-50),"-",(VLOOKUP($A105,'SegEnds_NonXtal_BW#'!$A:$Z,14,FALSE)+VLOOKUP($A105,A:AL,19,FALSE)-50))</f>
        <v>127</v>
      </c>
      <c r="U105" s="9">
        <f>IF(ISERROR(VLOOKUP($A105,'SegEnds_NonXtal_BW#'!$A:$Z,15,FALSE)+VLOOKUP($A105,A:AL,22,FALSE)-50),"-",VLOOKUP($A105,'SegEnds_NonXtal_BW#'!$A:$Z,15,FALSE)+VLOOKUP($A105,A:AL,22,FALSE)-50)</f>
        <v>128</v>
      </c>
      <c r="V105" s="3">
        <v>140</v>
      </c>
      <c r="W105" s="3">
        <f>IF(ISERROR(VLOOKUP($A105,'SegEnds_NonXtal_BW#'!$A:$Z,16,FALSE)+VLOOKUP($A105,A:AL,22,FALSE)-50),"-",(VLOOKUP($A105,'SegEnds_NonXtal_BW#'!$A:$Z,16,FALSE)+VLOOKUP($A105,A:AL,22,FALSE)-50))</f>
        <v>153</v>
      </c>
      <c r="X105" s="3">
        <f>IF(ISERROR(VLOOKUP($A105,'SegEnds_NonXtal_BW#'!$A:$Z,17,FALSE)+VLOOKUP($A105,A:AL,25,FALSE)-50),"-",(VLOOKUP($A105,'SegEnds_NonXtal_BW#'!$A:$Z,17,FALSE)+VLOOKUP($A105,A:AL,25,FALSE)-50))</f>
        <v>169</v>
      </c>
      <c r="Y105" s="3">
        <v>169</v>
      </c>
      <c r="Z105" s="3">
        <f t="shared" si="64"/>
        <v>171</v>
      </c>
      <c r="AA105" s="3">
        <f>IF(ISERROR(VLOOKUP($A105,'SegEnds_NonXtal_BW#'!$A:$Z,19,FALSE)+VLOOKUP($A105,A:AL,28,FALSE)-50),"-",(VLOOKUP($A105,'SegEnds_NonXtal_BW#'!$A:$Z,19,FALSE)+VLOOKUP($A105,A:AL,28,FALSE)-50))</f>
        <v>178</v>
      </c>
      <c r="AB105" s="3">
        <v>196</v>
      </c>
      <c r="AC105" s="3">
        <f>IF(ISERROR((VLOOKUP($A105,'SegEnds_NonXtal_BW#'!$A:$Z,20,FALSE)+VLOOKUP($A105,A:AL,28,FALSE)-50)),"-",(VLOOKUP($A105,'SegEnds_NonXtal_BW#'!$A:$Z,20,FALSE)+VLOOKUP($A105,A:AL,28,FALSE)-50))</f>
        <v>214</v>
      </c>
      <c r="AD105" s="3">
        <f>IF(ISERROR(VLOOKUP($A105,'SegEnds_NonXtal_BW#'!$A:$Z,21,FALSE)+VLOOKUP($A105,A:AL,31,FALSE)-50),"-",(VLOOKUP($A105,'SegEnds_NonXtal_BW#'!$A:$Z,21,FALSE)+VLOOKUP($A105,A:AL,31,FALSE)-50))</f>
        <v>218</v>
      </c>
      <c r="AE105" s="3">
        <v>240</v>
      </c>
      <c r="AF105" s="3">
        <f>IF(ISERROR((VLOOKUP($A105,'SegEnds_NonXtal_BW#'!$A:$Z,22,FALSE)+VLOOKUP($A105,A:AL,31,FALSE)-50)),"-",(VLOOKUP($A105,'SegEnds_NonXtal_BW#'!$A:$Z,22,FALSE)+VLOOKUP($A105,A:AL,31,FALSE)-50))</f>
        <v>251</v>
      </c>
      <c r="AG105" s="3">
        <f>IF(ISERROR(VLOOKUP($A105,'SegEnds_NonXtal_BW#'!$A:$Z,23,FALSE)+VLOOKUP($A105,A:AL,34,FALSE)-50),"-",(VLOOKUP($A105,'SegEnds_NonXtal_BW#'!$A:$Z,23,FALSE)+VLOOKUP($A105,A:AL,34,FALSE)-50))</f>
        <v>256</v>
      </c>
      <c r="AH105" s="3">
        <v>273</v>
      </c>
      <c r="AI105" s="3">
        <f>IF(ISERROR((VLOOKUP($A105,'SegEnds_NonXtal_BW#'!$A:$Z,24,FALSE)+VLOOKUP($A105,A:AL,34,FALSE)-50)),"-",(VLOOKUP($A105,'SegEnds_NonXtal_BW#'!$A:$Z,24,FALSE)+VLOOKUP($A105,A:AL,34,FALSE)-50))</f>
        <v>279</v>
      </c>
      <c r="AJ105" s="3">
        <f>IF(ISERROR(VLOOKUP($A105,'SegEnds_NonXtal_BW#'!$A:$Z,25,FALSE)+VLOOKUP($A105,A:AL,37,FALSE)-50),"-",(VLOOKUP($A105,'SegEnds_NonXtal_BW#'!$A:$Z,25,FALSE)+VLOOKUP($A105,A:AL,37,FALSE)-50))</f>
        <v>280</v>
      </c>
      <c r="AK105" s="3">
        <v>283</v>
      </c>
      <c r="AL105" s="3">
        <f>IF(ISERROR((VLOOKUP($A105,'SegEnds_NonXtal_BW#'!$A:$Z,26,FALSE)+VLOOKUP($A105,A:AL,37,FALSE)-50)),"-",(VLOOKUP($A105,'SegEnds_NonXtal_BW#'!$A:$Z,26,FALSE)+VLOOKUP($A105,A:AL,37,FALSE)-50))</f>
        <v>294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3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16</v>
      </c>
      <c r="AW105" s="3">
        <f t="shared" si="46"/>
        <v>7</v>
      </c>
      <c r="AX105" s="3">
        <f t="shared" si="47"/>
        <v>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52</v>
      </c>
      <c r="BB105" s="16">
        <f t="shared" si="50"/>
        <v>29</v>
      </c>
      <c r="BC105" s="9">
        <f t="shared" si="51"/>
        <v>20</v>
      </c>
      <c r="BD105" s="3">
        <f t="shared" si="52"/>
        <v>29</v>
      </c>
      <c r="BE105" s="3">
        <f t="shared" si="53"/>
        <v>44</v>
      </c>
    </row>
    <row r="106" spans="1:58" s="3" customFormat="1" x14ac:dyDescent="0.2">
      <c r="A106" s="3" t="s">
        <v>199</v>
      </c>
      <c r="B106" s="3" t="str">
        <f>LOWER(VLOOKUP(A106,Xtal_Templ!A:B,2,FALSE))</f>
        <v>ox2r_human</v>
      </c>
      <c r="C106" s="3">
        <f>VLOOKUP($A106,'SegEnds_NonXtal_BW#'!$A:$Z,3,FALSE)+D106-50</f>
        <v>39</v>
      </c>
      <c r="D106" s="3">
        <v>58</v>
      </c>
      <c r="E106" s="3">
        <f>IF(ISERROR(VLOOKUP($A106,'SegEnds_NonXtal_BW#'!$A:$Z,4,FALSE)+VLOOKUP($A106,A:AL,4,FALSE)-50),"-",(VLOOKUP($A106,'SegEnds_NonXtal_BW#'!$A:$Z,4,FALSE)+VLOOKUP($A106,A:AL,4,FALSE)-50))</f>
        <v>68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72</v>
      </c>
      <c r="J106" s="3">
        <v>85</v>
      </c>
      <c r="K106" s="3">
        <f>VLOOKUP($A106,'SegEnds_NonXtal_BW#'!$A:$Z,8,FALSE)+VLOOKUP($A106,A:AL,10,FALSE)-50</f>
        <v>101</v>
      </c>
      <c r="L106" s="3">
        <f t="shared" si="91"/>
        <v>103</v>
      </c>
      <c r="M106" s="3">
        <v>104</v>
      </c>
      <c r="N106" s="3">
        <f t="shared" si="92"/>
        <v>106</v>
      </c>
      <c r="O106" s="3">
        <f t="shared" si="93"/>
        <v>107</v>
      </c>
      <c r="P106" s="3">
        <v>136</v>
      </c>
      <c r="Q106" s="3">
        <f>VLOOKUP($A106,'SegEnds_NonXtal_BW#'!$A:$Z,12,FALSE)+VLOOKUP($A106,A:AL,16,FALSE)-50</f>
        <v>142</v>
      </c>
      <c r="R106" s="3">
        <f>IF(ISERROR(VLOOKUP($A106,'SegEnds_NonXtal_BW#'!$A:$Z,13,FALSE)+VLOOKUP($A106,A:AL,19,FALSE)-50),"-",VLOOKUP($A106,'SegEnds_NonXtal_BW#'!$A:$Z,13,FALSE)+VLOOKUP($A106,A:AL,19,FALSE)-50)</f>
        <v>143</v>
      </c>
      <c r="S106" s="3">
        <v>143</v>
      </c>
      <c r="T106" s="100">
        <f>IF(ISERROR(VLOOKUP($A106,'SegEnds_NonXtal_BW#'!$A:$Z,14,FALSE)+VLOOKUP($A106,A:AL,19,FALSE)-50),"-",(VLOOKUP($A106,'SegEnds_NonXtal_BW#'!$A:$Z,14,FALSE)+VLOOKUP($A106,A:AL,19,FALSE)-50))</f>
        <v>150</v>
      </c>
      <c r="U106" s="9">
        <f>IF(ISERROR(VLOOKUP($A106,'SegEnds_NonXtal_BW#'!$A:$Z,15,FALSE)+VLOOKUP($A106,A:AL,22,FALSE)-50),"-",VLOOKUP($A106,'SegEnds_NonXtal_BW#'!$A:$Z,15,FALSE)+VLOOKUP($A106,A:AL,22,FALSE)-50)</f>
        <v>151</v>
      </c>
      <c r="V106" s="3">
        <v>163</v>
      </c>
      <c r="W106" s="3">
        <f>IF(ISERROR(VLOOKUP($A106,'SegEnds_NonXtal_BW#'!$A:$Z,16,FALSE)+VLOOKUP($A106,A:AL,22,FALSE)-50),"-",(VLOOKUP($A106,'SegEnds_NonXtal_BW#'!$A:$Z,16,FALSE)+VLOOKUP($A106,A:AL,22,FALSE)-50))</f>
        <v>177</v>
      </c>
      <c r="X106" s="3">
        <f>IF(ISERROR(VLOOKUP($A106,'SegEnds_NonXtal_BW#'!$A:$Z,17,FALSE)+VLOOKUP($A106,A:AL,25,FALSE)-50),"-",(VLOOKUP($A106,'SegEnds_NonXtal_BW#'!$A:$Z,17,FALSE)+VLOOKUP($A106,A:AL,25,FALSE)-50))</f>
        <v>194</v>
      </c>
      <c r="Y106" s="3">
        <v>194</v>
      </c>
      <c r="Z106" s="3">
        <f t="shared" si="64"/>
        <v>196</v>
      </c>
      <c r="AA106" s="3">
        <f>IF(ISERROR(VLOOKUP($A106,'SegEnds_NonXtal_BW#'!$A:$Z,19,FALSE)+VLOOKUP($A106,A:AL,28,FALSE)-50),"-",(VLOOKUP($A106,'SegEnds_NonXtal_BW#'!$A:$Z,19,FALSE)+VLOOKUP($A106,A:AL,28,FALSE)-50))</f>
        <v>202</v>
      </c>
      <c r="AB106" s="3">
        <v>219</v>
      </c>
      <c r="AC106" s="3">
        <f>IF(ISERROR((VLOOKUP($A106,'SegEnds_NonXtal_BW#'!$A:$Z,20,FALSE)+VLOOKUP($A106,A:AL,28,FALSE)-50)),"-",(VLOOKUP($A106,'SegEnds_NonXtal_BW#'!$A:$Z,20,FALSE)+VLOOKUP($A106,A:AL,28,FALSE)-50))</f>
        <v>245</v>
      </c>
      <c r="AD106" s="3">
        <f>IF(ISERROR(VLOOKUP($A106,'SegEnds_NonXtal_BW#'!$A:$Z,21,FALSE)+VLOOKUP($A106,A:AL,31,FALSE)-50),"-",(VLOOKUP($A106,'SegEnds_NonXtal_BW#'!$A:$Z,21,FALSE)+VLOOKUP($A106,A:AL,31,FALSE)-50))</f>
        <v>269</v>
      </c>
      <c r="AE106" s="3">
        <v>295</v>
      </c>
      <c r="AF106" s="3">
        <f>IF(ISERROR((VLOOKUP($A106,'SegEnds_NonXtal_BW#'!$A:$Z,22,FALSE)+VLOOKUP($A106,A:AL,31,FALSE)-50)),"-",(VLOOKUP($A106,'SegEnds_NonXtal_BW#'!$A:$Z,22,FALSE)+VLOOKUP($A106,A:AL,31,FALSE)-50))</f>
        <v>306</v>
      </c>
      <c r="AG106" s="3">
        <f>IF(ISERROR(VLOOKUP($A106,'SegEnds_NonXtal_BW#'!$A:$Z,23,FALSE)+VLOOKUP($A106,A:AL,34,FALSE)-50),"-",(VLOOKUP($A106,'SegEnds_NonXtal_BW#'!$A:$Z,23,FALSE)+VLOOKUP($A106,A:AL,34,FALSE)-50))</f>
        <v>311</v>
      </c>
      <c r="AH106" s="3">
        <v>334</v>
      </c>
      <c r="AI106" s="3">
        <f>IF(ISERROR((VLOOKUP($A106,'SegEnds_NonXtal_BW#'!$A:$Z,24,FALSE)+VLOOKUP($A106,A:AL,34,FALSE)-50)),"-",(VLOOKUP($A106,'SegEnds_NonXtal_BW#'!$A:$Z,24,FALSE)+VLOOKUP($A106,A:AL,34,FALSE)-50))</f>
        <v>340</v>
      </c>
      <c r="AJ106" s="3">
        <f>IF(ISERROR(VLOOKUP($A106,'SegEnds_NonXtal_BW#'!$A:$Z,25,FALSE)+VLOOKUP($A106,A:AL,37,FALSE)-50),"-",(VLOOKUP($A106,'SegEnds_NonXtal_BW#'!$A:$Z,25,FALSE)+VLOOKUP($A106,A:AL,37,FALSE)-50))</f>
        <v>341</v>
      </c>
      <c r="AK106" s="3">
        <v>344</v>
      </c>
      <c r="AL106" s="3">
        <f>IF(ISERROR((VLOOKUP($A106,'SegEnds_NonXtal_BW#'!$A:$Z,26,FALSE)+VLOOKUP($A106,A:AL,37,FALSE)-50)),"-",(VLOOKUP($A106,'SegEnds_NonXtal_BW#'!$A:$Z,26,FALSE)+VLOOKUP($A106,A:AL,37,FALSE)-50))</f>
        <v>357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17</v>
      </c>
      <c r="AW106" s="3">
        <f t="shared" si="46"/>
        <v>6</v>
      </c>
      <c r="AX106" s="3">
        <f t="shared" si="47"/>
        <v>24</v>
      </c>
      <c r="AY106" s="3">
        <f t="shared" si="48"/>
        <v>5</v>
      </c>
      <c r="AZ106" s="3">
        <f t="shared" si="49"/>
        <v>1</v>
      </c>
      <c r="BA106" s="3">
        <f>IF(ISERROR(LEN(VLOOKUP(A106,Seqs!A:E,2,FALSE))-AL106),"-",LEN(VLOOKUP(A106,Seqs!A:E,2,FALSE))-AL106)</f>
        <v>20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76</v>
      </c>
      <c r="BF106" s="3">
        <f>AH106-AE106</f>
        <v>39</v>
      </c>
    </row>
    <row r="107" spans="1:58" s="3" customFormat="1" x14ac:dyDescent="0.2">
      <c r="A107" s="3" t="s">
        <v>200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91"/>
        <v>90</v>
      </c>
      <c r="M107" s="3">
        <v>91</v>
      </c>
      <c r="N107" s="3">
        <f t="shared" si="92"/>
        <v>93</v>
      </c>
      <c r="O107" s="3">
        <f t="shared" si="93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276</v>
      </c>
      <c r="AH107" s="3">
        <v>298</v>
      </c>
      <c r="AI107" s="3">
        <f>IF(ISERROR((VLOOKUP($A107,'SegEnds_NonXtal_BW#'!$A:$Z,24,FALSE)+VLOOKUP($A107,A:AL,34,FALSE)-50)),"-",(VLOOKUP($A107,'SegEnds_NonXtal_BW#'!$A:$Z,24,FALSE)+VLOOKUP($A107,A:AL,34,FALSE)-50))</f>
        <v>304</v>
      </c>
      <c r="AJ107" s="3">
        <f>IF(ISERROR(VLOOKUP($A107,'SegEnds_NonXtal_BW#'!$A:$Z,25,FALSE)+VLOOKUP($A107,A:AL,37,FALSE)-50),"-",(VLOOKUP($A107,'SegEnds_NonXtal_BW#'!$A:$Z,25,FALSE)+VLOOKUP($A107,A:AL,37,FALSE)-50))</f>
        <v>305</v>
      </c>
      <c r="AK107" s="3">
        <v>308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9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201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91"/>
        <v>90</v>
      </c>
      <c r="M108" s="3">
        <v>91</v>
      </c>
      <c r="N108" s="3">
        <f t="shared" si="92"/>
        <v>93</v>
      </c>
      <c r="O108" s="3">
        <f t="shared" si="93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232</v>
      </c>
      <c r="AD108" s="3">
        <f>IF(ISERROR(VLOOKUP($A108,'SegEnds_NonXtal_BW#'!$A:$Z,21,FALSE)+VLOOKUP($A108,A:AL,31,FALSE)-50),"-",(VLOOKUP($A108,'SegEnds_NonXtal_BW#'!$A:$Z,21,FALSE)+VLOOKUP($A108,A:AL,31,FALSE)-50))</f>
        <v>237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277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10</v>
      </c>
      <c r="AZ108" s="3">
        <f t="shared" si="49"/>
        <v>1</v>
      </c>
      <c r="BA108" s="3">
        <f>IF(ISERROR(LEN(VLOOKUP(A108,Seqs!A:E,2,FALSE))-AL108),"-",LEN(VLOOKUP(A108,Seqs!A:E,2,FALSE))-AL108)</f>
        <v>34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202</v>
      </c>
      <c r="B109" s="3" t="str">
        <f>LOWER(VLOOKUP(A109,Xtal_Templ!A:B,2,FALSE))</f>
        <v>fpr2_human</v>
      </c>
      <c r="C109" s="3">
        <f>VLOOKUP($A109,'SegEnds_NonXtal_BW#'!$A:$Z,3,FALSE)+D109-50</f>
        <v>19</v>
      </c>
      <c r="D109" s="3">
        <v>44</v>
      </c>
      <c r="E109" s="3">
        <f>IF(ISERROR(VLOOKUP($A109,'SegEnds_NonXtal_BW#'!$A:$Z,4,FALSE)+VLOOKUP($A109,A:AL,4,FALSE)-50),"-",(VLOOKUP($A109,'SegEnds_NonXtal_BW#'!$A:$Z,4,FALSE)+VLOOKUP($A109,A:AL,4,FALSE)-50))</f>
        <v>55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58</v>
      </c>
      <c r="J109" s="3">
        <v>71</v>
      </c>
      <c r="K109" s="3">
        <f>VLOOKUP($A109,'SegEnds_NonXtal_BW#'!$A:$Z,8,FALSE)+VLOOKUP($A109,A:AL,10,FALSE)-50</f>
        <v>88</v>
      </c>
      <c r="L109" s="3">
        <f t="shared" si="91"/>
        <v>90</v>
      </c>
      <c r="M109" s="3">
        <v>91</v>
      </c>
      <c r="N109" s="3">
        <f t="shared" si="92"/>
        <v>93</v>
      </c>
      <c r="O109" s="3">
        <f t="shared" si="93"/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0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176</v>
      </c>
      <c r="Y109" s="3">
        <v>176</v>
      </c>
      <c r="Z109" s="3">
        <f t="shared" si="64"/>
        <v>178</v>
      </c>
      <c r="AA109" s="3">
        <f>IF(ISERROR(VLOOKUP($A109,'SegEnds_NonXtal_BW#'!$A:$Z,19,FALSE)+VLOOKUP($A109,A:AL,28,FALSE)-50),"-",(VLOOKUP($A109,'SegEnds_NonXtal_BW#'!$A:$Z,19,FALSE)+VLOOKUP($A109,A:AL,28,FALSE)-50))</f>
        <v>186</v>
      </c>
      <c r="AB109" s="3">
        <v>213</v>
      </c>
      <c r="AC109" s="3">
        <f>IF(ISERROR((VLOOKUP($A109,'SegEnds_NonXtal_BW#'!$A:$Z,20,FALSE)+VLOOKUP($A109,A:AL,28,FALSE)-50)),"-",(VLOOKUP($A109,'SegEnds_NonXtal_BW#'!$A:$Z,20,FALSE)+VLOOKUP($A109,A:AL,28,FALSE)-50))</f>
        <v>231</v>
      </c>
      <c r="AD109" s="3">
        <f>IF(ISERROR(VLOOKUP($A109,'SegEnds_NonXtal_BW#'!$A:$Z,21,FALSE)+VLOOKUP($A109,A:AL,31,FALSE)-50),"-",(VLOOKUP($A109,'SegEnds_NonXtal_BW#'!$A:$Z,21,FALSE)+VLOOKUP($A109,A:AL,31,FALSE)-50))</f>
        <v>236</v>
      </c>
      <c r="AE109" s="3">
        <v>256</v>
      </c>
      <c r="AF109" s="3">
        <f>IF(ISERROR((VLOOKUP($A109,'SegEnds_NonXtal_BW#'!$A:$Z,22,FALSE)+VLOOKUP($A109,A:AL,31,FALSE)-50)),"-",(VLOOKUP($A109,'SegEnds_NonXtal_BW#'!$A:$Z,22,FALSE)+VLOOKUP($A109,A:AL,31,FALSE)-50))</f>
        <v>267</v>
      </c>
      <c r="AG109" s="3">
        <f>IF(ISERROR(VLOOKUP($A109,'SegEnds_NonXtal_BW#'!$A:$Z,23,FALSE)+VLOOKUP($A109,A:AL,34,FALSE)-50),"-",(VLOOKUP($A109,'SegEnds_NonXtal_BW#'!$A:$Z,23,FALSE)+VLOOKUP($A109,A:AL,34,FALSE)-50))</f>
        <v>273</v>
      </c>
      <c r="AH109" s="3">
        <v>299</v>
      </c>
      <c r="AI109" s="3">
        <f>IF(ISERROR((VLOOKUP($A109,'SegEnds_NonXtal_BW#'!$A:$Z,24,FALSE)+VLOOKUP($A109,A:AL,34,FALSE)-50)),"-",(VLOOKUP($A109,'SegEnds_NonXtal_BW#'!$A:$Z,24,FALSE)+VLOOKUP($A109,A:AL,34,FALSE)-50))</f>
        <v>305</v>
      </c>
      <c r="AJ109" s="3">
        <f>IF(ISERROR(VLOOKUP($A109,'SegEnds_NonXtal_BW#'!$A:$Z,25,FALSE)+VLOOKUP($A109,A:AL,37,FALSE)-50),"-",(VLOOKUP($A109,'SegEnds_NonXtal_BW#'!$A:$Z,25,FALSE)+VLOOKUP($A109,A:AL,37,FALSE)-50))</f>
        <v>306</v>
      </c>
      <c r="AK109" s="3">
        <v>309</v>
      </c>
      <c r="AL109" s="3">
        <f>IF(ISERROR((VLOOKUP($A109,'SegEnds_NonXtal_BW#'!$A:$Z,26,FALSE)+VLOOKUP($A109,A:AL,37,FALSE)-50)),"-",(VLOOKUP($A109,'SegEnds_NonXtal_BW#'!$A:$Z,26,FALSE)+VLOOKUP($A109,A:AL,37,FALSE)-50))</f>
        <v>317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 t="str">
        <f t="shared" si="39"/>
        <v>-</v>
      </c>
      <c r="AQ109" s="3" t="str">
        <f t="shared" si="40"/>
        <v>-</v>
      </c>
      <c r="AR109" s="3">
        <f t="shared" si="41"/>
        <v>2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12</v>
      </c>
      <c r="AW109" s="3">
        <f t="shared" si="46"/>
        <v>8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36</v>
      </c>
      <c r="BB109" s="16">
        <f t="shared" si="50"/>
        <v>27</v>
      </c>
      <c r="BC109" s="9">
        <f t="shared" si="51"/>
        <v>20</v>
      </c>
      <c r="BD109" s="3">
        <f t="shared" si="52"/>
        <v>27</v>
      </c>
      <c r="BE109" s="3">
        <f t="shared" si="53"/>
        <v>43</v>
      </c>
    </row>
    <row r="110" spans="1:58" s="3" customFormat="1" x14ac:dyDescent="0.2">
      <c r="A110" s="3" t="s">
        <v>203</v>
      </c>
      <c r="B110" s="3" t="str">
        <f>LOWER(VLOOKUP(A110,Xtal_Templ!A:B,2,FALSE))</f>
        <v>aa2ar_human</v>
      </c>
      <c r="C110" s="3">
        <f>VLOOKUP($A110,'SegEnds_NonXtal_BW#'!$A:$Z,3,FALSE)+D110-50</f>
        <v>357</v>
      </c>
      <c r="D110" s="3">
        <v>380</v>
      </c>
      <c r="E110" s="3">
        <f>IF(ISERROR(VLOOKUP($A110,'SegEnds_NonXtal_BW#'!$A:$Z,4,FALSE)+VLOOKUP($A110,A:AL,4,FALSE)-50),"-",(VLOOKUP($A110,'SegEnds_NonXtal_BW#'!$A:$Z,4,FALSE)+VLOOKUP($A110,A:AL,4,FALSE)-50))</f>
        <v>390</v>
      </c>
      <c r="F110" s="3">
        <f>G110-2</f>
        <v>392</v>
      </c>
      <c r="G110" s="3">
        <v>394</v>
      </c>
      <c r="H110" s="3">
        <f>G110+1</f>
        <v>395</v>
      </c>
      <c r="I110" s="3">
        <f>H110+1</f>
        <v>396</v>
      </c>
      <c r="J110" s="3">
        <v>408</v>
      </c>
      <c r="K110" s="3">
        <f>VLOOKUP($A110,'SegEnds_NonXtal_BW#'!$A:$Z,8,FALSE)+VLOOKUP($A110,A:AL,10,FALSE)-50</f>
        <v>425</v>
      </c>
      <c r="L110" s="3">
        <f t="shared" si="91"/>
        <v>435</v>
      </c>
      <c r="M110" s="3">
        <v>436</v>
      </c>
      <c r="N110" s="3">
        <f t="shared" si="92"/>
        <v>438</v>
      </c>
      <c r="O110" s="3">
        <f t="shared" si="93"/>
        <v>439</v>
      </c>
      <c r="P110" s="3">
        <v>467</v>
      </c>
      <c r="Q110" s="3">
        <f>VLOOKUP($A110,'SegEnds_NonXtal_BW#'!$A:$Z,12,FALSE)+VLOOKUP($A110,A:AL,16,FALSE)-50</f>
        <v>473</v>
      </c>
      <c r="R110" s="3">
        <f>IF(ISERROR(VLOOKUP($A110,'SegEnds_NonXtal_BW#'!$A:$Z,13,FALSE)+VLOOKUP($A110,A:AL,19,FALSE)-50),"-",VLOOKUP($A110,'SegEnds_NonXtal_BW#'!$A:$Z,13,FALSE)+VLOOKUP($A110,A:AL,19,FALSE)-50)</f>
        <v>474</v>
      </c>
      <c r="S110" s="3">
        <v>474</v>
      </c>
      <c r="T110" s="100">
        <f>IF(ISERROR(VLOOKUP($A110,'SegEnds_NonXtal_BW#'!$A:$Z,14,FALSE)+VLOOKUP($A110,A:AL,19,FALSE)-50),"-",(VLOOKUP($A110,'SegEnds_NonXtal_BW#'!$A:$Z,14,FALSE)+VLOOKUP($A110,A:AL,19,FALSE)-50))</f>
        <v>481</v>
      </c>
      <c r="U110" s="9">
        <f>IF(ISERROR(VLOOKUP($A110,'SegEnds_NonXtal_BW#'!$A:$Z,15,FALSE)+VLOOKUP($A110,A:AL,22,FALSE)-50),"-",VLOOKUP($A110,'SegEnds_NonXtal_BW#'!$A:$Z,15,FALSE)+VLOOKUP($A110,A:AL,22,FALSE)-50)</f>
        <v>482</v>
      </c>
      <c r="V110" s="3">
        <v>494</v>
      </c>
      <c r="W110" s="3">
        <f>IF(ISERROR(VLOOKUP($A110,'SegEnds_NonXtal_BW#'!$A:$Z,16,FALSE)+VLOOKUP($A110,A:AL,22,FALSE)-50),"-",(VLOOKUP($A110,'SegEnds_NonXtal_BW#'!$A:$Z,16,FALSE)+VLOOKUP($A110,A:AL,22,FALSE)-50))</f>
        <v>507</v>
      </c>
      <c r="X110" s="3">
        <f>IF(ISERROR(VLOOKUP($A110,'SegEnds_NonXtal_BW#'!$A:$Z,17,FALSE)+VLOOKUP($A110,A:AL,25,FALSE)-50),"-",(VLOOKUP($A110,'SegEnds_NonXtal_BW#'!$A:$Z,17,FALSE)+VLOOKUP($A110,A:AL,25,FALSE)-50))</f>
        <v>517</v>
      </c>
      <c r="Y110" s="3">
        <v>517</v>
      </c>
      <c r="Z110" s="3">
        <f t="shared" si="64"/>
        <v>519</v>
      </c>
      <c r="AA110" s="3">
        <f>IF(ISERROR(VLOOKUP($A110,'SegEnds_NonXtal_BW#'!$A:$Z,19,FALSE)+VLOOKUP($A110,A:AL,28,FALSE)-50),"-",(VLOOKUP($A110,'SegEnds_NonXtal_BW#'!$A:$Z,19,FALSE)+VLOOKUP($A110,A:AL,28,FALSE)-50))</f>
        <v>525</v>
      </c>
      <c r="AB110" s="3">
        <v>541</v>
      </c>
      <c r="AC110" s="3">
        <f>IF(ISERROR((VLOOKUP($A110,'SegEnds_NonXtal_BW#'!$A:$Z,20,FALSE)+VLOOKUP($A110,A:AL,28,FALSE)-50)),"-",(VLOOKUP($A110,'SegEnds_NonXtal_BW#'!$A:$Z,20,FALSE)+VLOOKUP($A110,A:AL,28,FALSE)-50))</f>
        <v>558</v>
      </c>
      <c r="AD110" s="3">
        <f>IF(ISERROR(VLOOKUP($A110,'SegEnds_NonXtal_BW#'!$A:$Z,21,FALSE)+VLOOKUP($A110,A:AL,31,FALSE)-50),"-",(VLOOKUP($A110,'SegEnds_NonXtal_BW#'!$A:$Z,21,FALSE)+VLOOKUP($A110,A:AL,31,FALSE)-50))</f>
        <v>563</v>
      </c>
      <c r="AE110" s="3">
        <v>587</v>
      </c>
      <c r="AF110" s="3">
        <f>IF(ISERROR((VLOOKUP($A110,'SegEnds_NonXtal_BW#'!$A:$Z,22,FALSE)+VLOOKUP($A110,A:AL,31,FALSE)-50)),"-",(VLOOKUP($A110,'SegEnds_NonXtal_BW#'!$A:$Z,22,FALSE)+VLOOKUP($A110,A:AL,31,FALSE)-50))</f>
        <v>598</v>
      </c>
      <c r="AG110" s="3">
        <f>IF(ISERROR(VLOOKUP($A110,'SegEnds_NonXtal_BW#'!$A:$Z,23,FALSE)+VLOOKUP($A110,A:AL,34,FALSE)-50),"-",(VLOOKUP($A110,'SegEnds_NonXtal_BW#'!$A:$Z,23,FALSE)+VLOOKUP($A110,A:AL,34,FALSE)-50))</f>
        <v>604</v>
      </c>
      <c r="AH110" s="3">
        <v>623</v>
      </c>
      <c r="AI110" s="3">
        <f>IF(ISERROR((VLOOKUP($A110,'SegEnds_NonXtal_BW#'!$A:$Z,24,FALSE)+VLOOKUP($A110,A:AL,34,FALSE)-50)),"-",(VLOOKUP($A110,'SegEnds_NonXtal_BW#'!$A:$Z,24,FALSE)+VLOOKUP($A110,A:AL,34,FALSE)-50))</f>
        <v>629</v>
      </c>
      <c r="AJ110" s="3">
        <f>IF(ISERROR(VLOOKUP($A110,'SegEnds_NonXtal_BW#'!$A:$Z,25,FALSE)+VLOOKUP($A110,A:AL,37,FALSE)-50),"-",(VLOOKUP($A110,'SegEnds_NonXtal_BW#'!$A:$Z,25,FALSE)+VLOOKUP($A110,A:AL,37,FALSE)-50))</f>
        <v>630</v>
      </c>
      <c r="AK110" s="3">
        <v>633</v>
      </c>
      <c r="AL110" s="3">
        <f>IF(ISERROR((VLOOKUP($A110,'SegEnds_NonXtal_BW#'!$A:$Z,26,FALSE)+VLOOKUP($A110,A:AL,37,FALSE)-50)),"-",(VLOOKUP($A110,'SegEnds_NonXtal_BW#'!$A:$Z,26,FALSE)+VLOOKUP($A110,A:AL,37,FALSE)-50))</f>
        <v>652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>
        <f t="shared" si="39"/>
        <v>2</v>
      </c>
      <c r="AQ110" s="3">
        <f t="shared" si="40"/>
        <v>1</v>
      </c>
      <c r="AR110" s="3">
        <f t="shared" si="41"/>
        <v>10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10</v>
      </c>
      <c r="AW110" s="3">
        <f t="shared" si="46"/>
        <v>6</v>
      </c>
      <c r="AX110" s="3">
        <f t="shared" si="47"/>
        <v>5</v>
      </c>
      <c r="AY110" s="3">
        <f t="shared" si="48"/>
        <v>6</v>
      </c>
      <c r="AZ110" s="3">
        <f t="shared" si="49"/>
        <v>1</v>
      </c>
      <c r="BA110" s="3">
        <f>IF(ISERROR(LEN(VLOOKUP(A110,Seqs!A:E,2,FALSE))-AL110),"-",LEN(VLOOKUP(A110,Seqs!A:E,2,FALSE))-AL110)</f>
        <v>43</v>
      </c>
      <c r="BB110" s="16">
        <f t="shared" si="50"/>
        <v>28</v>
      </c>
      <c r="BC110" s="9">
        <f t="shared" si="51"/>
        <v>20</v>
      </c>
      <c r="BD110" s="3">
        <f t="shared" si="52"/>
        <v>28</v>
      </c>
      <c r="BE110" s="3">
        <f t="shared" si="53"/>
        <v>46</v>
      </c>
    </row>
    <row r="111" spans="1:58" s="3" customFormat="1" x14ac:dyDescent="0.2">
      <c r="A111" s="3" t="s">
        <v>204</v>
      </c>
      <c r="B111" s="3" t="str">
        <f>LOWER(VLOOKUP(A111,Xtal_Templ!A:B,2,FALSE))</f>
        <v>oprk_human</v>
      </c>
      <c r="C111" s="3">
        <f>VLOOKUP($A111,'SegEnds_NonXtal_BW#'!$A:$Z,3,FALSE)+D111-50</f>
        <v>31</v>
      </c>
      <c r="D111" s="3">
        <v>51</v>
      </c>
      <c r="E111" s="3">
        <f>IF(ISERROR(VLOOKUP($A111,'SegEnds_NonXtal_BW#'!$A:$Z,4,FALSE)+VLOOKUP($A111,A:AL,4,FALSE)-50),"-",(VLOOKUP($A111,'SegEnds_NonXtal_BW#'!$A:$Z,4,FALSE)+VLOOKUP($A111,A:AL,4,FALSE)-50))</f>
        <v>61</v>
      </c>
      <c r="F111" s="3" t="str">
        <f>IF(ISERROR(VLOOKUP($A111,'SegEnds_NonXtal_BW#'!$A:$Z,5,FALSE)+VLOOKUP($A111,A:AL,7,FALSE)-50),"-",(VLOOKUP($A111,'SegEnds_NonXtal_BW#'!$A:$Z,5,FALSE)+VLOOKUP($A111,A:AL,7,FALSE)-50))</f>
        <v>-</v>
      </c>
      <c r="G111" s="3" t="s">
        <v>23</v>
      </c>
      <c r="H111" s="3" t="str">
        <f>IF(ISERROR(VLOOKUP($A111,'SegEnds_NonXtal_BW#'!$A:$Z,6,FALSE)+VLOOKUP($A111,A:AL,7,FALSE)-50),"-",(VLOOKUP($A111,'SegEnds_NonXtal_BW#'!$A:$Z,6,FALSE)+VLOOKUP($A111,A:AL,7,FALSE)-50))</f>
        <v>-</v>
      </c>
      <c r="I111" s="3">
        <f>VLOOKUP($A111,'SegEnds_NonXtal_BW#'!$A:$Z,7,FALSE)+J111-50</f>
        <v>68</v>
      </c>
      <c r="J111" s="3">
        <v>81</v>
      </c>
      <c r="K111" s="3">
        <f>VLOOKUP($A111,'SegEnds_NonXtal_BW#'!$A:$Z,8,FALSE)+VLOOKUP($A111,A:AL,10,FALSE)-50</f>
        <v>98</v>
      </c>
      <c r="L111" s="3">
        <f t="shared" si="91"/>
        <v>100</v>
      </c>
      <c r="M111" s="3">
        <v>101</v>
      </c>
      <c r="N111" s="3">
        <f t="shared" si="92"/>
        <v>103</v>
      </c>
      <c r="O111" s="3">
        <f t="shared" si="93"/>
        <v>104</v>
      </c>
      <c r="P111" s="3">
        <v>133</v>
      </c>
      <c r="Q111" s="3">
        <f>VLOOKUP($A111,'SegEnds_NonXtal_BW#'!$A:$Z,12,FALSE)+VLOOKUP($A111,A:AL,16,FALSE)-50</f>
        <v>139</v>
      </c>
      <c r="R111" s="3">
        <f>IF(ISERROR(VLOOKUP($A111,'SegEnds_NonXtal_BW#'!$A:$Z,13,FALSE)+VLOOKUP($A111,A:AL,19,FALSE)-50),"-",VLOOKUP($A111,'SegEnds_NonXtal_BW#'!$A:$Z,13,FALSE)+VLOOKUP($A111,A:AL,19,FALSE)-50)</f>
        <v>140</v>
      </c>
      <c r="S111" s="3">
        <v>140</v>
      </c>
      <c r="T111" s="100">
        <f>IF(ISERROR(VLOOKUP($A111,'SegEnds_NonXtal_BW#'!$A:$Z,14,FALSE)+VLOOKUP($A111,A:AL,19,FALSE)-50),"-",(VLOOKUP($A111,'SegEnds_NonXtal_BW#'!$A:$Z,14,FALSE)+VLOOKUP($A111,A:AL,19,FALSE)-50))</f>
        <v>147</v>
      </c>
      <c r="U111" s="9">
        <f>IF(ISERROR(VLOOKUP($A111,'SegEnds_NonXtal_BW#'!$A:$Z,15,FALSE)+VLOOKUP($A111,A:AL,22,FALSE)-50),"-",VLOOKUP($A111,'SegEnds_NonXtal_BW#'!$A:$Z,15,FALSE)+VLOOKUP($A111,A:AL,22,FALSE)-50)</f>
        <v>148</v>
      </c>
      <c r="V111" s="3">
        <v>160</v>
      </c>
      <c r="W111" s="3">
        <f>IF(ISERROR(VLOOKUP($A111,'SegEnds_NonXtal_BW#'!$A:$Z,16,FALSE)+VLOOKUP($A111,A:AL,22,FALSE)-50),"-",(VLOOKUP($A111,'SegEnds_NonXtal_BW#'!$A:$Z,16,FALSE)+VLOOKUP($A111,A:AL,22,FALSE)-50))</f>
        <v>174</v>
      </c>
      <c r="X111" s="3">
        <f>IF(ISERROR(VLOOKUP($A111,'SegEnds_NonXtal_BW#'!$A:$Z,17,FALSE)+VLOOKUP($A111,A:AL,25,FALSE)-50),"-",(VLOOKUP($A111,'SegEnds_NonXtal_BW#'!$A:$Z,17,FALSE)+VLOOKUP($A111,A:AL,25,FALSE)-50))</f>
        <v>187</v>
      </c>
      <c r="Y111" s="3">
        <v>187</v>
      </c>
      <c r="Z111" s="3">
        <f t="shared" si="64"/>
        <v>189</v>
      </c>
      <c r="AA111" s="3">
        <f>IF(ISERROR(VLOOKUP($A111,'SegEnds_NonXtal_BW#'!$A:$Z,19,FALSE)+VLOOKUP($A111,A:AL,28,FALSE)-50),"-",(VLOOKUP($A111,'SegEnds_NonXtal_BW#'!$A:$Z,19,FALSE)+VLOOKUP($A111,A:AL,28,FALSE)-50))</f>
        <v>192</v>
      </c>
      <c r="AB111" s="3">
        <v>212</v>
      </c>
      <c r="AC111" s="3">
        <f>IF(ISERROR((VLOOKUP($A111,'SegEnds_NonXtal_BW#'!$A:$Z,20,FALSE)+VLOOKUP($A111,A:AL,28,FALSE)-50)),"-",(VLOOKUP($A111,'SegEnds_NonXtal_BW#'!$A:$Z,20,FALSE)+VLOOKUP($A111,A:AL,28,FALSE)-50))</f>
        <v>234</v>
      </c>
      <c r="AD111" s="3">
        <f>IF(ISERROR(VLOOKUP($A111,'SegEnds_NonXtal_BW#'!$A:$Z,21,FALSE)+VLOOKUP($A111,A:AL,31,FALSE)-50),"-",(VLOOKUP($A111,'SegEnds_NonXtal_BW#'!$A:$Z,21,FALSE)+VLOOKUP($A111,A:AL,31,FALSE)-50))</f>
        <v>241</v>
      </c>
      <c r="AE111" s="3">
        <v>262</v>
      </c>
      <c r="AF111" s="3">
        <f>IF(ISERROR((VLOOKUP($A111,'SegEnds_NonXtal_BW#'!$A:$Z,22,FALSE)+VLOOKUP($A111,A:AL,31,FALSE)-50)),"-",(VLOOKUP($A111,'SegEnds_NonXtal_BW#'!$A:$Z,22,FALSE)+VLOOKUP($A111,A:AL,31,FALSE)-50))</f>
        <v>273</v>
      </c>
      <c r="AG111" s="3">
        <f>IF(ISERROR(VLOOKUP($A111,'SegEnds_NonXtal_BW#'!$A:$Z,23,FALSE)+VLOOKUP($A111,A:AL,34,FALSE)-50),"-",(VLOOKUP($A111,'SegEnds_NonXtal_BW#'!$A:$Z,23,FALSE)+VLOOKUP($A111,A:AL,34,FALSE)-50))</f>
        <v>278</v>
      </c>
      <c r="AH111" s="3">
        <v>300</v>
      </c>
      <c r="AI111" s="3">
        <f>IF(ISERROR((VLOOKUP($A111,'SegEnds_NonXtal_BW#'!$A:$Z,24,FALSE)+VLOOKUP($A111,A:AL,34,FALSE)-50)),"-",(VLOOKUP($A111,'SegEnds_NonXtal_BW#'!$A:$Z,24,FALSE)+VLOOKUP($A111,A:AL,34,FALSE)-50))</f>
        <v>306</v>
      </c>
      <c r="AJ111" s="3">
        <f>IF(ISERROR(VLOOKUP($A111,'SegEnds_NonXtal_BW#'!$A:$Z,25,FALSE)+VLOOKUP($A111,A:AL,37,FALSE)-50),"-",(VLOOKUP($A111,'SegEnds_NonXtal_BW#'!$A:$Z,25,FALSE)+VLOOKUP($A111,A:AL,37,FALSE)-50))</f>
        <v>307</v>
      </c>
      <c r="AK111" s="3">
        <v>310</v>
      </c>
      <c r="AL111" s="3">
        <f>IF(ISERROR((VLOOKUP($A111,'SegEnds_NonXtal_BW#'!$A:$Z,26,FALSE)+VLOOKUP($A111,A:AL,37,FALSE)-50)),"-",(VLOOKUP($A111,'SegEnds_NonXtal_BW#'!$A:$Z,26,FALSE)+VLOOKUP($A111,A:AL,37,FALSE)-50))</f>
        <v>319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 t="str">
        <f t="shared" si="39"/>
        <v>-</v>
      </c>
      <c r="AQ111" s="3" t="str">
        <f t="shared" si="40"/>
        <v>-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13</v>
      </c>
      <c r="AW111" s="3">
        <f t="shared" si="46"/>
        <v>3</v>
      </c>
      <c r="AX111" s="3">
        <f t="shared" si="47"/>
        <v>7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30</v>
      </c>
      <c r="BB111" s="16">
        <f t="shared" si="50"/>
        <v>30</v>
      </c>
      <c r="BC111" s="9">
        <f t="shared" si="51"/>
        <v>20</v>
      </c>
      <c r="BD111" s="3">
        <f t="shared" si="52"/>
        <v>30</v>
      </c>
      <c r="BE111" s="3">
        <f t="shared" si="53"/>
        <v>50</v>
      </c>
    </row>
    <row r="112" spans="1:58" s="3" customFormat="1" x14ac:dyDescent="0.2">
      <c r="A112" s="3" t="s">
        <v>205</v>
      </c>
      <c r="B112" s="3" t="str">
        <f>LOWER(VLOOKUP(A112,Xtal_Templ!A:B,2,FALSE))</f>
        <v>oprk_human</v>
      </c>
      <c r="C112" s="3">
        <f>VLOOKUP($A112,'SegEnds_NonXtal_BW#'!$A:$Z,3,FALSE)+D112-50</f>
        <v>23</v>
      </c>
      <c r="D112" s="3">
        <v>43</v>
      </c>
      <c r="E112" s="3">
        <f>IF(ISERROR(VLOOKUP($A112,'SegEnds_NonXtal_BW#'!$A:$Z,4,FALSE)+VLOOKUP($A112,A:AL,4,FALSE)-50),"-",(VLOOKUP($A112,'SegEnds_NonXtal_BW#'!$A:$Z,4,FALSE)+VLOOKUP($A112,A:AL,4,FALSE)-50))</f>
        <v>53</v>
      </c>
      <c r="F112" s="3">
        <f>G112-2</f>
        <v>54</v>
      </c>
      <c r="G112" s="3">
        <v>56</v>
      </c>
      <c r="H112" s="3">
        <f t="shared" ref="H112:I116" si="94">G112+1</f>
        <v>57</v>
      </c>
      <c r="I112" s="3">
        <f t="shared" si="94"/>
        <v>58</v>
      </c>
      <c r="J112" s="3">
        <v>71</v>
      </c>
      <c r="K112" s="3">
        <f>VLOOKUP($A112,'SegEnds_NonXtal_BW#'!$A:$Z,8,FALSE)+VLOOKUP($A112,A:AL,10,FALSE)-50</f>
        <v>88</v>
      </c>
      <c r="L112" s="3">
        <f t="shared" si="91"/>
        <v>90</v>
      </c>
      <c r="M112" s="3">
        <v>91</v>
      </c>
      <c r="N112" s="3">
        <f t="shared" si="92"/>
        <v>93</v>
      </c>
      <c r="O112" s="3">
        <f t="shared" si="93"/>
        <v>94</v>
      </c>
      <c r="P112" s="3">
        <v>123</v>
      </c>
      <c r="Q112" s="3">
        <f>VLOOKUP($A112,'SegEnds_NonXtal_BW#'!$A:$Z,12,FALSE)+VLOOKUP($A112,A:AL,16,FALSE)-50</f>
        <v>129</v>
      </c>
      <c r="R112" s="3">
        <f>IF(ISERROR(VLOOKUP($A112,'SegEnds_NonXtal_BW#'!$A:$Z,13,FALSE)+VLOOKUP($A112,A:AL,19,FALSE)-50),"-",VLOOKUP($A112,'SegEnds_NonXtal_BW#'!$A:$Z,13,FALSE)+VLOOKUP($A112,A:AL,19,FALSE)-50)</f>
        <v>130</v>
      </c>
      <c r="S112" s="3">
        <v>130</v>
      </c>
      <c r="T112" s="100">
        <f>IF(ISERROR(VLOOKUP($A112,'SegEnds_NonXtal_BW#'!$A:$Z,14,FALSE)+VLOOKUP($A112,A:AL,19,FALSE)-50),"-",(VLOOKUP($A112,'SegEnds_NonXtal_BW#'!$A:$Z,14,FALSE)+VLOOKUP($A112,A:AL,19,FALSE)-50))</f>
        <v>137</v>
      </c>
      <c r="U112" s="9">
        <f>IF(ISERROR(VLOOKUP($A112,'SegEnds_NonXtal_BW#'!$A:$Z,15,FALSE)+VLOOKUP($A112,A:AL,22,FALSE)-50),"-",VLOOKUP($A112,'SegEnds_NonXtal_BW#'!$A:$Z,15,FALSE)+VLOOKUP($A112,A:AL,22,FALSE)-50)</f>
        <v>138</v>
      </c>
      <c r="V112" s="3">
        <v>150</v>
      </c>
      <c r="W112" s="3">
        <f>IF(ISERROR(VLOOKUP($A112,'SegEnds_NonXtal_BW#'!$A:$Z,16,FALSE)+VLOOKUP($A112,A:AL,22,FALSE)-50),"-",(VLOOKUP($A112,'SegEnds_NonXtal_BW#'!$A:$Z,16,FALSE)+VLOOKUP($A112,A:AL,22,FALSE)-50))</f>
        <v>164</v>
      </c>
      <c r="X112" s="3">
        <f>IF(ISERROR(VLOOKUP($A112,'SegEnds_NonXtal_BW#'!$A:$Z,17,FALSE)+VLOOKUP($A112,A:AL,25,FALSE)-50),"-",(VLOOKUP($A112,'SegEnds_NonXtal_BW#'!$A:$Z,17,FALSE)+VLOOKUP($A112,A:AL,25,FALSE)-50))</f>
        <v>175</v>
      </c>
      <c r="Y112" s="3">
        <v>175</v>
      </c>
      <c r="Z112" s="3">
        <f t="shared" si="64"/>
        <v>177</v>
      </c>
      <c r="AA112" s="3">
        <f>IF(ISERROR(VLOOKUP($A112,'SegEnds_NonXtal_BW#'!$A:$Z,19,FALSE)+VLOOKUP($A112,A:AL,28,FALSE)-50),"-",(VLOOKUP($A112,'SegEnds_NonXtal_BW#'!$A:$Z,19,FALSE)+VLOOKUP($A112,A:AL,28,FALSE)-50))</f>
        <v>179</v>
      </c>
      <c r="AB112" s="3">
        <v>199</v>
      </c>
      <c r="AC112" s="3">
        <f>IF(ISERROR((VLOOKUP($A112,'SegEnds_NonXtal_BW#'!$A:$Z,20,FALSE)+VLOOKUP($A112,A:AL,28,FALSE)-50)),"-",(VLOOKUP($A112,'SegEnds_NonXtal_BW#'!$A:$Z,20,FALSE)+VLOOKUP($A112,A:AL,28,FALSE)-50))</f>
        <v>221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251</v>
      </c>
      <c r="AF112" s="3">
        <f>IF(ISERROR((VLOOKUP($A112,'SegEnds_NonXtal_BW#'!$A:$Z,22,FALSE)+VLOOKUP($A112,A:AL,31,FALSE)-50)),"-",(VLOOKUP($A112,'SegEnds_NonXtal_BW#'!$A:$Z,22,FALSE)+VLOOKUP($A112,A:AL,31,FALSE)-50))</f>
        <v>262</v>
      </c>
      <c r="AG112" s="3">
        <f>IF(ISERROR(VLOOKUP($A112,'SegEnds_NonXtal_BW#'!$A:$Z,23,FALSE)+VLOOKUP($A112,A:AL,34,FALSE)-50),"-",(VLOOKUP($A112,'SegEnds_NonXtal_BW#'!$A:$Z,23,FALSE)+VLOOKUP($A112,A:AL,34,FALSE)-50))</f>
        <v>267</v>
      </c>
      <c r="AH112" s="3">
        <v>289</v>
      </c>
      <c r="AI112" s="3">
        <f>IF(ISERROR((VLOOKUP($A112,'SegEnds_NonXtal_BW#'!$A:$Z,24,FALSE)+VLOOKUP($A112,A:AL,34,FALSE)-50)),"-",(VLOOKUP($A112,'SegEnds_NonXtal_BW#'!$A:$Z,24,FALSE)+VLOOKUP($A112,A:AL,34,FALSE)-50))</f>
        <v>295</v>
      </c>
      <c r="AJ112" s="3">
        <f>IF(ISERROR(VLOOKUP($A112,'SegEnds_NonXtal_BW#'!$A:$Z,25,FALSE)+VLOOKUP($A112,A:AL,37,FALSE)-50),"-",(VLOOKUP($A112,'SegEnds_NonXtal_BW#'!$A:$Z,25,FALSE)+VLOOKUP($A112,A:AL,37,FALSE)-50))</f>
        <v>296</v>
      </c>
      <c r="AK112" s="3">
        <v>299</v>
      </c>
      <c r="AL112" s="3">
        <f>IF(ISERROR((VLOOKUP($A112,'SegEnds_NonXtal_BW#'!$A:$Z,26,FALSE)+VLOOKUP($A112,A:AL,37,FALSE)-50)),"-",(VLOOKUP($A112,'SegEnds_NonXtal_BW#'!$A:$Z,26,FALSE)+VLOOKUP($A112,A:AL,37,FALSE)-50))</f>
        <v>308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1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3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79</v>
      </c>
      <c r="BB112" s="16">
        <f t="shared" si="50"/>
        <v>28</v>
      </c>
      <c r="BC112" s="9">
        <f t="shared" si="51"/>
        <v>20</v>
      </c>
      <c r="BD112" s="3">
        <f t="shared" si="52"/>
        <v>28</v>
      </c>
      <c r="BE112" s="3">
        <f t="shared" si="53"/>
        <v>52</v>
      </c>
    </row>
    <row r="113" spans="1:60" s="3" customFormat="1" x14ac:dyDescent="0.2">
      <c r="A113" s="3" t="s">
        <v>206</v>
      </c>
      <c r="B113" s="3" t="str">
        <f>LOWER(VLOOKUP(A113,Xtal_Templ!A:B,2,FALSE))</f>
        <v>oprk_human</v>
      </c>
      <c r="C113" s="3">
        <f>VLOOKUP($A113,'SegEnds_NonXtal_BW#'!$A:$Z,3,FALSE)+D113-50</f>
        <v>15</v>
      </c>
      <c r="D113" s="3">
        <v>35</v>
      </c>
      <c r="E113" s="3">
        <f>IF(ISERROR(VLOOKUP($A113,'SegEnds_NonXtal_BW#'!$A:$Z,4,FALSE)+VLOOKUP($A113,A:AL,4,FALSE)-50),"-",(VLOOKUP($A113,'SegEnds_NonXtal_BW#'!$A:$Z,4,FALSE)+VLOOKUP($A113,A:AL,4,FALSE)-50))</f>
        <v>45</v>
      </c>
      <c r="F113" s="3">
        <f>G113-2</f>
        <v>47</v>
      </c>
      <c r="G113" s="3">
        <v>49</v>
      </c>
      <c r="H113" s="3">
        <f t="shared" si="94"/>
        <v>50</v>
      </c>
      <c r="I113" s="3">
        <f t="shared" si="94"/>
        <v>51</v>
      </c>
      <c r="J113" s="3">
        <v>68</v>
      </c>
      <c r="K113" s="3">
        <f>VLOOKUP($A113,'SegEnds_NonXtal_BW#'!$A:$Z,8,FALSE)+VLOOKUP($A113,A:AL,10,FALSE)-50</f>
        <v>85</v>
      </c>
      <c r="L113" s="3">
        <f t="shared" si="91"/>
        <v>87</v>
      </c>
      <c r="M113" s="3">
        <v>88</v>
      </c>
      <c r="N113" s="3">
        <f t="shared" si="92"/>
        <v>90</v>
      </c>
      <c r="O113" s="3">
        <f t="shared" si="93"/>
        <v>91</v>
      </c>
      <c r="P113" s="3">
        <v>120</v>
      </c>
      <c r="Q113" s="3">
        <f>VLOOKUP($A113,'SegEnds_NonXtal_BW#'!$A:$Z,12,FALSE)+VLOOKUP($A113,A:AL,16,FALSE)-50</f>
        <v>126</v>
      </c>
      <c r="R113" s="3">
        <f>IF(ISERROR(VLOOKUP($A113,'SegEnds_NonXtal_BW#'!$A:$Z,13,FALSE)+VLOOKUP($A113,A:AL,19,FALSE)-50),"-",VLOOKUP($A113,'SegEnds_NonXtal_BW#'!$A:$Z,13,FALSE)+VLOOKUP($A113,A:AL,19,FALSE)-50)</f>
        <v>127</v>
      </c>
      <c r="S113" s="3">
        <v>127</v>
      </c>
      <c r="T113" s="100">
        <f>IF(ISERROR(VLOOKUP($A113,'SegEnds_NonXtal_BW#'!$A:$Z,14,FALSE)+VLOOKUP($A113,A:AL,19,FALSE)-50),"-",(VLOOKUP($A113,'SegEnds_NonXtal_BW#'!$A:$Z,14,FALSE)+VLOOKUP($A113,A:AL,19,FALSE)-50))</f>
        <v>134</v>
      </c>
      <c r="U113" s="9">
        <f>IF(ISERROR(VLOOKUP($A113,'SegEnds_NonXtal_BW#'!$A:$Z,15,FALSE)+VLOOKUP($A113,A:AL,22,FALSE)-50),"-",VLOOKUP($A113,'SegEnds_NonXtal_BW#'!$A:$Z,15,FALSE)+VLOOKUP($A113,A:AL,22,FALSE)-50)</f>
        <v>135</v>
      </c>
      <c r="V113" s="3">
        <v>147</v>
      </c>
      <c r="W113" s="3">
        <f>IF(ISERROR(VLOOKUP($A113,'SegEnds_NonXtal_BW#'!$A:$Z,16,FALSE)+VLOOKUP($A113,A:AL,22,FALSE)-50),"-",(VLOOKUP($A113,'SegEnds_NonXtal_BW#'!$A:$Z,16,FALSE)+VLOOKUP($A113,A:AL,22,FALSE)-50))</f>
        <v>161</v>
      </c>
      <c r="X113" s="3">
        <f>IF(ISERROR(VLOOKUP($A113,'SegEnds_NonXtal_BW#'!$A:$Z,17,FALSE)+VLOOKUP($A113,A:AL,25,FALSE)-50),"-",(VLOOKUP($A113,'SegEnds_NonXtal_BW#'!$A:$Z,17,FALSE)+VLOOKUP($A113,A:AL,25,FALSE)-50))</f>
        <v>172</v>
      </c>
      <c r="Y113" s="3">
        <v>172</v>
      </c>
      <c r="Z113" s="3">
        <f t="shared" si="64"/>
        <v>174</v>
      </c>
      <c r="AA113" s="3">
        <f>IF(ISERROR(VLOOKUP($A113,'SegEnds_NonXtal_BW#'!$A:$Z,19,FALSE)+VLOOKUP($A113,A:AL,28,FALSE)-50),"-",(VLOOKUP($A113,'SegEnds_NonXtal_BW#'!$A:$Z,19,FALSE)+VLOOKUP($A113,A:AL,28,FALSE)-50))</f>
        <v>176</v>
      </c>
      <c r="AB113" s="3">
        <v>196</v>
      </c>
      <c r="AC113" s="3">
        <f>IF(ISERROR((VLOOKUP($A113,'SegEnds_NonXtal_BW#'!$A:$Z,20,FALSE)+VLOOKUP($A113,A:AL,28,FALSE)-50)),"-",(VLOOKUP($A113,'SegEnds_NonXtal_BW#'!$A:$Z,20,FALSE)+VLOOKUP($A113,A:AL,28,FALSE)-50))</f>
        <v>218</v>
      </c>
      <c r="AD113" s="3">
        <f>IF(ISERROR(VLOOKUP($A113,'SegEnds_NonXtal_BW#'!$A:$Z,21,FALSE)+VLOOKUP($A113,A:AL,31,FALSE)-50),"-",(VLOOKUP($A113,'SegEnds_NonXtal_BW#'!$A:$Z,21,FALSE)+VLOOKUP($A113,A:AL,31,FALSE)-50))</f>
        <v>224</v>
      </c>
      <c r="AE113" s="3">
        <v>250</v>
      </c>
      <c r="AF113" s="3">
        <f>IF(ISERROR((VLOOKUP($A113,'SegEnds_NonXtal_BW#'!$A:$Z,22,FALSE)+VLOOKUP($A113,A:AL,31,FALSE)-50)),"-",(VLOOKUP($A113,'SegEnds_NonXtal_BW#'!$A:$Z,22,FALSE)+VLOOKUP($A113,A:AL,31,FALSE)-50))</f>
        <v>261</v>
      </c>
      <c r="AG113" s="3">
        <f>IF(ISERROR(VLOOKUP($A113,'SegEnds_NonXtal_BW#'!$A:$Z,23,FALSE)+VLOOKUP($A113,A:AL,34,FALSE)-50),"-",(VLOOKUP($A113,'SegEnds_NonXtal_BW#'!$A:$Z,23,FALSE)+VLOOKUP($A113,A:AL,34,FALSE)-50))</f>
        <v>266</v>
      </c>
      <c r="AH113" s="3">
        <v>288</v>
      </c>
      <c r="AI113" s="3">
        <f>IF(ISERROR((VLOOKUP($A113,'SegEnds_NonXtal_BW#'!$A:$Z,24,FALSE)+VLOOKUP($A113,A:AL,34,FALSE)-50)),"-",(VLOOKUP($A113,'SegEnds_NonXtal_BW#'!$A:$Z,24,FALSE)+VLOOKUP($A113,A:AL,34,FALSE)-50))</f>
        <v>294</v>
      </c>
      <c r="AJ113" s="3">
        <f>IF(ISERROR(VLOOKUP($A113,'SegEnds_NonXtal_BW#'!$A:$Z,25,FALSE)+VLOOKUP($A113,A:AL,37,FALSE)-50),"-",(VLOOKUP($A113,'SegEnds_NonXtal_BW#'!$A:$Z,25,FALSE)+VLOOKUP($A113,A:AL,37,FALSE)-50))</f>
        <v>295</v>
      </c>
      <c r="AK113" s="3">
        <v>298</v>
      </c>
      <c r="AL113" s="3">
        <f>IF(ISERROR((VLOOKUP($A113,'SegEnds_NonXtal_BW#'!$A:$Z,26,FALSE)+VLOOKUP($A113,A:AL,37,FALSE)-50)),"-",(VLOOKUP($A113,'SegEnds_NonXtal_BW#'!$A:$Z,26,FALSE)+VLOOKUP($A113,A:AL,37,FALSE)-50))</f>
        <v>307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2</v>
      </c>
      <c r="AQ113" s="3">
        <f t="shared" si="40"/>
        <v>1</v>
      </c>
      <c r="AR113" s="3">
        <f t="shared" si="41"/>
        <v>2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11</v>
      </c>
      <c r="AW113" s="3">
        <f t="shared" si="46"/>
        <v>2</v>
      </c>
      <c r="AX113" s="3">
        <f t="shared" si="47"/>
        <v>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61</v>
      </c>
      <c r="BB113" s="16">
        <f t="shared" si="50"/>
        <v>33</v>
      </c>
      <c r="BC113" s="9">
        <f t="shared" si="51"/>
        <v>20</v>
      </c>
      <c r="BD113" s="3">
        <f t="shared" si="52"/>
        <v>33</v>
      </c>
      <c r="BE113" s="3">
        <f t="shared" si="53"/>
        <v>54</v>
      </c>
    </row>
    <row r="114" spans="1:60" s="3" customFormat="1" x14ac:dyDescent="0.2">
      <c r="A114" s="3" t="s">
        <v>207</v>
      </c>
      <c r="B114" s="3" t="str">
        <f>LOWER(VLOOKUP(A114,Xtal_Templ!A:B,2,FALSE))</f>
        <v>ox2r_human</v>
      </c>
      <c r="C114" s="3">
        <f>VLOOKUP($A114,'SegEnds_NonXtal_BW#'!$A:$Z,3,FALSE)+D114-50</f>
        <v>53</v>
      </c>
      <c r="D114" s="3">
        <v>72</v>
      </c>
      <c r="E114" s="3">
        <f>IF(ISERROR(VLOOKUP($A114,'SegEnds_NonXtal_BW#'!$A:$Z,4,FALSE)+VLOOKUP($A114,A:AL,4,FALSE)-50),"-",(VLOOKUP($A114,'SegEnds_NonXtal_BW#'!$A:$Z,4,FALSE)+VLOOKUP($A114,A:AL,4,FALSE)-50))</f>
        <v>82</v>
      </c>
      <c r="F114" s="3">
        <f>G114-2</f>
        <v>83</v>
      </c>
      <c r="G114" s="3">
        <v>85</v>
      </c>
      <c r="H114" s="3">
        <f t="shared" si="94"/>
        <v>86</v>
      </c>
      <c r="I114" s="3">
        <f t="shared" si="94"/>
        <v>87</v>
      </c>
      <c r="J114" s="3">
        <v>100</v>
      </c>
      <c r="K114" s="3">
        <f>VLOOKUP($A114,'SegEnds_NonXtal_BW#'!$A:$Z,8,FALSE)+VLOOKUP($A114,A:AL,10,FALSE)-50</f>
        <v>118</v>
      </c>
      <c r="L114" s="3">
        <f t="shared" si="91"/>
        <v>119</v>
      </c>
      <c r="M114" s="3">
        <v>120</v>
      </c>
      <c r="N114" s="3">
        <f t="shared" si="92"/>
        <v>122</v>
      </c>
      <c r="O114" s="3">
        <f t="shared" si="93"/>
        <v>123</v>
      </c>
      <c r="P114" s="3">
        <v>152</v>
      </c>
      <c r="Q114" s="3">
        <f>VLOOKUP($A114,'SegEnds_NonXtal_BW#'!$A:$Z,12,FALSE)+VLOOKUP($A114,A:AL,16,FALSE)-50</f>
        <v>158</v>
      </c>
      <c r="R114" s="3">
        <f>IF(ISERROR(VLOOKUP($A114,'SegEnds_NonXtal_BW#'!$A:$Z,13,FALSE)+VLOOKUP($A114,A:AL,19,FALSE)-50),"-",VLOOKUP($A114,'SegEnds_NonXtal_BW#'!$A:$Z,13,FALSE)+VLOOKUP($A114,A:AL,19,FALSE)-50)</f>
        <v>159</v>
      </c>
      <c r="S114" s="3">
        <v>159</v>
      </c>
      <c r="T114" s="100">
        <f>IF(ISERROR(VLOOKUP($A114,'SegEnds_NonXtal_BW#'!$A:$Z,14,FALSE)+VLOOKUP($A114,A:AL,19,FALSE)-50),"-",(VLOOKUP($A114,'SegEnds_NonXtal_BW#'!$A:$Z,14,FALSE)+VLOOKUP($A114,A:AL,19,FALSE)-50))</f>
        <v>166</v>
      </c>
      <c r="U114" s="9">
        <f>IF(ISERROR(VLOOKUP($A114,'SegEnds_NonXtal_BW#'!$A:$Z,15,FALSE)+VLOOKUP($A114,A:AL,22,FALSE)-50),"-",VLOOKUP($A114,'SegEnds_NonXtal_BW#'!$A:$Z,15,FALSE)+VLOOKUP($A114,A:AL,22,FALSE)-50)</f>
        <v>167</v>
      </c>
      <c r="V114" s="3">
        <v>179</v>
      </c>
      <c r="W114" s="3">
        <f>IF(ISERROR(VLOOKUP($A114,'SegEnds_NonXtal_BW#'!$A:$Z,16,FALSE)+VLOOKUP($A114,A:AL,22,FALSE)-50),"-",(VLOOKUP($A114,'SegEnds_NonXtal_BW#'!$A:$Z,16,FALSE)+VLOOKUP($A114,A:AL,22,FALSE)-50))</f>
        <v>193</v>
      </c>
      <c r="X114" s="3">
        <f>IF(ISERROR(VLOOKUP($A114,'SegEnds_NonXtal_BW#'!$A:$Z,17,FALSE)+VLOOKUP($A114,A:AL,25,FALSE)-50),"-",(VLOOKUP($A114,'SegEnds_NonXtal_BW#'!$A:$Z,17,FALSE)+VLOOKUP($A114,A:AL,25,FALSE)-50))</f>
        <v>205</v>
      </c>
      <c r="Y114" s="3">
        <v>205</v>
      </c>
      <c r="Z114" s="3">
        <f t="shared" si="64"/>
        <v>207</v>
      </c>
      <c r="AA114" s="3">
        <f>IF(ISERROR(VLOOKUP($A114,'SegEnds_NonXtal_BW#'!$A:$Z,19,FALSE)+VLOOKUP($A114,A:AL,28,FALSE)-50),"-",(VLOOKUP($A114,'SegEnds_NonXtal_BW#'!$A:$Z,19,FALSE)+VLOOKUP($A114,A:AL,28,FALSE)-50))</f>
        <v>213</v>
      </c>
      <c r="AB114" s="3">
        <v>230</v>
      </c>
      <c r="AC114" s="3">
        <f>IF(ISERROR((VLOOKUP($A114,'SegEnds_NonXtal_BW#'!$A:$Z,20,FALSE)+VLOOKUP($A114,A:AL,28,FALSE)-50)),"-",(VLOOKUP($A114,'SegEnds_NonXtal_BW#'!$A:$Z,20,FALSE)+VLOOKUP($A114,A:AL,28,FALSE)-50))</f>
        <v>256</v>
      </c>
      <c r="AD114" s="3">
        <f>IF(ISERROR(VLOOKUP($A114,'SegEnds_NonXtal_BW#'!$A:$Z,21,FALSE)+VLOOKUP($A114,A:AL,31,FALSE)-50),"-",(VLOOKUP($A114,'SegEnds_NonXtal_BW#'!$A:$Z,21,FALSE)+VLOOKUP($A114,A:AL,31,FALSE)-50))</f>
        <v>322</v>
      </c>
      <c r="AE114" s="3">
        <v>348</v>
      </c>
      <c r="AF114" s="3">
        <f>IF(ISERROR((VLOOKUP($A114,'SegEnds_NonXtal_BW#'!$A:$Z,22,FALSE)+VLOOKUP($A114,A:AL,31,FALSE)-50)),"-",(VLOOKUP($A114,'SegEnds_NonXtal_BW#'!$A:$Z,22,FALSE)+VLOOKUP($A114,A:AL,31,FALSE)-50))</f>
        <v>359</v>
      </c>
      <c r="AG114" s="3">
        <f>IF(ISERROR(VLOOKUP($A114,'SegEnds_NonXtal_BW#'!$A:$Z,23,FALSE)+VLOOKUP($A114,A:AL,34,FALSE)-50),"-",(VLOOKUP($A114,'SegEnds_NonXtal_BW#'!$A:$Z,23,FALSE)+VLOOKUP($A114,A:AL,34,FALSE)-50))</f>
        <v>364</v>
      </c>
      <c r="AH114" s="3">
        <v>387</v>
      </c>
      <c r="AI114" s="3">
        <f>IF(ISERROR((VLOOKUP($A114,'SegEnds_NonXtal_BW#'!$A:$Z,24,FALSE)+VLOOKUP($A114,A:AL,34,FALSE)-50)),"-",(VLOOKUP($A114,'SegEnds_NonXtal_BW#'!$A:$Z,24,FALSE)+VLOOKUP($A114,A:AL,34,FALSE)-50))</f>
        <v>393</v>
      </c>
      <c r="AJ114" s="3">
        <f>IF(ISERROR(VLOOKUP($A114,'SegEnds_NonXtal_BW#'!$A:$Z,25,FALSE)+VLOOKUP($A114,A:AL,37,FALSE)-50),"-",(VLOOKUP($A114,'SegEnds_NonXtal_BW#'!$A:$Z,25,FALSE)+VLOOKUP($A114,A:AL,37,FALSE)-50))</f>
        <v>394</v>
      </c>
      <c r="AK114" s="3">
        <v>397</v>
      </c>
      <c r="AL114" s="3">
        <f>IF(ISERROR((VLOOKUP($A114,'SegEnds_NonXtal_BW#'!$A:$Z,26,FALSE)+VLOOKUP($A114,A:AL,37,FALSE)-50)),"-",(VLOOKUP($A114,'SegEnds_NonXtal_BW#'!$A:$Z,26,FALSE)+VLOOKUP($A114,A:AL,37,FALSE)-50))</f>
        <v>410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12</v>
      </c>
      <c r="AW114" s="3">
        <f t="shared" si="46"/>
        <v>6</v>
      </c>
      <c r="AX114" s="3">
        <f t="shared" si="47"/>
        <v>66</v>
      </c>
      <c r="AY114" s="3">
        <f t="shared" si="48"/>
        <v>5</v>
      </c>
      <c r="AZ114" s="3">
        <f t="shared" si="49"/>
        <v>1</v>
      </c>
      <c r="BA114" s="3">
        <f>IF(ISERROR(LEN(VLOOKUP(A114,Seqs!A:E,2,FALSE))-AL114),"-",LEN(VLOOKUP(A114,Seqs!A:E,2,FALSE))-AL114)</f>
        <v>37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118</v>
      </c>
    </row>
    <row r="115" spans="1:60" s="3" customFormat="1" x14ac:dyDescent="0.2">
      <c r="A115" s="3" t="s">
        <v>208</v>
      </c>
      <c r="B115" s="3" t="str">
        <f>LOWER(VLOOKUP(A115,Xtal_Templ!A:B,2,FALSE))</f>
        <v>ntr1_human</v>
      </c>
      <c r="C115" s="3">
        <f>VLOOKUP($A115,'SegEnds_NonXtal_BW#'!$A:$Z,3,FALSE)+D115-50</f>
        <v>39</v>
      </c>
      <c r="D115" s="3">
        <v>61</v>
      </c>
      <c r="E115" s="3">
        <f>IF(ISERROR(VLOOKUP($A115,'SegEnds_NonXtal_BW#'!$A:$Z,4,FALSE)+VLOOKUP($A115,A:AL,4,FALSE)-50),"-",(VLOOKUP($A115,'SegEnds_NonXtal_BW#'!$A:$Z,4,FALSE)+VLOOKUP($A115,A:AL,4,FALSE)-50))</f>
        <v>71</v>
      </c>
      <c r="F115" s="3">
        <f>G115-2</f>
        <v>72</v>
      </c>
      <c r="G115" s="3">
        <v>74</v>
      </c>
      <c r="H115" s="3">
        <f t="shared" si="94"/>
        <v>75</v>
      </c>
      <c r="I115" s="3">
        <f t="shared" si="94"/>
        <v>76</v>
      </c>
      <c r="J115" s="3">
        <v>89</v>
      </c>
      <c r="K115" s="3">
        <f>VLOOKUP($A115,'SegEnds_NonXtal_BW#'!$A:$Z,8,FALSE)+VLOOKUP($A115,A:AL,10,FALSE)-50</f>
        <v>106</v>
      </c>
      <c r="L115" s="3">
        <f t="shared" si="91"/>
        <v>108</v>
      </c>
      <c r="M115" s="3">
        <v>109</v>
      </c>
      <c r="N115" s="3">
        <f t="shared" si="92"/>
        <v>111</v>
      </c>
      <c r="O115" s="3">
        <f t="shared" si="93"/>
        <v>112</v>
      </c>
      <c r="P115" s="3">
        <v>141</v>
      </c>
      <c r="Q115" s="3">
        <f>VLOOKUP($A115,'SegEnds_NonXtal_BW#'!$A:$Z,12,FALSE)+VLOOKUP($A115,A:AL,16,FALSE)-50</f>
        <v>147</v>
      </c>
      <c r="R115" s="3">
        <f>IF(ISERROR(VLOOKUP($A115,'SegEnds_NonXtal_BW#'!$A:$Z,13,FALSE)+VLOOKUP($A115,A:AL,19,FALSE)-50),"-",VLOOKUP($A115,'SegEnds_NonXtal_BW#'!$A:$Z,13,FALSE)+VLOOKUP($A115,A:AL,19,FALSE)-50)</f>
        <v>148</v>
      </c>
      <c r="S115" s="3">
        <v>148</v>
      </c>
      <c r="T115" s="100">
        <f>IF(ISERROR(VLOOKUP($A115,'SegEnds_NonXtal_BW#'!$A:$Z,14,FALSE)+VLOOKUP($A115,A:AL,19,FALSE)-50),"-",(VLOOKUP($A115,'SegEnds_NonXtal_BW#'!$A:$Z,14,FALSE)+VLOOKUP($A115,A:AL,19,FALSE)-50))</f>
        <v>155</v>
      </c>
      <c r="U115" s="9">
        <f>IF(ISERROR(VLOOKUP($A115,'SegEnds_NonXtal_BW#'!$A:$Z,15,FALSE)+VLOOKUP($A115,A:AL,22,FALSE)-50),"-",VLOOKUP($A115,'SegEnds_NonXtal_BW#'!$A:$Z,15,FALSE)+VLOOKUP($A115,A:AL,22,FALSE)-50)</f>
        <v>156</v>
      </c>
      <c r="V115" s="3">
        <v>168</v>
      </c>
      <c r="W115" s="3">
        <f>IF(ISERROR(VLOOKUP($A115,'SegEnds_NonXtal_BW#'!$A:$Z,16,FALSE)+VLOOKUP($A115,A:AL,22,FALSE)-50),"-",(VLOOKUP($A115,'SegEnds_NonXtal_BW#'!$A:$Z,16,FALSE)+VLOOKUP($A115,A:AL,22,FALSE)-50))</f>
        <v>182</v>
      </c>
      <c r="X115" s="3">
        <f>IF(ISERROR(VLOOKUP($A115,'SegEnds_NonXtal_BW#'!$A:$Z,17,FALSE)+VLOOKUP($A115,A:AL,25,FALSE)-50),"-",(VLOOKUP($A115,'SegEnds_NonXtal_BW#'!$A:$Z,17,FALSE)+VLOOKUP($A115,A:AL,25,FALSE)-50))</f>
        <v>198</v>
      </c>
      <c r="Y115" s="3">
        <v>198</v>
      </c>
      <c r="Z115" s="3">
        <f t="shared" si="64"/>
        <v>200</v>
      </c>
      <c r="AA115" s="3">
        <f>IF(ISERROR(VLOOKUP($A115,'SegEnds_NonXtal_BW#'!$A:$Z,19,FALSE)+VLOOKUP($A115,A:AL,28,FALSE)-50),"-",(VLOOKUP($A115,'SegEnds_NonXtal_BW#'!$A:$Z,19,FALSE)+VLOOKUP($A115,A:AL,28,FALSE)-50))</f>
        <v>205</v>
      </c>
      <c r="AB115" s="3">
        <v>224</v>
      </c>
      <c r="AC115" s="3">
        <f>IF(ISERROR((VLOOKUP($A115,'SegEnds_NonXtal_BW#'!$A:$Z,20,FALSE)+VLOOKUP($A115,A:AL,28,FALSE)-50)),"-",(VLOOKUP($A115,'SegEnds_NonXtal_BW#'!$A:$Z,20,FALSE)+VLOOKUP($A115,A:AL,28,FALSE)-50))</f>
        <v>246</v>
      </c>
      <c r="AD115" s="3">
        <f>IF(ISERROR(VLOOKUP($A115,'SegEnds_NonXtal_BW#'!$A:$Z,21,FALSE)+VLOOKUP($A115,A:AL,31,FALSE)-50),"-",(VLOOKUP($A115,'SegEnds_NonXtal_BW#'!$A:$Z,21,FALSE)+VLOOKUP($A115,A:AL,31,FALSE)-50))</f>
        <v>252</v>
      </c>
      <c r="AE115" s="3">
        <v>278</v>
      </c>
      <c r="AF115" s="3">
        <f>IF(ISERROR((VLOOKUP($A115,'SegEnds_NonXtal_BW#'!$A:$Z,22,FALSE)+VLOOKUP($A115,A:AL,31,FALSE)-50)),"-",(VLOOKUP($A115,'SegEnds_NonXtal_BW#'!$A:$Z,22,FALSE)+VLOOKUP($A115,A:AL,31,FALSE)-50))</f>
        <v>289</v>
      </c>
      <c r="AG115" s="3">
        <f>IF(ISERROR(VLOOKUP($A115,'SegEnds_NonXtal_BW#'!$A:$Z,23,FALSE)+VLOOKUP($A115,A:AL,34,FALSE)-50),"-",(VLOOKUP($A115,'SegEnds_NonXtal_BW#'!$A:$Z,23,FALSE)+VLOOKUP($A115,A:AL,34,FALSE)-50))</f>
        <v>298</v>
      </c>
      <c r="AH115" s="3">
        <v>320</v>
      </c>
      <c r="AI115" s="3">
        <f>IF(ISERROR((VLOOKUP($A115,'SegEnds_NonXtal_BW#'!$A:$Z,24,FALSE)+VLOOKUP($A115,A:AL,34,FALSE)-50)),"-",(VLOOKUP($A115,'SegEnds_NonXtal_BW#'!$A:$Z,24,FALSE)+VLOOKUP($A115,A:AL,34,FALSE)-50))</f>
        <v>326</v>
      </c>
      <c r="AJ115" s="3">
        <f>IF(ISERROR(VLOOKUP($A115,'SegEnds_NonXtal_BW#'!$A:$Z,25,FALSE)+VLOOKUP($A115,A:AL,37,FALSE)-50),"-",(VLOOKUP($A115,'SegEnds_NonXtal_BW#'!$A:$Z,25,FALSE)+VLOOKUP($A115,A:AL,37,FALSE)-50))</f>
        <v>327</v>
      </c>
      <c r="AK115" s="3">
        <v>330</v>
      </c>
      <c r="AL115" s="3">
        <f>IF(ISERROR((VLOOKUP($A115,'SegEnds_NonXtal_BW#'!$A:$Z,26,FALSE)+VLOOKUP($A115,A:AL,37,FALSE)-50)),"-",(VLOOKUP($A115,'SegEnds_NonXtal_BW#'!$A:$Z,26,FALSE)+VLOOKUP($A115,A:AL,37,FALSE)-50))</f>
        <v>342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2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16</v>
      </c>
      <c r="AW115" s="3">
        <f t="shared" si="46"/>
        <v>5</v>
      </c>
      <c r="AX115" s="3">
        <f t="shared" si="47"/>
        <v>6</v>
      </c>
      <c r="AY115" s="3">
        <f t="shared" si="48"/>
        <v>9</v>
      </c>
      <c r="AZ115" s="3">
        <f t="shared" si="49"/>
        <v>1</v>
      </c>
      <c r="BA115" s="3">
        <f>IF(ISERROR(LEN(VLOOKUP(A115,Seqs!A:E,2,FALSE))-AL115),"-",LEN(VLOOKUP(A115,Seqs!A:E,2,FALSE))-AL115)</f>
        <v>24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54</v>
      </c>
      <c r="BF115" s="3">
        <f>AH115-AE115</f>
        <v>42</v>
      </c>
    </row>
    <row r="116" spans="1:60" s="3" customFormat="1" x14ac:dyDescent="0.2">
      <c r="A116" s="3" t="s">
        <v>211</v>
      </c>
      <c r="B116" s="3" t="str">
        <f>LOWER(VLOOKUP(A116,Xtal_Templ!A:B,2,FALSE))</f>
        <v>5ht2c_human</v>
      </c>
      <c r="C116" s="3">
        <f>VLOOKUP($A116,'SegEnds_NonXtal_BW#'!$A:$Z,3,FALSE)+D116-50</f>
        <v>32</v>
      </c>
      <c r="D116" s="3">
        <v>49</v>
      </c>
      <c r="E116" s="3">
        <f>IF(ISERROR(VLOOKUP($A116,'SegEnds_NonXtal_BW#'!$A:$Z,4,FALSE)+VLOOKUP($A116,A:AL,4,FALSE)-50),"-",(VLOOKUP($A116,'SegEnds_NonXtal_BW#'!$A:$Z,4,FALSE)+VLOOKUP($A116,A:AL,4,FALSE)-50))</f>
        <v>59</v>
      </c>
      <c r="F116" s="3">
        <f>G116-2</f>
        <v>60</v>
      </c>
      <c r="G116" s="3">
        <v>62</v>
      </c>
      <c r="H116" s="3">
        <f t="shared" si="94"/>
        <v>63</v>
      </c>
      <c r="I116" s="3">
        <f t="shared" si="94"/>
        <v>64</v>
      </c>
      <c r="J116" s="3">
        <v>77</v>
      </c>
      <c r="K116" s="3">
        <f>VLOOKUP($A116,'SegEnds_NonXtal_BW#'!$A:$Z,8,FALSE)+VLOOKUP($A116,A:AL,10,FALSE)-50</f>
        <v>95</v>
      </c>
      <c r="L116" s="3">
        <f t="shared" si="91"/>
        <v>96</v>
      </c>
      <c r="M116" s="3">
        <v>97</v>
      </c>
      <c r="N116" s="3">
        <f t="shared" si="92"/>
        <v>99</v>
      </c>
      <c r="O116" s="3">
        <f t="shared" si="93"/>
        <v>100</v>
      </c>
      <c r="P116" s="3">
        <v>129</v>
      </c>
      <c r="Q116" s="3">
        <f>VLOOKUP($A116,'SegEnds_NonXtal_BW#'!$A:$Z,12,FALSE)+VLOOKUP($A116,A:AL,16,FALSE)-50</f>
        <v>135</v>
      </c>
      <c r="R116" s="3">
        <f>IF(ISERROR(VLOOKUP($A116,'SegEnds_NonXtal_BW#'!$A:$Z,13,FALSE)+VLOOKUP($A116,A:AL,19,FALSE)-50),"-",VLOOKUP($A116,'SegEnds_NonXtal_BW#'!$A:$Z,13,FALSE)+VLOOKUP($A116,A:AL,19,FALSE)-50)</f>
        <v>136</v>
      </c>
      <c r="S116" s="3">
        <v>136</v>
      </c>
      <c r="T116" s="100">
        <f>IF(ISERROR(VLOOKUP($A116,'SegEnds_NonXtal_BW#'!$A:$Z,14,FALSE)+VLOOKUP($A116,A:AL,19,FALSE)-50),"-",(VLOOKUP($A116,'SegEnds_NonXtal_BW#'!$A:$Z,14,FALSE)+VLOOKUP($A116,A:AL,19,FALSE)-50))</f>
        <v>143</v>
      </c>
      <c r="U116" s="9">
        <f>IF(ISERROR(VLOOKUP($A116,'SegEnds_NonXtal_BW#'!$A:$Z,15,FALSE)+VLOOKUP($A116,A:AL,22,FALSE)-50),"-",VLOOKUP($A116,'SegEnds_NonXtal_BW#'!$A:$Z,15,FALSE)+VLOOKUP($A116,A:AL,22,FALSE)-50)</f>
        <v>144</v>
      </c>
      <c r="V116" s="3">
        <v>156</v>
      </c>
      <c r="W116" s="3">
        <f>IF(ISERROR(VLOOKUP($A116,'SegEnds_NonXtal_BW#'!$A:$Z,16,FALSE)+VLOOKUP($A116,A:AL,22,FALSE)-50),"-",(VLOOKUP($A116,'SegEnds_NonXtal_BW#'!$A:$Z,16,FALSE)+VLOOKUP($A116,A:AL,22,FALSE)-50))</f>
        <v>173</v>
      </c>
      <c r="X116" s="3">
        <f>IF(ISERROR(VLOOKUP($A116,'SegEnds_NonXtal_BW#'!$A:$Z,17,FALSE)+VLOOKUP($A116,A:AL,25,FALSE)-50),"-",(VLOOKUP($A116,'SegEnds_NonXtal_BW#'!$A:$Z,17,FALSE)+VLOOKUP($A116,A:AL,25,FALSE)-50))</f>
        <v>182</v>
      </c>
      <c r="Y116" s="3">
        <v>182</v>
      </c>
      <c r="Z116" s="3">
        <f t="shared" si="64"/>
        <v>184</v>
      </c>
      <c r="AA116" s="3">
        <f>IF(ISERROR(VLOOKUP($A116,'SegEnds_NonXtal_BW#'!$A:$Z,19,FALSE)+VLOOKUP($A116,A:AL,28,FALSE)-50),"-",(VLOOKUP($A116,'SegEnds_NonXtal_BW#'!$A:$Z,19,FALSE)+VLOOKUP($A116,A:AL,28,FALSE)-50))</f>
        <v>189</v>
      </c>
      <c r="AB116" s="3">
        <v>204</v>
      </c>
      <c r="AC116" s="3">
        <f>IF(ISERROR((VLOOKUP($A116,'SegEnds_NonXtal_BW#'!$A:$Z,20,FALSE)+VLOOKUP($A116,A:AL,28,FALSE)-50)),"-",(VLOOKUP($A116,'SegEnds_NonXtal_BW#'!$A:$Z,20,FALSE)+VLOOKUP($A116,A:AL,28,FALSE)-50))</f>
        <v>229</v>
      </c>
      <c r="AD116" s="3">
        <f>IF(ISERROR(VLOOKUP($A116,'SegEnds_NonXtal_BW#'!$A:$Z,21,FALSE)+VLOOKUP($A116,A:AL,31,FALSE)-50),"-",(VLOOKUP($A116,'SegEnds_NonXtal_BW#'!$A:$Z,21,FALSE)+VLOOKUP($A116,A:AL,31,FALSE)-50))</f>
        <v>388</v>
      </c>
      <c r="AE116" s="3">
        <v>414</v>
      </c>
      <c r="AF116" s="3">
        <f>IF(ISERROR((VLOOKUP($A116,'SegEnds_NonXtal_BW#'!$A:$Z,22,FALSE)+VLOOKUP($A116,A:AL,31,FALSE)-50)),"-",(VLOOKUP($A116,'SegEnds_NonXtal_BW#'!$A:$Z,22,FALSE)+VLOOKUP($A116,A:AL,31,FALSE)-50))</f>
        <v>425</v>
      </c>
      <c r="AG116" s="3">
        <f>IF(ISERROR(VLOOKUP($A116,'SegEnds_NonXtal_BW#'!$A:$Z,23,FALSE)+VLOOKUP($A116,A:AL,34,FALSE)-50),"-",(VLOOKUP($A116,'SegEnds_NonXtal_BW#'!$A:$Z,23,FALSE)+VLOOKUP($A116,A:AL,34,FALSE)-50))</f>
        <v>432</v>
      </c>
      <c r="AH116" s="3">
        <v>451</v>
      </c>
      <c r="AI116" s="3">
        <f>IF(ISERROR((VLOOKUP($A116,'SegEnds_NonXtal_BW#'!$A:$Z,24,FALSE)+VLOOKUP($A116,A:AL,34,FALSE)-50)),"-",(VLOOKUP($A116,'SegEnds_NonXtal_BW#'!$A:$Z,24,FALSE)+VLOOKUP($A116,A:AL,34,FALSE)-50))</f>
        <v>457</v>
      </c>
      <c r="AJ116" s="3">
        <f>IF(ISERROR(VLOOKUP($A116,'SegEnds_NonXtal_BW#'!$A:$Z,25,FALSE)+VLOOKUP($A116,A:AL,37,FALSE)-50),"-",(VLOOKUP($A116,'SegEnds_NonXtal_BW#'!$A:$Z,25,FALSE)+VLOOKUP($A116,A:AL,37,FALSE)-50))</f>
        <v>458</v>
      </c>
      <c r="AK116" s="3">
        <v>461</v>
      </c>
      <c r="AL116" s="3">
        <f>IF(ISERROR((VLOOKUP($A116,'SegEnds_NonXtal_BW#'!$A:$Z,26,FALSE)+VLOOKUP($A116,A:AL,37,FALSE)-50)),"-",(VLOOKUP($A116,'SegEnds_NonXtal_BW#'!$A:$Z,26,FALSE)+VLOOKUP($A116,A:AL,37,FALSE)-50))</f>
        <v>471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>
        <f t="shared" si="39"/>
        <v>1</v>
      </c>
      <c r="AQ116" s="3">
        <f t="shared" si="40"/>
        <v>1</v>
      </c>
      <c r="AR116" s="3">
        <f t="shared" si="41"/>
        <v>1</v>
      </c>
      <c r="AS116" s="3">
        <f t="shared" si="42"/>
        <v>1</v>
      </c>
      <c r="AT116" s="3">
        <f t="shared" si="43"/>
        <v>1</v>
      </c>
      <c r="AU116" s="3">
        <f t="shared" si="44"/>
        <v>1</v>
      </c>
      <c r="AV116" s="3">
        <f t="shared" si="45"/>
        <v>9</v>
      </c>
      <c r="AW116" s="3">
        <f t="shared" si="46"/>
        <v>5</v>
      </c>
      <c r="AX116" s="3">
        <f t="shared" si="47"/>
        <v>159</v>
      </c>
      <c r="AY116" s="3">
        <f t="shared" si="48"/>
        <v>7</v>
      </c>
      <c r="AZ116" s="3">
        <f t="shared" si="49"/>
        <v>1</v>
      </c>
      <c r="BA116" s="3">
        <f>IF(ISERROR(LEN(VLOOKUP(A116,Seqs!A:E,2,FALSE))-AL116),"-",LEN(VLOOKUP(A116,Seqs!A:E,2,FALSE))-AL116)</f>
        <v>37</v>
      </c>
      <c r="BB116" s="16">
        <f t="shared" si="50"/>
        <v>28</v>
      </c>
      <c r="BC116" s="9">
        <f t="shared" si="51"/>
        <v>20</v>
      </c>
      <c r="BD116" s="3">
        <f t="shared" si="52"/>
        <v>28</v>
      </c>
      <c r="BE116" s="3">
        <f t="shared" si="53"/>
        <v>210</v>
      </c>
    </row>
    <row r="117" spans="1:60" s="3" customFormat="1" x14ac:dyDescent="0.2">
      <c r="A117" s="3" t="s">
        <v>212</v>
      </c>
      <c r="B117" s="3" t="str">
        <f>LOWER(VLOOKUP(A117,Xtal_Templ!A:B,2,FALSE))</f>
        <v>acm5_human</v>
      </c>
      <c r="C117" s="3">
        <f>VLOOKUP($A117,'SegEnds_NonXtal_BW#'!$A:$Z,3,FALSE)+D117-50</f>
        <v>0</v>
      </c>
      <c r="D117" s="3">
        <v>22</v>
      </c>
      <c r="E117" s="3">
        <f>IF(ISERROR(VLOOKUP($A117,'SegEnds_NonXtal_BW#'!$A:$Z,4,FALSE)+VLOOKUP($A117,A:AL,4,FALSE)-50),"-",(VLOOKUP($A117,'SegEnds_NonXtal_BW#'!$A:$Z,4,FALSE)+VLOOKUP($A117,A:AL,4,FALSE)-50))</f>
        <v>32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38</v>
      </c>
      <c r="J117" s="3">
        <v>51</v>
      </c>
      <c r="K117" s="3">
        <f>VLOOKUP($A117,'SegEnds_NonXtal_BW#'!$A:$Z,8,FALSE)+VLOOKUP($A117,A:AL,10,FALSE)-50</f>
        <v>67</v>
      </c>
      <c r="L117" s="3" t="str">
        <f>IF(ISERROR(VLOOKUP($A117,'SegEnds_NonXtal_BW#'!$A:$Z,9,FALSE)+VLOOKUP($A117,A:AL,13,FALSE)-50),"-",(VLOOKUP($A117,'SegEnds_NonXtal_BW#'!$A:$Z,9,FALSE)+VLOOKUP($A117,A:AL,13,FALSE)-50))</f>
        <v>-</v>
      </c>
      <c r="M117" s="3" t="s">
        <v>23</v>
      </c>
      <c r="N117" s="3" t="str">
        <f>IF(ISERROR(VLOOKUP($A117,'SegEnds_NonXtal_BW#'!$A:$Z,10,FALSE)+VLOOKUP($A117,A:AL,13,FALSE)-50),"-",(VLOOKUP($A117,'SegEnds_NonXtal_BW#'!$A:$Z,10,FALSE)+VLOOKUP($A117,A:AL,13,FALSE)-50))</f>
        <v>-</v>
      </c>
      <c r="O117" s="3">
        <f>VLOOKUP($A117,'SegEnds_NonXtal_BW#'!$A:$Z,11,FALSE)+VLOOKUP($A117,A:AL,16,FALSE)-50</f>
        <v>71</v>
      </c>
      <c r="P117" s="3">
        <v>103</v>
      </c>
      <c r="Q117" s="3">
        <f>VLOOKUP($A117,'SegEnds_NonXtal_BW#'!$A:$Z,12,FALSE)+VLOOKUP($A117,A:AL,16,FALSE)-50</f>
        <v>109</v>
      </c>
      <c r="R117" s="3">
        <f>IF(ISERROR(VLOOKUP($A117,'SegEnds_NonXtal_BW#'!$A:$Z,13,FALSE)+VLOOKUP($A117,A:AL,19,FALSE)-50),"-",VLOOKUP($A117,'SegEnds_NonXtal_BW#'!$A:$Z,13,FALSE)+VLOOKUP($A117,A:AL,19,FALSE)-50)</f>
        <v>110</v>
      </c>
      <c r="S117" s="3">
        <v>110</v>
      </c>
      <c r="T117" s="100">
        <f>IF(ISERROR(VLOOKUP($A117,'SegEnds_NonXtal_BW#'!$A:$Z,14,FALSE)+VLOOKUP($A117,A:AL,19,FALSE)-50),"-",(VLOOKUP($A117,'SegEnds_NonXtal_BW#'!$A:$Z,14,FALSE)+VLOOKUP($A117,A:AL,19,FALSE)-50))</f>
        <v>117</v>
      </c>
      <c r="U117" s="9">
        <f>IF(ISERROR(VLOOKUP($A117,'SegEnds_NonXtal_BW#'!$A:$Z,15,FALSE)+VLOOKUP($A117,A:AL,22,FALSE)-50),"-",VLOOKUP($A117,'SegEnds_NonXtal_BW#'!$A:$Z,15,FALSE)+VLOOKUP($A117,A:AL,22,FALSE)-50)</f>
        <v>118</v>
      </c>
      <c r="V117" s="3">
        <v>130</v>
      </c>
      <c r="W117" s="3">
        <f>IF(ISERROR(VLOOKUP($A117,'SegEnds_NonXtal_BW#'!$A:$Z,16,FALSE)+VLOOKUP($A117,A:AL,22,FALSE)-50),"-",(VLOOKUP($A117,'SegEnds_NonXtal_BW#'!$A:$Z,16,FALSE)+VLOOKUP($A117,A:AL,22,FALSE)-50))</f>
        <v>149</v>
      </c>
      <c r="X117" s="3">
        <f>Y117</f>
        <v>155</v>
      </c>
      <c r="Y117" s="3">
        <v>155</v>
      </c>
      <c r="Z117" s="3">
        <f t="shared" si="64"/>
        <v>157</v>
      </c>
      <c r="AA117" s="3">
        <f>IF(ISERROR(VLOOKUP($A117,'SegEnds_NonXtal_BW#'!$A:$Z,19,FALSE)+VLOOKUP($A117,A:AL,28,FALSE)-50),"-",(VLOOKUP($A117,'SegEnds_NonXtal_BW#'!$A:$Z,19,FALSE)+VLOOKUP($A117,A:AL,28,FALSE)-50))</f>
        <v>161</v>
      </c>
      <c r="AB117" s="3">
        <v>176</v>
      </c>
      <c r="AC117" s="3">
        <f>IF(ISERROR((VLOOKUP($A117,'SegEnds_NonXtal_BW#'!$A:$Z,20,FALSE)+VLOOKUP($A117,A:AL,28,FALSE)-50)),"-",(VLOOKUP($A117,'SegEnds_NonXtal_BW#'!$A:$Z,20,FALSE)+VLOOKUP($A117,A:AL,28,FALSE)-50))</f>
        <v>200</v>
      </c>
      <c r="AD117" s="3">
        <f>IF(ISERROR(VLOOKUP($A117,'SegEnds_NonXtal_BW#'!$A:$Z,21,FALSE)+VLOOKUP($A117,A:AL,31,FALSE)-50),"-",(VLOOKUP($A117,'SegEnds_NonXtal_BW#'!$A:$Z,21,FALSE)+VLOOKUP($A117,A:AL,31,FALSE)-50))</f>
        <v>211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257</v>
      </c>
      <c r="AH117" s="3">
        <v>276</v>
      </c>
      <c r="AI117" s="3">
        <v>282</v>
      </c>
      <c r="AJ117" s="3">
        <f>IF(ISERROR(VLOOKUP($A117,'SegEnds_NonXtal_BW#'!$A:$Z,25,FALSE)+VLOOKUP($A117,A:AL,37,FALSE)-50),"-",(VLOOKUP($A117,'SegEnds_NonXtal_BW#'!$A:$Z,25,FALSE)+VLOOKUP($A117,A:AL,37,FALSE)-50))</f>
        <v>283</v>
      </c>
      <c r="AK117" s="3">
        <v>286</v>
      </c>
      <c r="AL117" s="3">
        <f>IF(ISERROR((VLOOKUP($A117,'SegEnds_NonXtal_BW#'!$A:$Z,26,FALSE)+VLOOKUP($A117,A:AL,37,FALSE)-50)),"-",(VLOOKUP($A117,'SegEnds_NonXtal_BW#'!$A:$Z,26,FALSE)+VLOOKUP($A117,A:AL,37,FALSE)-50))</f>
        <v>295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 t="str">
        <f t="shared" si="39"/>
        <v>-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>
        <f t="shared" si="43"/>
        <v>1</v>
      </c>
      <c r="AU117" s="3">
        <f t="shared" si="44"/>
        <v>1</v>
      </c>
      <c r="AV117" s="3">
        <f t="shared" si="45"/>
        <v>6</v>
      </c>
      <c r="AW117" s="3">
        <f t="shared" si="46"/>
        <v>4</v>
      </c>
      <c r="AX117" s="3">
        <f t="shared" si="47"/>
        <v>11</v>
      </c>
      <c r="AY117" s="3">
        <f t="shared" si="48"/>
        <v>6</v>
      </c>
      <c r="AZ117" s="3">
        <f t="shared" si="49"/>
        <v>1</v>
      </c>
      <c r="BA117" s="3">
        <f>IF(ISERROR(LEN(VLOOKUP(A117,Seqs!A:E,2,FALSE))-AL117),"-",LEN(VLOOKUP(A117,Seqs!A:E,2,FALSE))-AL117)</f>
        <v>40</v>
      </c>
      <c r="BB117" s="16">
        <f t="shared" si="50"/>
        <v>29</v>
      </c>
      <c r="BC117" s="9">
        <f t="shared" si="51"/>
        <v>20</v>
      </c>
      <c r="BD117" s="3">
        <f t="shared" si="52"/>
        <v>29</v>
      </c>
      <c r="BE117" s="3">
        <f t="shared" si="53"/>
        <v>64</v>
      </c>
    </row>
    <row r="118" spans="1:60" s="3" customFormat="1" x14ac:dyDescent="0.2">
      <c r="A118" s="3" t="s">
        <v>216</v>
      </c>
      <c r="B118" s="3" t="str">
        <f>LOWER(VLOOKUP(A118,Xtal_Templ!A:B,2,FALSE))</f>
        <v>ccr7_human</v>
      </c>
      <c r="C118" s="3">
        <f>VLOOKUP($A118,'SegEnds_NonXtal_BW#'!$A:$Z,3,FALSE)+D118-50</f>
        <v>13</v>
      </c>
      <c r="D118" s="3">
        <v>34</v>
      </c>
      <c r="E118" s="3">
        <f>IF(ISERROR(VLOOKUP($A118,'SegEnds_NonXtal_BW#'!$A:$Z,4,FALSE)+VLOOKUP($A118,A:AL,4,FALSE)-50),"-",(VLOOKUP($A118,'SegEnds_NonXtal_BW#'!$A:$Z,4,FALSE)+VLOOKUP($A118,A:AL,4,FALSE)-50))</f>
        <v>44</v>
      </c>
      <c r="F118" s="3">
        <f>G118-2</f>
        <v>45</v>
      </c>
      <c r="G118" s="3">
        <v>47</v>
      </c>
      <c r="H118" s="3">
        <f>G118+1</f>
        <v>48</v>
      </c>
      <c r="I118" s="3">
        <f>H118+1</f>
        <v>49</v>
      </c>
      <c r="J118" s="3">
        <v>62</v>
      </c>
      <c r="K118" s="3">
        <f>VLOOKUP($A118,'SegEnds_NonXtal_BW#'!$A:$Z,8,FALSE)+VLOOKUP($A118,A:AL,10,FALSE)-50</f>
        <v>78</v>
      </c>
      <c r="L118" s="3">
        <f t="shared" ref="L118:L123" si="95">M118-1</f>
        <v>80</v>
      </c>
      <c r="M118" s="3">
        <v>81</v>
      </c>
      <c r="N118" s="3">
        <f t="shared" ref="N118:N123" si="96">M118+2</f>
        <v>83</v>
      </c>
      <c r="O118" s="3">
        <f t="shared" ref="O118:O123" si="97">N118+1</f>
        <v>84</v>
      </c>
      <c r="P118" s="3">
        <v>113</v>
      </c>
      <c r="Q118" s="3">
        <f>VLOOKUP($A118,'SegEnds_NonXtal_BW#'!$A:$Z,12,FALSE)+VLOOKUP($A118,A:AL,16,FALSE)-50</f>
        <v>119</v>
      </c>
      <c r="R118" s="3">
        <f>IF(ISERROR(VLOOKUP($A118,'SegEnds_NonXtal_BW#'!$A:$Z,13,FALSE)+VLOOKUP($A118,A:AL,19,FALSE)-50),"-",VLOOKUP($A118,'SegEnds_NonXtal_BW#'!$A:$Z,13,FALSE)+VLOOKUP($A118,A:AL,19,FALSE)-50)</f>
        <v>120</v>
      </c>
      <c r="S118" s="3">
        <v>120</v>
      </c>
      <c r="T118" s="100">
        <f>IF(ISERROR(VLOOKUP($A118,'SegEnds_NonXtal_BW#'!$A:$Z,14,FALSE)+VLOOKUP($A118,A:AL,19,FALSE)-50),"-",(VLOOKUP($A118,'SegEnds_NonXtal_BW#'!$A:$Z,14,FALSE)+VLOOKUP($A118,A:AL,19,FALSE)-50))</f>
        <v>127</v>
      </c>
      <c r="U118" s="9">
        <f>IF(ISERROR(VLOOKUP($A118,'SegEnds_NonXtal_BW#'!$A:$Z,15,FALSE)+VLOOKUP($A118,A:AL,22,FALSE)-50),"-",VLOOKUP($A118,'SegEnds_NonXtal_BW#'!$A:$Z,15,FALSE)+VLOOKUP($A118,A:AL,22,FALSE)-50)</f>
        <v>128</v>
      </c>
      <c r="V118" s="3">
        <v>140</v>
      </c>
      <c r="W118" s="3">
        <f>IF(ISERROR(VLOOKUP($A118,'SegEnds_NonXtal_BW#'!$A:$Z,16,FALSE)+VLOOKUP($A118,A:AL,22,FALSE)-50),"-",(VLOOKUP($A118,'SegEnds_NonXtal_BW#'!$A:$Z,16,FALSE)+VLOOKUP($A118,A:AL,22,FALSE)-50))</f>
        <v>154</v>
      </c>
      <c r="X118" s="3">
        <f>IF(ISERROR(VLOOKUP($A118,'SegEnds_NonXtal_BW#'!$A:$Z,17,FALSE)+VLOOKUP($A118,A:AL,25,FALSE)-50),"-",(VLOOKUP($A118,'SegEnds_NonXtal_BW#'!$A:$Z,17,FALSE)+VLOOKUP($A118,A:AL,25,FALSE)-50))</f>
        <v>166</v>
      </c>
      <c r="Y118" s="3">
        <v>166</v>
      </c>
      <c r="Z118" s="3">
        <f t="shared" si="64"/>
        <v>168</v>
      </c>
      <c r="AA118" s="3">
        <f>IF(ISERROR(VLOOKUP($A118,'SegEnds_NonXtal_BW#'!$A:$Z,19,FALSE)+VLOOKUP($A118,A:AL,28,FALSE)-50),"-",(VLOOKUP($A118,'SegEnds_NonXtal_BW#'!$A:$Z,19,FALSE)+VLOOKUP($A118,A:AL,28,FALSE)-50))</f>
        <v>179</v>
      </c>
      <c r="AB118" s="3">
        <v>196</v>
      </c>
      <c r="AC118" s="3">
        <f>IF(ISERROR((VLOOKUP($A118,'SegEnds_NonXtal_BW#'!$A:$Z,20,FALSE)+VLOOKUP($A118,A:AL,28,FALSE)-50)),"-",(VLOOKUP($A118,'SegEnds_NonXtal_BW#'!$A:$Z,20,FALSE)+VLOOKUP($A118,A:AL,28,FALSE)-50))</f>
        <v>214</v>
      </c>
      <c r="AD118" s="3">
        <f>IF(ISERROR(VLOOKUP($A118,'SegEnds_NonXtal_BW#'!$A:$Z,21,FALSE)+VLOOKUP($A118,A:AL,31,FALSE)-50),"-",(VLOOKUP($A118,'SegEnds_NonXtal_BW#'!$A:$Z,21,FALSE)+VLOOKUP($A118,A:AL,31,FALSE)-50))</f>
        <v>218</v>
      </c>
      <c r="AE118" s="3">
        <v>240</v>
      </c>
      <c r="AF118" s="3">
        <f>IF(ISERROR((VLOOKUP($A118,'SegEnds_NonXtal_BW#'!$A:$Z,22,FALSE)+VLOOKUP($A118,A:AL,31,FALSE)-50)),"-",(VLOOKUP($A118,'SegEnds_NonXtal_BW#'!$A:$Z,22,FALSE)+VLOOKUP($A118,A:AL,31,FALSE)-50))</f>
        <v>251</v>
      </c>
      <c r="AG118" s="3">
        <f>IF(ISERROR(VLOOKUP($A118,'SegEnds_NonXtal_BW#'!$A:$Z,23,FALSE)+VLOOKUP($A118,A:AL,34,FALSE)-50),"-",(VLOOKUP($A118,'SegEnds_NonXtal_BW#'!$A:$Z,23,FALSE)+VLOOKUP($A118,A:AL,34,FALSE)-50))</f>
        <v>258</v>
      </c>
      <c r="AH118" s="3">
        <v>280</v>
      </c>
      <c r="AI118" s="3">
        <f>IF(ISERROR((VLOOKUP($A118,'SegEnds_NonXtal_BW#'!$A:$Z,24,FALSE)+VLOOKUP($A118,A:AL,34,FALSE)-50)),"-",(VLOOKUP($A118,'SegEnds_NonXtal_BW#'!$A:$Z,24,FALSE)+VLOOKUP($A118,A:AL,34,FALSE)-50))</f>
        <v>286</v>
      </c>
      <c r="AJ118" s="3">
        <v>288</v>
      </c>
      <c r="AK118" s="3">
        <v>291</v>
      </c>
      <c r="AL118" s="3">
        <v>300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2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>
        <f t="shared" si="45"/>
        <v>12</v>
      </c>
      <c r="AW118" s="3">
        <f t="shared" si="46"/>
        <v>11</v>
      </c>
      <c r="AX118" s="3">
        <f t="shared" si="47"/>
        <v>4</v>
      </c>
      <c r="AY118" s="3">
        <f t="shared" si="48"/>
        <v>7</v>
      </c>
      <c r="AZ118" s="3">
        <f t="shared" si="49"/>
        <v>2</v>
      </c>
      <c r="BA118" s="3">
        <f>IF(ISERROR(LEN(VLOOKUP(A118,Seqs!A:E,2,FALSE))-AL118),"-",LEN(VLOOKUP(A118,Seqs!A:E,2,FALSE))-AL118)</f>
        <v>5</v>
      </c>
      <c r="BB118" s="16">
        <f t="shared" si="50"/>
        <v>28</v>
      </c>
      <c r="BC118" s="9">
        <f t="shared" si="51"/>
        <v>20</v>
      </c>
      <c r="BD118" s="3">
        <f t="shared" si="52"/>
        <v>28</v>
      </c>
      <c r="BE118" s="3">
        <f t="shared" si="53"/>
        <v>44</v>
      </c>
      <c r="BF118" s="3">
        <f>AH118-AE118</f>
        <v>40</v>
      </c>
    </row>
    <row r="119" spans="1:60" s="3" customFormat="1" x14ac:dyDescent="0.2">
      <c r="A119" s="3" t="s">
        <v>219</v>
      </c>
      <c r="B119" s="3" t="str">
        <f>LOWER(VLOOKUP(A119,Xtal_Templ!A:B,2,FALSE))</f>
        <v>aa1r_human</v>
      </c>
      <c r="C119" s="3">
        <f>VLOOKUP($A119,'SegEnds_NonXtal_BW#'!$A:$Z,3,FALSE)+D119-50</f>
        <v>46</v>
      </c>
      <c r="D119" s="3">
        <v>67</v>
      </c>
      <c r="E119" s="3">
        <f>IF(ISERROR(VLOOKUP($A119,'SegEnds_NonXtal_BW#'!$A:$Z,4,FALSE)+VLOOKUP($A119,A:AL,4,FALSE)-50),"-",(VLOOKUP($A119,'SegEnds_NonXtal_BW#'!$A:$Z,4,FALSE)+VLOOKUP($A119,A:AL,4,FALSE)-50))</f>
        <v>77</v>
      </c>
      <c r="F119" s="3">
        <f>G119-2</f>
        <v>78</v>
      </c>
      <c r="G119" s="3">
        <v>80</v>
      </c>
      <c r="H119" s="3">
        <f>G119+1</f>
        <v>81</v>
      </c>
      <c r="I119" s="3">
        <f>H119+1</f>
        <v>82</v>
      </c>
      <c r="J119" s="3">
        <v>96</v>
      </c>
      <c r="K119" s="3">
        <f>VLOOKUP($A119,'SegEnds_NonXtal_BW#'!$A:$Z,8,FALSE)+VLOOKUP($A119,A:AL,10,FALSE)-50</f>
        <v>112</v>
      </c>
      <c r="L119" s="3">
        <f t="shared" si="95"/>
        <v>113</v>
      </c>
      <c r="M119" s="3">
        <v>114</v>
      </c>
      <c r="N119" s="3">
        <f t="shared" si="96"/>
        <v>116</v>
      </c>
      <c r="O119" s="3">
        <f t="shared" si="97"/>
        <v>117</v>
      </c>
      <c r="P119" s="3">
        <v>146</v>
      </c>
      <c r="Q119" s="3">
        <f>VLOOKUP($A119,'SegEnds_NonXtal_BW#'!$A:$Z,12,FALSE)+VLOOKUP($A119,A:AL,16,FALSE)-50</f>
        <v>152</v>
      </c>
      <c r="R119" s="3">
        <f>IF(ISERROR(VLOOKUP($A119,'SegEnds_NonXtal_BW#'!$A:$Z,13,FALSE)+VLOOKUP($A119,A:AL,19,FALSE)-50),"-",VLOOKUP($A119,'SegEnds_NonXtal_BW#'!$A:$Z,13,FALSE)+VLOOKUP($A119,A:AL,19,FALSE)-50)</f>
        <v>153</v>
      </c>
      <c r="S119" s="3">
        <v>153</v>
      </c>
      <c r="T119" s="100">
        <f>IF(ISERROR(VLOOKUP($A119,'SegEnds_NonXtal_BW#'!$A:$Z,14,FALSE)+VLOOKUP($A119,A:AL,19,FALSE)-50),"-",(VLOOKUP($A119,'SegEnds_NonXtal_BW#'!$A:$Z,14,FALSE)+VLOOKUP($A119,A:AL,19,FALSE)-50))</f>
        <v>160</v>
      </c>
      <c r="U119" s="9">
        <f>IF(ISERROR(VLOOKUP($A119,'SegEnds_NonXtal_BW#'!$A:$Z,15,FALSE)+VLOOKUP($A119,A:AL,22,FALSE)-50),"-",VLOOKUP($A119,'SegEnds_NonXtal_BW#'!$A:$Z,15,FALSE)+VLOOKUP($A119,A:AL,22,FALSE)-50)</f>
        <v>161</v>
      </c>
      <c r="V119" s="3">
        <v>173</v>
      </c>
      <c r="W119" s="3">
        <f>IF(ISERROR(VLOOKUP($A119,'SegEnds_NonXtal_BW#'!$A:$Z,16,FALSE)+VLOOKUP($A119,A:AL,22,FALSE)-50),"-",(VLOOKUP($A119,'SegEnds_NonXtal_BW#'!$A:$Z,16,FALSE)+VLOOKUP($A119,A:AL,22,FALSE)-50))</f>
        <v>186</v>
      </c>
      <c r="X119" s="3" t="str">
        <f>IF(ISERROR(VLOOKUP($A119,'SegEnds_NonXtal_BW#'!$A:$Z,17,FALSE)+VLOOKUP($A119,A:AL,25,FALSE)-50),"-",(VLOOKUP($A119,'SegEnds_NonXtal_BW#'!$A:$Z,17,FALSE)+VLOOKUP($A119,A:AL,25,FALSE)-50))</f>
        <v>-</v>
      </c>
      <c r="Y119" s="3" t="s">
        <v>23</v>
      </c>
      <c r="Z119" s="3" t="str">
        <f>IF(ISERROR(VLOOKUP($A119,'SegEnds_NonXtal_BW#'!$A:$Z,18,FALSE)+VLOOKUP($A119,A:AL,25,FALSE)-50),"-",(VLOOKUP($A119,'SegEnds_NonXtal_BW#'!$A:$Z,18,FALSE)+VLOOKUP($A119,A:AL,25,FALSE)-50))</f>
        <v>-</v>
      </c>
      <c r="AA119" s="3">
        <f>IF(ISERROR(VLOOKUP($A119,'SegEnds_NonXtal_BW#'!$A:$Z,19,FALSE)+VLOOKUP($A119,A:AL,28,FALSE)-50),"-",(VLOOKUP($A119,'SegEnds_NonXtal_BW#'!$A:$Z,19,FALSE)+VLOOKUP($A119,A:AL,28,FALSE)-50))</f>
        <v>196</v>
      </c>
      <c r="AB119" s="3">
        <v>211</v>
      </c>
      <c r="AC119" s="3">
        <f>IF(ISERROR((VLOOKUP($A119,'SegEnds_NonXtal_BW#'!$A:$Z,20,FALSE)+VLOOKUP($A119,A:AL,28,FALSE)-50)),"-",(VLOOKUP($A119,'SegEnds_NonXtal_BW#'!$A:$Z,20,FALSE)+VLOOKUP($A119,A:AL,28,FALSE)-50))</f>
        <v>237</v>
      </c>
      <c r="AD119" s="3">
        <f>IF(ISERROR(VLOOKUP($A119,'SegEnds_NonXtal_BW#'!$A:$Z,21,FALSE)+VLOOKUP($A119,A:AL,31,FALSE)-50),"-",(VLOOKUP($A119,'SegEnds_NonXtal_BW#'!$A:$Z,21,FALSE)+VLOOKUP($A119,A:AL,31,FALSE)-50))</f>
        <v>253</v>
      </c>
      <c r="AE119" s="3">
        <v>279</v>
      </c>
      <c r="AF119" s="3">
        <f>IF(ISERROR((VLOOKUP($A119,'SegEnds_NonXtal_BW#'!$A:$Z,22,FALSE)+VLOOKUP($A119,A:AL,31,FALSE)-50)),"-",(VLOOKUP($A119,'SegEnds_NonXtal_BW#'!$A:$Z,22,FALSE)+VLOOKUP($A119,A:AL,31,FALSE)-50))</f>
        <v>287</v>
      </c>
      <c r="AG119" s="3">
        <f>IF(ISERROR(VLOOKUP($A119,'SegEnds_NonXtal_BW#'!$A:$Z,23,FALSE)+VLOOKUP($A119,A:AL,34,FALSE)-50),"-",(VLOOKUP($A119,'SegEnds_NonXtal_BW#'!$A:$Z,23,FALSE)+VLOOKUP($A119,A:AL,34,FALSE)-50))</f>
        <v>295</v>
      </c>
      <c r="AH119" s="3">
        <v>309</v>
      </c>
      <c r="AI119" s="3">
        <v>316</v>
      </c>
      <c r="AJ119" s="3">
        <f>IF(ISERROR(VLOOKUP($A119,'SegEnds_NonXtal_BW#'!$A:$Z,25,FALSE)+VLOOKUP($A119,A:AL,37,FALSE)-50),"-",(VLOOKUP($A119,'SegEnds_NonXtal_BW#'!$A:$Z,25,FALSE)+VLOOKUP($A119,A:AL,37,FALSE)-50))</f>
        <v>317</v>
      </c>
      <c r="AK119" s="3">
        <v>320</v>
      </c>
      <c r="AL119" s="3">
        <f>IF(ISERROR((VLOOKUP($A119,'SegEnds_NonXtal_BW#'!$A:$Z,26,FALSE)+VLOOKUP($A119,A:AL,37,FALSE)-50)),"-",(VLOOKUP($A119,'SegEnds_NonXtal_BW#'!$A:$Z,26,FALSE)+VLOOKUP($A119,A:AL,37,FALSE)-50))</f>
        <v>339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>
        <f t="shared" si="39"/>
        <v>1</v>
      </c>
      <c r="AQ119" s="3">
        <f t="shared" si="40"/>
        <v>1</v>
      </c>
      <c r="AR119" s="3">
        <f t="shared" si="41"/>
        <v>1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 t="str">
        <f t="shared" si="45"/>
        <v>-</v>
      </c>
      <c r="AW119" s="3" t="str">
        <f t="shared" si="46"/>
        <v>-</v>
      </c>
      <c r="AX119" s="3">
        <f t="shared" si="47"/>
        <v>16</v>
      </c>
      <c r="AY119" s="3">
        <f t="shared" si="48"/>
        <v>8</v>
      </c>
      <c r="AZ119" s="3">
        <f t="shared" si="49"/>
        <v>1</v>
      </c>
      <c r="BA119" s="3">
        <f>IF(ISERROR(LEN(VLOOKUP(A119,Seqs!A:E,2,FALSE))-AL119),"-",LEN(VLOOKUP(A119,Seqs!A:E,2,FALSE))-AL119)</f>
        <v>8</v>
      </c>
      <c r="BB119" s="16">
        <f t="shared" si="50"/>
        <v>29</v>
      </c>
      <c r="BC119" s="9">
        <f t="shared" si="51"/>
        <v>20</v>
      </c>
      <c r="BD119" s="3">
        <f t="shared" si="52"/>
        <v>29</v>
      </c>
      <c r="BE119" s="3">
        <f t="shared" si="53"/>
        <v>68</v>
      </c>
      <c r="BF119" s="3">
        <f>AH119-AE119</f>
        <v>30</v>
      </c>
    </row>
    <row r="120" spans="1:60" s="3" customFormat="1" x14ac:dyDescent="0.2">
      <c r="A120" s="3" t="s">
        <v>223</v>
      </c>
      <c r="B120" s="3" t="str">
        <f>LOWER(VLOOKUP(A120,Xtal_Templ!A:B,2,FALSE))</f>
        <v>fpr2_human</v>
      </c>
      <c r="C120" s="3">
        <f>VLOOKUP($A120,'SegEnds_NonXtal_BW#'!$A:$Z,3,FALSE)+D120-50</f>
        <v>22</v>
      </c>
      <c r="D120" s="3">
        <v>47</v>
      </c>
      <c r="E120" s="3">
        <f>IF(ISERROR(VLOOKUP($A120,'SegEnds_NonXtal_BW#'!$A:$Z,4,FALSE)+VLOOKUP($A120,A:AL,4,FALSE)-50),"-",(VLOOKUP($A120,'SegEnds_NonXtal_BW#'!$A:$Z,4,FALSE)+VLOOKUP($A120,A:AL,4,FALSE)-50))</f>
        <v>58</v>
      </c>
      <c r="F120" s="3" t="str">
        <f>IF(ISERROR(VLOOKUP($A120,'SegEnds_NonXtal_BW#'!$A:$Z,5,FALSE)+VLOOKUP($A120,A:AL,7,FALSE)-50),"-",(VLOOKUP($A120,'SegEnds_NonXtal_BW#'!$A:$Z,5,FALSE)+VLOOKUP($A120,A:AL,7,FALSE)-50))</f>
        <v>-</v>
      </c>
      <c r="G120" s="3" t="s">
        <v>23</v>
      </c>
      <c r="H120" s="3" t="str">
        <f>IF(ISERROR(VLOOKUP($A120,'SegEnds_NonXtal_BW#'!$A:$Z,6,FALSE)+VLOOKUP($A120,A:AL,7,FALSE)-50),"-",(VLOOKUP($A120,'SegEnds_NonXtal_BW#'!$A:$Z,6,FALSE)+VLOOKUP($A120,A:AL,7,FALSE)-50))</f>
        <v>-</v>
      </c>
      <c r="I120" s="3">
        <f>VLOOKUP($A120,'SegEnds_NonXtal_BW#'!$A:$Z,7,FALSE)+J120-50</f>
        <v>64</v>
      </c>
      <c r="J120" s="3">
        <v>77</v>
      </c>
      <c r="K120" s="3">
        <f>VLOOKUP($A120,'SegEnds_NonXtal_BW#'!$A:$Z,8,FALSE)+VLOOKUP($A120,A:AL,10,FALSE)-50</f>
        <v>94</v>
      </c>
      <c r="L120" s="3">
        <f t="shared" si="95"/>
        <v>96</v>
      </c>
      <c r="M120" s="3">
        <v>97</v>
      </c>
      <c r="N120" s="3">
        <f t="shared" si="96"/>
        <v>99</v>
      </c>
      <c r="O120" s="3">
        <f t="shared" si="97"/>
        <v>100</v>
      </c>
      <c r="P120" s="3">
        <v>129</v>
      </c>
      <c r="Q120" s="3">
        <f>VLOOKUP($A120,'SegEnds_NonXtal_BW#'!$A:$Z,12,FALSE)+VLOOKUP($A120,A:AL,16,FALSE)-50</f>
        <v>135</v>
      </c>
      <c r="R120" s="3">
        <f>IF(ISERROR(VLOOKUP($A120,'SegEnds_NonXtal_BW#'!$A:$Z,13,FALSE)+VLOOKUP($A120,A:AL,19,FALSE)-50),"-",VLOOKUP($A120,'SegEnds_NonXtal_BW#'!$A:$Z,13,FALSE)+VLOOKUP($A120,A:AL,19,FALSE)-50)</f>
        <v>136</v>
      </c>
      <c r="S120" s="3">
        <v>136</v>
      </c>
      <c r="T120" s="100">
        <f>IF(ISERROR(VLOOKUP($A120,'SegEnds_NonXtal_BW#'!$A:$Z,14,FALSE)+VLOOKUP($A120,A:AL,19,FALSE)-50),"-",(VLOOKUP($A120,'SegEnds_NonXtal_BW#'!$A:$Z,14,FALSE)+VLOOKUP($A120,A:AL,19,FALSE)-50))</f>
        <v>143</v>
      </c>
      <c r="U120" s="9">
        <f>IF(ISERROR(VLOOKUP($A120,'SegEnds_NonXtal_BW#'!$A:$Z,15,FALSE)+VLOOKUP($A120,A:AL,22,FALSE)-50),"-",VLOOKUP($A120,'SegEnds_NonXtal_BW#'!$A:$Z,15,FALSE)+VLOOKUP($A120,A:AL,22,FALSE)-50)</f>
        <v>144</v>
      </c>
      <c r="V120" s="3">
        <v>156</v>
      </c>
      <c r="W120" s="3">
        <f>IF(ISERROR(VLOOKUP($A120,'SegEnds_NonXtal_BW#'!$A:$Z,16,FALSE)+VLOOKUP($A120,A:AL,22,FALSE)-50),"-",(VLOOKUP($A120,'SegEnds_NonXtal_BW#'!$A:$Z,16,FALSE)+VLOOKUP($A120,A:AL,22,FALSE)-50))</f>
        <v>170</v>
      </c>
      <c r="X120" s="3">
        <f>IF(ISERROR(VLOOKUP($A120,'SegEnds_NonXtal_BW#'!$A:$Z,17,FALSE)+VLOOKUP($A120,A:AL,25,FALSE)-50),"-",(VLOOKUP($A120,'SegEnds_NonXtal_BW#'!$A:$Z,17,FALSE)+VLOOKUP($A120,A:AL,25,FALSE)-50))</f>
        <v>182</v>
      </c>
      <c r="Y120" s="3">
        <v>182</v>
      </c>
      <c r="Z120" s="3">
        <f t="shared" ref="Z120:Z129" si="98">Y120+2</f>
        <v>184</v>
      </c>
      <c r="AA120" s="3">
        <f>IF(ISERROR(VLOOKUP($A120,'SegEnds_NonXtal_BW#'!$A:$Z,19,FALSE)+VLOOKUP($A120,A:AL,28,FALSE)-50),"-",(VLOOKUP($A120,'SegEnds_NonXtal_BW#'!$A:$Z,19,FALSE)+VLOOKUP($A120,A:AL,28,FALSE)-50))</f>
        <v>189</v>
      </c>
      <c r="AB120" s="3">
        <v>204</v>
      </c>
      <c r="AC120" s="3">
        <f>IF(ISERROR((VLOOKUP($A120,'SegEnds_NonXtal_BW#'!$A:$Z,20,FALSE)+VLOOKUP($A120,A:AL,28,FALSE)-50)),"-",(VLOOKUP($A120,'SegEnds_NonXtal_BW#'!$A:$Z,20,FALSE)+VLOOKUP($A120,A:AL,28,FALSE)-50))</f>
        <v>222</v>
      </c>
      <c r="AD120" s="3">
        <f>IF(ISERROR(VLOOKUP($A120,'SegEnds_NonXtal_BW#'!$A:$Z,21,FALSE)+VLOOKUP($A120,A:AL,31,FALSE)-50),"-",(VLOOKUP($A120,'SegEnds_NonXtal_BW#'!$A:$Z,21,FALSE)+VLOOKUP($A120,A:AL,31,FALSE)-50))</f>
        <v>226</v>
      </c>
      <c r="AE120" s="3">
        <v>252</v>
      </c>
      <c r="AF120" s="3">
        <f>IF(ISERROR((VLOOKUP($A120,'SegEnds_NonXtal_BW#'!$A:$Z,22,FALSE)+VLOOKUP($A120,A:AL,31,FALSE)-50)),"-",(VLOOKUP($A120,'SegEnds_NonXtal_BW#'!$A:$Z,22,FALSE)+VLOOKUP($A120,A:AL,31,FALSE)-50))</f>
        <v>263</v>
      </c>
      <c r="AG120" s="3">
        <f>IF(ISERROR(VLOOKUP($A120,'SegEnds_NonXtal_BW#'!$A:$Z,23,FALSE)+VLOOKUP($A120,A:AL,34,FALSE)-50),"-",(VLOOKUP($A120,'SegEnds_NonXtal_BW#'!$A:$Z,23,FALSE)+VLOOKUP($A120,A:AL,34,FALSE)-50))</f>
        <v>270</v>
      </c>
      <c r="AH120" s="3">
        <v>292</v>
      </c>
      <c r="AI120" s="3">
        <f>IF(ISERROR((VLOOKUP($A120,'SegEnds_NonXtal_BW#'!$A:$Z,24,FALSE)+VLOOKUP($A120,A:AL,34,FALSE)-50)),"-",(VLOOKUP($A120,'SegEnds_NonXtal_BW#'!$A:$Z,24,FALSE)+VLOOKUP($A120,A:AL,34,FALSE)-50))</f>
        <v>298</v>
      </c>
      <c r="AJ120" s="3">
        <f>IF(ISERROR(VLOOKUP($A120,'SegEnds_NonXtal_BW#'!$A:$Z,25,FALSE)+VLOOKUP($A120,A:AL,37,FALSE)-50),"-",(VLOOKUP($A120,'SegEnds_NonXtal_BW#'!$A:$Z,25,FALSE)+VLOOKUP($A120,A:AL,37,FALSE)-50))</f>
        <v>299</v>
      </c>
      <c r="AK120" s="3">
        <v>302</v>
      </c>
      <c r="AL120" s="3">
        <f>IF(ISERROR((VLOOKUP($A120,'SegEnds_NonXtal_BW#'!$A:$Z,26,FALSE)+VLOOKUP($A120,A:AL,37,FALSE)-50)),"-",(VLOOKUP($A120,'SegEnds_NonXtal_BW#'!$A:$Z,26,FALSE)+VLOOKUP($A120,A:AL,37,FALSE)-50))</f>
        <v>310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 t="str">
        <f t="shared" si="39"/>
        <v>-</v>
      </c>
      <c r="AQ120" s="3" t="str">
        <f t="shared" si="40"/>
        <v>-</v>
      </c>
      <c r="AR120" s="3">
        <f t="shared" si="41"/>
        <v>2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12</v>
      </c>
      <c r="AW120" s="3">
        <f t="shared" si="46"/>
        <v>5</v>
      </c>
      <c r="AX120" s="3">
        <f t="shared" si="47"/>
        <v>4</v>
      </c>
      <c r="AY120" s="3">
        <f t="shared" si="48"/>
        <v>7</v>
      </c>
      <c r="AZ120" s="3">
        <f t="shared" si="49"/>
        <v>1</v>
      </c>
      <c r="BA120" s="3">
        <f>IF(ISERROR(LEN(VLOOKUP(A120,Seqs!A:E,2,FALSE))-AL120),"-",LEN(VLOOKUP(A120,Seqs!A:E,2,FALSE))-AL120)</f>
        <v>160</v>
      </c>
      <c r="BB120" s="16">
        <f t="shared" si="50"/>
        <v>30</v>
      </c>
      <c r="BC120" s="9">
        <f t="shared" si="51"/>
        <v>20</v>
      </c>
      <c r="BD120" s="3">
        <f t="shared" si="52"/>
        <v>30</v>
      </c>
      <c r="BE120" s="3">
        <f t="shared" si="53"/>
        <v>48</v>
      </c>
    </row>
    <row r="121" spans="1:60" s="3" customFormat="1" x14ac:dyDescent="0.2">
      <c r="A121" s="3" t="s">
        <v>224</v>
      </c>
      <c r="B121" s="3" t="str">
        <f>LOWER(VLOOKUP(A121,Xtal_Templ!A:B,2,FALSE))</f>
        <v>drd4_mouse</v>
      </c>
      <c r="C121" s="3">
        <f>VLOOKUP($A121,'SegEnds_NonXtal_BW#'!$A:$Z,3,FALSE)+D121-50</f>
        <v>4</v>
      </c>
      <c r="D121" s="3">
        <v>25</v>
      </c>
      <c r="E121" s="3">
        <f>IF(ISERROR(VLOOKUP($A121,'SegEnds_NonXtal_BW#'!$A:$Z,4,FALSE)+VLOOKUP($A121,A:AL,4,FALSE)-50),"-",(VLOOKUP($A121,'SegEnds_NonXtal_BW#'!$A:$Z,4,FALSE)+VLOOKUP($A121,A:AL,4,FALSE)-50))</f>
        <v>35</v>
      </c>
      <c r="F121" s="3">
        <f>G121-2</f>
        <v>36</v>
      </c>
      <c r="G121" s="3">
        <v>38</v>
      </c>
      <c r="H121" s="3">
        <f t="shared" ref="H121:I123" si="99">G121+1</f>
        <v>39</v>
      </c>
      <c r="I121" s="3">
        <f t="shared" si="99"/>
        <v>40</v>
      </c>
      <c r="J121" s="105">
        <v>52</v>
      </c>
      <c r="K121" s="3">
        <f>VLOOKUP($A121,'SegEnds_NonXtal_BW#'!$A:$Z,8,FALSE)+VLOOKUP($A121,A:AL,10,FALSE)-50</f>
        <v>70</v>
      </c>
      <c r="L121" s="3">
        <f t="shared" si="95"/>
        <v>75</v>
      </c>
      <c r="M121" s="3">
        <v>76</v>
      </c>
      <c r="N121" s="3">
        <f t="shared" si="96"/>
        <v>78</v>
      </c>
      <c r="O121" s="3">
        <f t="shared" si="97"/>
        <v>79</v>
      </c>
      <c r="P121" s="3">
        <v>108</v>
      </c>
      <c r="Q121" s="3">
        <f>VLOOKUP($A121,'SegEnds_NonXtal_BW#'!$A:$Z,12,FALSE)+VLOOKUP($A121,A:AL,16,FALSE)-50</f>
        <v>114</v>
      </c>
      <c r="R121" s="3">
        <f>IF(ISERROR(VLOOKUP($A121,'SegEnds_NonXtal_BW#'!$A:$Z,13,FALSE)+VLOOKUP($A121,A:AL,19,FALSE)-50),"-",VLOOKUP($A121,'SegEnds_NonXtal_BW#'!$A:$Z,13,FALSE)+VLOOKUP($A121,A:AL,19,FALSE)-50)</f>
        <v>115</v>
      </c>
      <c r="S121" s="3">
        <v>115</v>
      </c>
      <c r="T121" s="100">
        <f>IF(ISERROR(VLOOKUP($A121,'SegEnds_NonXtal_BW#'!$A:$Z,14,FALSE)+VLOOKUP($A121,A:AL,19,FALSE)-50),"-",(VLOOKUP($A121,'SegEnds_NonXtal_BW#'!$A:$Z,14,FALSE)+VLOOKUP($A121,A:AL,19,FALSE)-50))</f>
        <v>122</v>
      </c>
      <c r="U121" s="9">
        <f>IF(ISERROR(VLOOKUP($A121,'SegEnds_NonXtal_BW#'!$A:$Z,15,FALSE)+VLOOKUP($A121,A:AL,22,FALSE)-50),"-",VLOOKUP($A121,'SegEnds_NonXtal_BW#'!$A:$Z,15,FALSE)+VLOOKUP($A121,A:AL,22,FALSE)-50)</f>
        <v>123</v>
      </c>
      <c r="V121" s="3">
        <v>135</v>
      </c>
      <c r="W121" s="3">
        <f>IF(ISERROR(VLOOKUP($A121,'SegEnds_NonXtal_BW#'!$A:$Z,16,FALSE)+VLOOKUP($A121,A:AL,22,FALSE)-50),"-",(VLOOKUP($A121,'SegEnds_NonXtal_BW#'!$A:$Z,16,FALSE)+VLOOKUP($A121,A:AL,22,FALSE)-50))</f>
        <v>148</v>
      </c>
      <c r="X121" s="3">
        <f>IF(ISERROR(VLOOKUP($A121,'SegEnds_NonXtal_BW#'!$A:$Z,17,FALSE)+VLOOKUP($A121,A:AL,25,FALSE)-50),"-",(VLOOKUP($A121,'SegEnds_NonXtal_BW#'!$A:$Z,17,FALSE)+VLOOKUP($A121,A:AL,25,FALSE)-50))</f>
        <v>161</v>
      </c>
      <c r="Y121" s="3">
        <v>161</v>
      </c>
      <c r="Z121" s="3">
        <f t="shared" si="98"/>
        <v>163</v>
      </c>
      <c r="AA121" s="3">
        <f>IF(ISERROR(VLOOKUP($A121,'SegEnds_NonXtal_BW#'!$A:$Z,19,FALSE)+VLOOKUP($A121,A:AL,28,FALSE)-50),"-",(VLOOKUP($A121,'SegEnds_NonXtal_BW#'!$A:$Z,19,FALSE)+VLOOKUP($A121,A:AL,28,FALSE)-50))</f>
        <v>169</v>
      </c>
      <c r="AB121" s="3">
        <v>184</v>
      </c>
      <c r="AC121" s="3">
        <f>IF(ISERROR((VLOOKUP($A121,'SegEnds_NonXtal_BW#'!$A:$Z,20,FALSE)+VLOOKUP($A121,A:AL,28,FALSE)-50)),"-",(VLOOKUP($A121,'SegEnds_NonXtal_BW#'!$A:$Z,20,FALSE)+VLOOKUP($A121,A:AL,28,FALSE)-50))</f>
        <v>210</v>
      </c>
      <c r="AD121" s="3">
        <f>IF(ISERROR(VLOOKUP($A121,'SegEnds_NonXtal_BW#'!$A:$Z,21,FALSE)+VLOOKUP($A121,A:AL,31,FALSE)-50),"-",(VLOOKUP($A121,'SegEnds_NonXtal_BW#'!$A:$Z,21,FALSE)+VLOOKUP($A121,A:AL,31,FALSE)-50))</f>
        <v>234</v>
      </c>
      <c r="AE121" s="3">
        <v>260</v>
      </c>
      <c r="AF121" s="3">
        <f>IF(ISERROR((VLOOKUP($A121,'SegEnds_NonXtal_BW#'!$A:$Z,22,FALSE)+VLOOKUP($A121,A:AL,31,FALSE)-50)),"-",(VLOOKUP($A121,'SegEnds_NonXtal_BW#'!$A:$Z,22,FALSE)+VLOOKUP($A121,A:AL,31,FALSE)-50))</f>
        <v>271</v>
      </c>
      <c r="AG121" s="3">
        <f>IF(ISERROR(VLOOKUP($A121,'SegEnds_NonXtal_BW#'!$A:$Z,23,FALSE)+VLOOKUP($A121,A:AL,34,FALSE)-50),"-",(VLOOKUP($A121,'SegEnds_NonXtal_BW#'!$A:$Z,23,FALSE)+VLOOKUP($A121,A:AL,34,FALSE)-50))</f>
        <v>276</v>
      </c>
      <c r="AH121" s="3">
        <v>294</v>
      </c>
      <c r="AI121" s="3">
        <v>299</v>
      </c>
      <c r="AJ121" s="3">
        <f>IF(ISERROR(VLOOKUP($A121,'SegEnds_NonXtal_BW#'!$A:$Z,25,FALSE)+VLOOKUP($A121,A:AL,37,FALSE)-50),"-",(VLOOKUP($A121,'SegEnds_NonXtal_BW#'!$A:$Z,25,FALSE)+VLOOKUP($A121,A:AL,37,FALSE)-50))</f>
        <v>300</v>
      </c>
      <c r="AK121" s="3">
        <v>303</v>
      </c>
      <c r="AL121" s="3">
        <f>IF(ISERROR((VLOOKUP($A121,'SegEnds_NonXtal_BW#'!$A:$Z,26,FALSE)+VLOOKUP($A121,A:AL,37,FALSE)-50)),"-",(VLOOKUP($A121,'SegEnds_NonXtal_BW#'!$A:$Z,26,FALSE)+VLOOKUP($A121,A:AL,37,FALSE)-50))</f>
        <v>312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5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6</v>
      </c>
      <c r="AX121" s="3">
        <f t="shared" si="47"/>
        <v>24</v>
      </c>
      <c r="AY121" s="3">
        <f t="shared" si="48"/>
        <v>5</v>
      </c>
      <c r="AZ121" s="3">
        <f t="shared" si="49"/>
        <v>1</v>
      </c>
      <c r="BA121" s="3">
        <f>IF(ISERROR(LEN(VLOOKUP(A121,Seqs!A:E,2,FALSE))-AL121),"-",LEN(VLOOKUP(A121,Seqs!A:E,2,FALSE))-AL121)</f>
        <v>297</v>
      </c>
      <c r="BB121" s="16">
        <f t="shared" si="50"/>
        <v>27</v>
      </c>
      <c r="BC121" s="9">
        <f t="shared" si="51"/>
        <v>20</v>
      </c>
      <c r="BD121" s="3">
        <f t="shared" si="52"/>
        <v>27</v>
      </c>
      <c r="BE121" s="3">
        <f t="shared" si="53"/>
        <v>76</v>
      </c>
    </row>
    <row r="122" spans="1:60" s="3" customFormat="1" x14ac:dyDescent="0.2">
      <c r="A122" s="3" t="s">
        <v>226</v>
      </c>
      <c r="B122" s="3" t="str">
        <f>LOWER(VLOOKUP(A122,Xtal_Templ!A:B,2,FALSE))</f>
        <v>5ht1b_human</v>
      </c>
      <c r="C122" s="3">
        <f>VLOOKUP($A122,'SegEnds_NonXtal_BW#'!$A:$Z,3,FALSE)+D122-50</f>
        <v>23</v>
      </c>
      <c r="D122" s="3">
        <v>45</v>
      </c>
      <c r="E122" s="3">
        <f>IF(ISERROR(VLOOKUP($A122,'SegEnds_NonXtal_BW#'!$A:$Z,4,FALSE)+VLOOKUP($A122,A:AL,4,FALSE)-50),"-",(VLOOKUP($A122,'SegEnds_NonXtal_BW#'!$A:$Z,4,FALSE)+VLOOKUP($A122,A:AL,4,FALSE)-50))</f>
        <v>55</v>
      </c>
      <c r="F122" s="3">
        <f>G122-2</f>
        <v>56</v>
      </c>
      <c r="G122" s="3">
        <v>58</v>
      </c>
      <c r="H122" s="3">
        <f t="shared" si="99"/>
        <v>59</v>
      </c>
      <c r="I122" s="3">
        <f t="shared" si="99"/>
        <v>60</v>
      </c>
      <c r="J122" s="3">
        <v>73</v>
      </c>
      <c r="K122" s="3">
        <f>VLOOKUP($A122,'SegEnds_NonXtal_BW#'!$A:$Z,8,FALSE)+VLOOKUP($A122,A:AL,10,FALSE)-50</f>
        <v>91</v>
      </c>
      <c r="L122" s="3">
        <f t="shared" si="95"/>
        <v>92</v>
      </c>
      <c r="M122" s="3">
        <v>93</v>
      </c>
      <c r="N122" s="3">
        <f t="shared" si="96"/>
        <v>95</v>
      </c>
      <c r="O122" s="3">
        <f t="shared" si="97"/>
        <v>96</v>
      </c>
      <c r="P122" s="3">
        <v>125</v>
      </c>
      <c r="Q122" s="3">
        <f>VLOOKUP($A122,'SegEnds_NonXtal_BW#'!$A:$Z,12,FALSE)+VLOOKUP($A122,A:AL,16,FALSE)-50</f>
        <v>131</v>
      </c>
      <c r="R122" s="3">
        <f>IF(ISERROR(VLOOKUP($A122,'SegEnds_NonXtal_BW#'!$A:$Z,13,FALSE)+VLOOKUP($A122,A:AL,19,FALSE)-50),"-",VLOOKUP($A122,'SegEnds_NonXtal_BW#'!$A:$Z,13,FALSE)+VLOOKUP($A122,A:AL,19,FALSE)-50)</f>
        <v>132</v>
      </c>
      <c r="S122" s="3">
        <v>132</v>
      </c>
      <c r="T122" s="100">
        <f>IF(ISERROR(VLOOKUP($A122,'SegEnds_NonXtal_BW#'!$A:$Z,14,FALSE)+VLOOKUP($A122,A:AL,19,FALSE)-50),"-",(VLOOKUP($A122,'SegEnds_NonXtal_BW#'!$A:$Z,14,FALSE)+VLOOKUP($A122,A:AL,19,FALSE)-50))</f>
        <v>139</v>
      </c>
      <c r="U122" s="9">
        <f>IF(ISERROR(VLOOKUP($A122,'SegEnds_NonXtal_BW#'!$A:$Z,15,FALSE)+VLOOKUP($A122,A:AL,22,FALSE)-50),"-",VLOOKUP($A122,'SegEnds_NonXtal_BW#'!$A:$Z,15,FALSE)+VLOOKUP($A122,A:AL,22,FALSE)-50)</f>
        <v>140</v>
      </c>
      <c r="V122" s="3">
        <v>152</v>
      </c>
      <c r="W122" s="3">
        <f>IF(ISERROR(VLOOKUP($A122,'SegEnds_NonXtal_BW#'!$A:$Z,16,FALSE)+VLOOKUP($A122,A:AL,22,FALSE)-50),"-",(VLOOKUP($A122,'SegEnds_NonXtal_BW#'!$A:$Z,16,FALSE)+VLOOKUP($A122,A:AL,22,FALSE)-50))</f>
        <v>165</v>
      </c>
      <c r="X122" s="3">
        <f>IF(ISERROR(VLOOKUP($A122,'SegEnds_NonXtal_BW#'!$A:$Z,17,FALSE)+VLOOKUP($A122,A:AL,25,FALSE)-50),"-",(VLOOKUP($A122,'SegEnds_NonXtal_BW#'!$A:$Z,17,FALSE)+VLOOKUP($A122,A:AL,25,FALSE)-50))</f>
        <v>178</v>
      </c>
      <c r="Y122" s="3">
        <v>178</v>
      </c>
      <c r="Z122" s="3">
        <f t="shared" si="98"/>
        <v>180</v>
      </c>
      <c r="AA122" s="3">
        <f>IF(ISERROR(VLOOKUP($A122,'SegEnds_NonXtal_BW#'!$A:$Z,19,FALSE)+VLOOKUP($A122,A:AL,28,FALSE)-50),"-",(VLOOKUP($A122,'SegEnds_NonXtal_BW#'!$A:$Z,19,FALSE)+VLOOKUP($A122,A:AL,28,FALSE)-50))</f>
        <v>185</v>
      </c>
      <c r="AB122" s="3">
        <v>200</v>
      </c>
      <c r="AC122" s="3">
        <f>IF(ISERROR((VLOOKUP($A122,'SegEnds_NonXtal_BW#'!$A:$Z,20,FALSE)+VLOOKUP($A122,A:AL,28,FALSE)-50)),"-",(VLOOKUP($A122,'SegEnds_NonXtal_BW#'!$A:$Z,20,FALSE)+VLOOKUP($A122,A:AL,28,FALSE)-50))</f>
        <v>226</v>
      </c>
      <c r="AD122" s="3">
        <f>IF(ISERROR(VLOOKUP($A122,'SegEnds_NonXtal_BW#'!$A:$Z,21,FALSE)+VLOOKUP($A122,A:AL,31,FALSE)-50),"-",(VLOOKUP($A122,'SegEnds_NonXtal_BW#'!$A:$Z,21,FALSE)+VLOOKUP($A122,A:AL,31,FALSE)-50))</f>
        <v>259</v>
      </c>
      <c r="AE122" s="3">
        <v>285</v>
      </c>
      <c r="AF122" s="3">
        <f>IF(ISERROR((VLOOKUP($A122,'SegEnds_NonXtal_BW#'!$A:$Z,22,FALSE)+VLOOKUP($A122,A:AL,31,FALSE)-50)),"-",(VLOOKUP($A122,'SegEnds_NonXtal_BW#'!$A:$Z,22,FALSE)+VLOOKUP($A122,A:AL,31,FALSE)-50))</f>
        <v>296</v>
      </c>
      <c r="AG122" s="3">
        <f>IF(ISERROR(VLOOKUP($A122,'SegEnds_NonXtal_BW#'!$A:$Z,23,FALSE)+VLOOKUP($A122,A:AL,34,FALSE)-50),"-",(VLOOKUP($A122,'SegEnds_NonXtal_BW#'!$A:$Z,23,FALSE)+VLOOKUP($A122,A:AL,34,FALSE)-50))</f>
        <v>302</v>
      </c>
      <c r="AH122" s="3">
        <v>321</v>
      </c>
      <c r="AI122" s="3">
        <f>IF(ISERROR((VLOOKUP($A122,'SegEnds_NonXtal_BW#'!$A:$Z,24,FALSE)+VLOOKUP($A122,A:AL,34,FALSE)-50)),"-",(VLOOKUP($A122,'SegEnds_NonXtal_BW#'!$A:$Z,24,FALSE)+VLOOKUP($A122,A:AL,34,FALSE)-50))</f>
        <v>327</v>
      </c>
      <c r="AJ122" s="3">
        <f>IF(ISERROR(VLOOKUP($A122,'SegEnds_NonXtal_BW#'!$A:$Z,25,FALSE)+VLOOKUP($A122,A:AL,37,FALSE)-50),"-",(VLOOKUP($A122,'SegEnds_NonXtal_BW#'!$A:$Z,25,FALSE)+VLOOKUP($A122,A:AL,37,FALSE)-50))</f>
        <v>328</v>
      </c>
      <c r="AK122" s="3">
        <v>331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1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13</v>
      </c>
      <c r="AW122" s="3">
        <f t="shared" si="46"/>
        <v>5</v>
      </c>
      <c r="AX122" s="3">
        <f t="shared" si="47"/>
        <v>33</v>
      </c>
      <c r="AY122" s="3">
        <f t="shared" si="48"/>
        <v>6</v>
      </c>
      <c r="AZ122" s="3">
        <f t="shared" si="49"/>
        <v>1</v>
      </c>
      <c r="BA122" s="3">
        <f>IF(ISERROR(LEN(VLOOKUP(A122,Seqs!A:E,2,FALSE))-AL122),"-",LEN(VLOOKUP(A122,Seqs!A:E,2,FALSE))-AL122)</f>
        <v>190</v>
      </c>
      <c r="BB122" s="16">
        <f t="shared" si="50"/>
        <v>28</v>
      </c>
      <c r="BC122" s="9">
        <f t="shared" si="51"/>
        <v>20</v>
      </c>
      <c r="BD122" s="3">
        <f t="shared" si="52"/>
        <v>28</v>
      </c>
      <c r="BE122" s="3">
        <f t="shared" si="53"/>
        <v>85</v>
      </c>
    </row>
    <row r="123" spans="1:60" s="3" customFormat="1" x14ac:dyDescent="0.2">
      <c r="A123" s="3" t="s">
        <v>227</v>
      </c>
      <c r="B123" s="3" t="str">
        <f>LOWER(VLOOKUP(A123,Xtal_Templ!A:B,2,FALSE))</f>
        <v>npy1r_human</v>
      </c>
      <c r="C123" s="3">
        <f>VLOOKUP($A123,'SegEnds_NonXtal_BW#'!$A:$Z,3,FALSE)+D123-50</f>
        <v>9</v>
      </c>
      <c r="D123" s="3">
        <v>31</v>
      </c>
      <c r="E123" s="3">
        <f>IF(ISERROR(VLOOKUP($A123,'SegEnds_NonXtal_BW#'!$A:$Z,4,FALSE)+VLOOKUP($A123,A:AL,4,FALSE)-50),"-",(VLOOKUP($A123,'SegEnds_NonXtal_BW#'!$A:$Z,4,FALSE)+VLOOKUP($A123,A:AL,4,FALSE)-50))</f>
        <v>41</v>
      </c>
      <c r="F123" s="3">
        <f>G123-2</f>
        <v>42</v>
      </c>
      <c r="G123" s="3">
        <v>44</v>
      </c>
      <c r="H123" s="3">
        <f t="shared" si="99"/>
        <v>45</v>
      </c>
      <c r="I123" s="3">
        <f t="shared" si="99"/>
        <v>46</v>
      </c>
      <c r="J123" s="105">
        <v>58</v>
      </c>
      <c r="K123" s="3">
        <f>VLOOKUP($A123,'SegEnds_NonXtal_BW#'!$A:$Z,8,FALSE)+VLOOKUP($A123,A:AL,10,FALSE)-50</f>
        <v>76</v>
      </c>
      <c r="L123" s="3">
        <f t="shared" si="95"/>
        <v>82</v>
      </c>
      <c r="M123" s="3">
        <v>83</v>
      </c>
      <c r="N123" s="3">
        <f t="shared" si="96"/>
        <v>85</v>
      </c>
      <c r="O123" s="3">
        <f t="shared" si="97"/>
        <v>86</v>
      </c>
      <c r="P123" s="3">
        <v>115</v>
      </c>
      <c r="Q123" s="3">
        <f>VLOOKUP($A123,'SegEnds_NonXtal_BW#'!$A:$Z,12,FALSE)+VLOOKUP($A123,A:AL,16,FALSE)-50</f>
        <v>121</v>
      </c>
      <c r="R123" s="3">
        <f>IF(ISERROR(VLOOKUP($A123,'SegEnds_NonXtal_BW#'!$A:$Z,13,FALSE)+VLOOKUP($A123,A:AL,19,FALSE)-50),"-",VLOOKUP($A123,'SegEnds_NonXtal_BW#'!$A:$Z,13,FALSE)+VLOOKUP($A123,A:AL,19,FALSE)-50)</f>
        <v>122</v>
      </c>
      <c r="S123" s="3">
        <v>122</v>
      </c>
      <c r="T123" s="100">
        <f>IF(ISERROR(VLOOKUP($A123,'SegEnds_NonXtal_BW#'!$A:$Z,14,FALSE)+VLOOKUP($A123,A:AL,19,FALSE)-50),"-",(VLOOKUP($A123,'SegEnds_NonXtal_BW#'!$A:$Z,14,FALSE)+VLOOKUP($A123,A:AL,19,FALSE)-50))</f>
        <v>129</v>
      </c>
      <c r="U123" s="9">
        <f>IF(ISERROR(VLOOKUP($A123,'SegEnds_NonXtal_BW#'!$A:$Z,15,FALSE)+VLOOKUP($A123,A:AL,22,FALSE)-50),"-",VLOOKUP($A123,'SegEnds_NonXtal_BW#'!$A:$Z,15,FALSE)+VLOOKUP($A123,A:AL,22,FALSE)-50)</f>
        <v>130</v>
      </c>
      <c r="V123" s="3">
        <v>142</v>
      </c>
      <c r="W123" s="3">
        <f>IF(ISERROR(VLOOKUP($A123,'SegEnds_NonXtal_BW#'!$A:$Z,16,FALSE)+VLOOKUP($A123,A:AL,22,FALSE)-50),"-",(VLOOKUP($A123,'SegEnds_NonXtal_BW#'!$A:$Z,16,FALSE)+VLOOKUP($A123,A:AL,22,FALSE)-50))</f>
        <v>156</v>
      </c>
      <c r="X123" s="3">
        <f>IF(ISERROR(VLOOKUP($A123,'SegEnds_NonXtal_BW#'!$A:$Z,17,FALSE)+VLOOKUP($A123,A:AL,25,FALSE)-50),"-",(VLOOKUP($A123,'SegEnds_NonXtal_BW#'!$A:$Z,17,FALSE)+VLOOKUP($A123,A:AL,25,FALSE)-50))</f>
        <v>168</v>
      </c>
      <c r="Y123" s="3">
        <v>168</v>
      </c>
      <c r="Z123" s="3">
        <f t="shared" si="98"/>
        <v>170</v>
      </c>
      <c r="AA123" s="3">
        <f>IF(ISERROR(VLOOKUP($A123,'SegEnds_NonXtal_BW#'!$A:$Z,19,FALSE)+VLOOKUP($A123,A:AL,28,FALSE)-50),"-",(VLOOKUP($A123,'SegEnds_NonXtal_BW#'!$A:$Z,19,FALSE)+VLOOKUP($A123,A:AL,28,FALSE)-50))</f>
        <v>176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215</v>
      </c>
      <c r="AD123" s="3">
        <f>IF(ISERROR(VLOOKUP($A123,'SegEnds_NonXtal_BW#'!$A:$Z,21,FALSE)+VLOOKUP($A123,A:AL,31,FALSE)-50),"-",(VLOOKUP($A123,'SegEnds_NonXtal_BW#'!$A:$Z,21,FALSE)+VLOOKUP($A123,A:AL,31,FALSE)-50))</f>
        <v>261</v>
      </c>
      <c r="AE123" s="3">
        <v>287</v>
      </c>
      <c r="AF123" s="3">
        <f>IF(ISERROR((VLOOKUP($A123,'SegEnds_NonXtal_BW#'!$A:$Z,22,FALSE)+VLOOKUP($A123,A:AL,31,FALSE)-50)),"-",(VLOOKUP($A123,'SegEnds_NonXtal_BW#'!$A:$Z,22,FALSE)+VLOOKUP($A123,A:AL,31,FALSE)-50))</f>
        <v>298</v>
      </c>
      <c r="AG123" s="3">
        <f>IF(ISERROR(VLOOKUP($A123,'SegEnds_NonXtal_BW#'!$A:$Z,23,FALSE)+VLOOKUP($A123,A:AL,34,FALSE)-50),"-",(VLOOKUP($A123,'SegEnds_NonXtal_BW#'!$A:$Z,23,FALSE)+VLOOKUP($A123,A:AL,34,FALSE)-50))</f>
        <v>303</v>
      </c>
      <c r="AH123" s="3">
        <v>321</v>
      </c>
      <c r="AI123" s="3">
        <v>326</v>
      </c>
      <c r="AJ123" s="3">
        <f>IF(ISERROR(VLOOKUP($A123,'SegEnds_NonXtal_BW#'!$A:$Z,25,FALSE)+VLOOKUP($A123,A:AL,37,FALSE)-50),"-",(VLOOKUP($A123,'SegEnds_NonXtal_BW#'!$A:$Z,25,FALSE)+VLOOKUP($A123,A:AL,37,FALSE)-50))</f>
        <v>327</v>
      </c>
      <c r="AK123" s="3">
        <v>330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>
        <f t="shared" si="39"/>
        <v>1</v>
      </c>
      <c r="AQ123" s="3">
        <f t="shared" si="40"/>
        <v>1</v>
      </c>
      <c r="AR123" s="3">
        <f t="shared" si="41"/>
        <v>6</v>
      </c>
      <c r="AS123" s="3">
        <f t="shared" si="42"/>
        <v>1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6</v>
      </c>
      <c r="AX123" s="3">
        <f t="shared" si="47"/>
        <v>46</v>
      </c>
      <c r="AY123" s="3">
        <f t="shared" si="48"/>
        <v>5</v>
      </c>
      <c r="AZ123" s="3">
        <f t="shared" si="49"/>
        <v>1</v>
      </c>
      <c r="BA123" s="3">
        <f>IF(ISERROR(LEN(VLOOKUP(A123,Seqs!A:E,2,FALSE))-AL123),"-",LEN(VLOOKUP(A123,Seqs!A:E,2,FALSE))-AL123)</f>
        <v>250</v>
      </c>
      <c r="BB123" s="16">
        <f t="shared" si="50"/>
        <v>27</v>
      </c>
      <c r="BC123" s="9">
        <f t="shared" si="51"/>
        <v>20</v>
      </c>
      <c r="BD123" s="3">
        <f t="shared" si="52"/>
        <v>27</v>
      </c>
      <c r="BE123" s="3">
        <f t="shared" si="53"/>
        <v>96</v>
      </c>
    </row>
    <row r="124" spans="1:60" s="9" customFormat="1" x14ac:dyDescent="0.2">
      <c r="A124" s="3" t="s">
        <v>228</v>
      </c>
      <c r="B124" s="3" t="str">
        <f>LOWER(VLOOKUP(A124,Xtal_Templ!A:B,2,FALSE))</f>
        <v>p2y12_human</v>
      </c>
      <c r="C124" s="3">
        <f>VLOOKUP($A124,'SegEnds_NonXtal_BW#'!$A:$Z,3,FALSE)+D124-50</f>
        <v>10</v>
      </c>
      <c r="D124" s="3">
        <v>32</v>
      </c>
      <c r="E124" s="3">
        <f>IF(ISERROR(VLOOKUP($A124,'SegEnds_NonXtal_BW#'!$A:$Z,4,FALSE)+VLOOKUP($A124,A:AL,4,FALSE)-50),"-",(VLOOKUP($A124,'SegEnds_NonXtal_BW#'!$A:$Z,4,FALSE)+VLOOKUP($A124,A:AL,4,FALSE)-50))</f>
        <v>42</v>
      </c>
      <c r="F124" s="3" t="str">
        <f>IF(ISERROR(VLOOKUP($A124,'SegEnds_NonXtal_BW#'!$A:$Z,5,FALSE)+VLOOKUP($A124,A:AL,7,FALSE)-50),"-",(VLOOKUP($A124,'SegEnds_NonXtal_BW#'!$A:$Z,5,FALSE)+VLOOKUP($A124,A:AL,7,FALSE)-50))</f>
        <v>-</v>
      </c>
      <c r="G124" s="3" t="s">
        <v>23</v>
      </c>
      <c r="H124" s="3" t="str">
        <f>IF(ISERROR(VLOOKUP($A124,'SegEnds_NonXtal_BW#'!$A:$Z,6,FALSE)+VLOOKUP($A124,A:AL,7,FALSE)-50),"-",(VLOOKUP($A124,'SegEnds_NonXtal_BW#'!$A:$Z,6,FALSE)+VLOOKUP($A124,A:AL,7,FALSE)-50))</f>
        <v>-</v>
      </c>
      <c r="I124" s="3">
        <f>VLOOKUP($A124,'SegEnds_NonXtal_BW#'!$A:$Z,7,FALSE)+J124-50</f>
        <v>47</v>
      </c>
      <c r="J124" s="3">
        <v>60</v>
      </c>
      <c r="K124" s="3">
        <f>VLOOKUP($A124,'SegEnds_NonXtal_BW#'!$A:$Z,8,FALSE)+VLOOKUP($A124,A:AL,10,FALSE)-50</f>
        <v>76</v>
      </c>
      <c r="L124" s="3" t="str">
        <f>IF(ISERROR(VLOOKUP($A124,'SegEnds_NonXtal_BW#'!$A:$Z,9,FALSE)+VLOOKUP($A124,A:AL,13,FALSE)-50),"-",(VLOOKUP($A124,'SegEnds_NonXtal_BW#'!$A:$Z,9,FALSE)+VLOOKUP($A124,A:AL,13,FALSE)-50))</f>
        <v>-</v>
      </c>
      <c r="M124" s="3" t="s">
        <v>23</v>
      </c>
      <c r="N124" s="3" t="str">
        <f>IF(ISERROR(VLOOKUP($A124,'SegEnds_NonXtal_BW#'!$A:$Z,10,FALSE)+VLOOKUP($A124,A:AL,13,FALSE)-50),"-",(VLOOKUP($A124,'SegEnds_NonXtal_BW#'!$A:$Z,10,FALSE)+VLOOKUP($A124,A:AL,13,FALSE)-50))</f>
        <v>-</v>
      </c>
      <c r="O124" s="3">
        <f>VLOOKUP($A124,'SegEnds_NonXtal_BW#'!$A:$Z,11,FALSE)+VLOOKUP($A124,A:AL,16,FALSE)-50</f>
        <v>80</v>
      </c>
      <c r="P124" s="3">
        <v>112</v>
      </c>
      <c r="Q124" s="3">
        <f>VLOOKUP($A124,'SegEnds_NonXtal_BW#'!$A:$Z,12,FALSE)+VLOOKUP($A124,A:AL,16,FALSE)-50</f>
        <v>118</v>
      </c>
      <c r="R124" s="3">
        <f>IF(ISERROR(VLOOKUP($A124,'SegEnds_NonXtal_BW#'!$A:$Z,13,FALSE)+VLOOKUP($A124,A:AL,19,FALSE)-50),"-",VLOOKUP($A124,'SegEnds_NonXtal_BW#'!$A:$Z,13,FALSE)+VLOOKUP($A124,A:AL,19,FALSE)-50)</f>
        <v>119</v>
      </c>
      <c r="S124" s="3">
        <v>119</v>
      </c>
      <c r="T124" s="100">
        <f>IF(ISERROR(VLOOKUP($A124,'SegEnds_NonXtal_BW#'!$A:$Z,14,FALSE)+VLOOKUP($A124,A:AL,19,FALSE)-50),"-",(VLOOKUP($A124,'SegEnds_NonXtal_BW#'!$A:$Z,14,FALSE)+VLOOKUP($A124,A:AL,19,FALSE)-50))</f>
        <v>126</v>
      </c>
      <c r="U124" s="9">
        <f>IF(ISERROR(VLOOKUP($A124,'SegEnds_NonXtal_BW#'!$A:$Z,15,FALSE)+VLOOKUP($A124,A:AL,22,FALSE)-50),"-",VLOOKUP($A124,'SegEnds_NonXtal_BW#'!$A:$Z,15,FALSE)+VLOOKUP($A124,A:AL,22,FALSE)-50)</f>
        <v>127</v>
      </c>
      <c r="V124" s="3">
        <v>139</v>
      </c>
      <c r="W124" s="3">
        <f>IF(ISERROR(VLOOKUP($A124,'SegEnds_NonXtal_BW#'!$A:$Z,16,FALSE)+VLOOKUP($A124,A:AL,22,FALSE)-50),"-",(VLOOKUP($A124,'SegEnds_NonXtal_BW#'!$A:$Z,16,FALSE)+VLOOKUP($A124,A:AL,22,FALSE)-50))</f>
        <v>153</v>
      </c>
      <c r="X124" s="3">
        <f>IF(ISERROR(VLOOKUP($A124,'SegEnds_NonXtal_BW#'!$A:$Z,17,FALSE)+VLOOKUP($A124,A:AL,25,FALSE)-50),"-",(VLOOKUP($A124,'SegEnds_NonXtal_BW#'!$A:$Z,17,FALSE)+VLOOKUP($A124,A:AL,25,FALSE)-50))</f>
        <v>165</v>
      </c>
      <c r="Y124" s="3">
        <v>165</v>
      </c>
      <c r="Z124" s="3">
        <f t="shared" si="98"/>
        <v>167</v>
      </c>
      <c r="AA124" s="3">
        <f>IF(ISERROR(VLOOKUP($A124,'SegEnds_NonXtal_BW#'!$A:$Z,19,FALSE)+VLOOKUP($A124,A:AL,28,FALSE)-50),"-",(VLOOKUP($A124,'SegEnds_NonXtal_BW#'!$A:$Z,19,FALSE)+VLOOKUP($A124,A:AL,28,FALSE)-50))</f>
        <v>171</v>
      </c>
      <c r="AB124" s="3">
        <v>191</v>
      </c>
      <c r="AC124" s="3">
        <f>IF(ISERROR((VLOOKUP($A124,'SegEnds_NonXtal_BW#'!$A:$Z,20,FALSE)+VLOOKUP($A124,A:AL,28,FALSE)-50)),"-",(VLOOKUP($A124,'SegEnds_NonXtal_BW#'!$A:$Z,20,FALSE)+VLOOKUP($A124,A:AL,28,FALSE)-50))</f>
        <v>208</v>
      </c>
      <c r="AD124" s="3">
        <f>IF(ISERROR(VLOOKUP($A124,'SegEnds_NonXtal_BW#'!$A:$Z,21,FALSE)+VLOOKUP($A124,A:AL,31,FALSE)-50),"-",(VLOOKUP($A124,'SegEnds_NonXtal_BW#'!$A:$Z,21,FALSE)+VLOOKUP($A124,A:AL,31,FALSE)-50))</f>
        <v>214</v>
      </c>
      <c r="AE124" s="3">
        <v>238</v>
      </c>
      <c r="AF124" s="3">
        <f>IF(ISERROR((VLOOKUP($A124,'SegEnds_NonXtal_BW#'!$A:$Z,22,FALSE)+VLOOKUP($A124,A:AL,31,FALSE)-50)),"-",(VLOOKUP($A124,'SegEnds_NonXtal_BW#'!$A:$Z,22,FALSE)+VLOOKUP($A124,A:AL,31,FALSE)-50))</f>
        <v>252</v>
      </c>
      <c r="AG124" s="3">
        <f>IF(ISERROR(VLOOKUP($A124,'SegEnds_NonXtal_BW#'!$A:$Z,23,FALSE)+VLOOKUP($A124,A:AL,34,FALSE)-50),"-",(VLOOKUP($A124,'SegEnds_NonXtal_BW#'!$A:$Z,23,FALSE)+VLOOKUP($A124,A:AL,34,FALSE)-50))</f>
        <v>256</v>
      </c>
      <c r="AH124" s="3">
        <v>282</v>
      </c>
      <c r="AI124" s="3">
        <f>IF(ISERROR((VLOOKUP($A124,'SegEnds_NonXtal_BW#'!$A:$Z,24,FALSE)+VLOOKUP($A124,A:AL,34,FALSE)-50)),"-",(VLOOKUP($A124,'SegEnds_NonXtal_BW#'!$A:$Z,24,FALSE)+VLOOKUP($A124,A:AL,34,FALSE)-50))</f>
        <v>288</v>
      </c>
      <c r="AJ124" s="3">
        <f>IF(ISERROR(VLOOKUP($A124,'SegEnds_NonXtal_BW#'!$A:$Z,25,FALSE)+VLOOKUP($A124,A:AL,37,FALSE)-50),"-",(VLOOKUP($A124,'SegEnds_NonXtal_BW#'!$A:$Z,25,FALSE)+VLOOKUP($A124,A:AL,37,FALSE)-50))</f>
        <v>289</v>
      </c>
      <c r="AK124" s="3">
        <v>292</v>
      </c>
      <c r="AL124" s="3">
        <f>IF(ISERROR((VLOOKUP($A124,'SegEnds_NonXtal_BW#'!$A:$Z,26,FALSE)+VLOOKUP($A124,A:AL,37,FALSE)-50)),"-",(VLOOKUP($A124,'SegEnds_NonXtal_BW#'!$A:$Z,26,FALSE)+VLOOKUP($A124,A:AL,37,FALSE)-50))</f>
        <v>299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 t="str">
        <f t="shared" si="39"/>
        <v>-</v>
      </c>
      <c r="AQ124" s="3" t="str">
        <f t="shared" si="40"/>
        <v>-</v>
      </c>
      <c r="AR124" s="3" t="str">
        <f t="shared" si="41"/>
        <v>-</v>
      </c>
      <c r="AS124" s="3" t="str">
        <f t="shared" si="42"/>
        <v>-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</v>
      </c>
      <c r="AX124" s="3">
        <f t="shared" si="47"/>
        <v>6</v>
      </c>
      <c r="AY124" s="3">
        <f t="shared" si="48"/>
        <v>4</v>
      </c>
      <c r="AZ124" s="3">
        <f t="shared" si="49"/>
        <v>1</v>
      </c>
      <c r="BA124" s="3">
        <f>IF(ISERROR(LEN(VLOOKUP(A124,Seqs!A:E,2,FALSE))-AL124),"-",LEN(VLOOKUP(A124,Seqs!A:E,2,FALSE))-AL124)</f>
        <v>20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47</v>
      </c>
      <c r="BF124" s="3">
        <f>AH124-AE124</f>
        <v>44</v>
      </c>
      <c r="BG124" s="3"/>
      <c r="BH124" s="3"/>
    </row>
    <row r="125" spans="1:60" s="3" customFormat="1" x14ac:dyDescent="0.2">
      <c r="A125" s="3" t="s">
        <v>229</v>
      </c>
      <c r="B125" s="3" t="str">
        <f>LOWER(VLOOKUP(A125,Xtal_Templ!A:B,2,FALSE))</f>
        <v>5ht2a_human</v>
      </c>
      <c r="C125" s="3">
        <f>VLOOKUP($A125,'SegEnds_NonXtal_BW#'!$A:$Z,3,FALSE)+D125-50</f>
        <v>17</v>
      </c>
      <c r="D125" s="3">
        <v>40</v>
      </c>
      <c r="E125" s="3">
        <f>IF(ISERROR(VLOOKUP($A125,'SegEnds_NonXtal_BW#'!$A:$Z,4,FALSE)+VLOOKUP($A125,A:AL,4,FALSE)-50),"-",(VLOOKUP($A125,'SegEnds_NonXtal_BW#'!$A:$Z,4,FALSE)+VLOOKUP($A125,A:AL,4,FALSE)-50))</f>
        <v>50</v>
      </c>
      <c r="F125" s="3">
        <f>G125-2</f>
        <v>51</v>
      </c>
      <c r="G125" s="3">
        <v>53</v>
      </c>
      <c r="H125" s="3">
        <f t="shared" ref="H125:I128" si="100">G125+1</f>
        <v>54</v>
      </c>
      <c r="I125" s="3">
        <f t="shared" si="100"/>
        <v>55</v>
      </c>
      <c r="J125" s="3">
        <v>68</v>
      </c>
      <c r="K125" s="3">
        <f>VLOOKUP($A125,'SegEnds_NonXtal_BW#'!$A:$Z,8,FALSE)+VLOOKUP($A125,A:AL,10,FALSE)-50</f>
        <v>86</v>
      </c>
      <c r="L125" s="3">
        <f t="shared" ref="L125:L133" si="101">M125-1</f>
        <v>88</v>
      </c>
      <c r="M125" s="3">
        <v>89</v>
      </c>
      <c r="N125" s="3">
        <f t="shared" ref="N125:N133" si="102">M125+2</f>
        <v>91</v>
      </c>
      <c r="O125" s="3">
        <f t="shared" ref="O125:O133" si="103">N125+1</f>
        <v>92</v>
      </c>
      <c r="P125" s="3">
        <v>121</v>
      </c>
      <c r="Q125" s="3">
        <f>VLOOKUP($A125,'SegEnds_NonXtal_BW#'!$A:$Z,12,FALSE)+VLOOKUP($A125,A:AL,16,FALSE)-50</f>
        <v>127</v>
      </c>
      <c r="R125" s="3">
        <f>IF(ISERROR(VLOOKUP($A125,'SegEnds_NonXtal_BW#'!$A:$Z,13,FALSE)+VLOOKUP($A125,A:AL,19,FALSE)-50),"-",VLOOKUP($A125,'SegEnds_NonXtal_BW#'!$A:$Z,13,FALSE)+VLOOKUP($A125,A:AL,19,FALSE)-50)</f>
        <v>128</v>
      </c>
      <c r="S125" s="3">
        <v>128</v>
      </c>
      <c r="T125" s="100">
        <f>IF(ISERROR(VLOOKUP($A125,'SegEnds_NonXtal_BW#'!$A:$Z,14,FALSE)+VLOOKUP($A125,A:AL,19,FALSE)-50),"-",(VLOOKUP($A125,'SegEnds_NonXtal_BW#'!$A:$Z,14,FALSE)+VLOOKUP($A125,A:AL,19,FALSE)-50))</f>
        <v>135</v>
      </c>
      <c r="U125" s="9">
        <f>IF(ISERROR(VLOOKUP($A125,'SegEnds_NonXtal_BW#'!$A:$Z,15,FALSE)+VLOOKUP($A125,A:AL,22,FALSE)-50),"-",VLOOKUP($A125,'SegEnds_NonXtal_BW#'!$A:$Z,15,FALSE)+VLOOKUP($A125,A:AL,22,FALSE)-50)</f>
        <v>136</v>
      </c>
      <c r="V125" s="3">
        <v>148</v>
      </c>
      <c r="W125" s="3">
        <f>IF(ISERROR(VLOOKUP($A125,'SegEnds_NonXtal_BW#'!$A:$Z,16,FALSE)+VLOOKUP($A125,A:AL,22,FALSE)-50),"-",(VLOOKUP($A125,'SegEnds_NonXtal_BW#'!$A:$Z,16,FALSE)+VLOOKUP($A125,A:AL,22,FALSE)-50))</f>
        <v>165</v>
      </c>
      <c r="X125" s="3">
        <f>IF(ISERROR(VLOOKUP($A125,'SegEnds_NonXtal_BW#'!$A:$Z,17,FALSE)+VLOOKUP($A125,A:AL,25,FALSE)-50),"-",(VLOOKUP($A125,'SegEnds_NonXtal_BW#'!$A:$Z,17,FALSE)+VLOOKUP($A125,A:AL,25,FALSE)-50))</f>
        <v>174</v>
      </c>
      <c r="Y125" s="3">
        <v>174</v>
      </c>
      <c r="Z125" s="3">
        <f t="shared" si="98"/>
        <v>176</v>
      </c>
      <c r="AA125" s="3">
        <f>IF(ISERROR(VLOOKUP($A125,'SegEnds_NonXtal_BW#'!$A:$Z,19,FALSE)+VLOOKUP($A125,A:AL,28,FALSE)-50),"-",(VLOOKUP($A125,'SegEnds_NonXtal_BW#'!$A:$Z,19,FALSE)+VLOOKUP($A125,A:AL,28,FALSE)-50))</f>
        <v>220</v>
      </c>
      <c r="AB125" s="3">
        <v>235</v>
      </c>
      <c r="AC125" s="3">
        <f>IF(ISERROR((VLOOKUP($A125,'SegEnds_NonXtal_BW#'!$A:$Z,20,FALSE)+VLOOKUP($A125,A:AL,28,FALSE)-50)),"-",(VLOOKUP($A125,'SegEnds_NonXtal_BW#'!$A:$Z,20,FALSE)+VLOOKUP($A125,A:AL,28,FALSE)-50))</f>
        <v>259</v>
      </c>
      <c r="AD125" s="3">
        <f>IF(ISERROR(VLOOKUP($A125,'SegEnds_NonXtal_BW#'!$A:$Z,21,FALSE)+VLOOKUP($A125,A:AL,31,FALSE)-50),"-",(VLOOKUP($A125,'SegEnds_NonXtal_BW#'!$A:$Z,21,FALSE)+VLOOKUP($A125,A:AL,31,FALSE)-50))</f>
        <v>272</v>
      </c>
      <c r="AE125" s="3">
        <v>301</v>
      </c>
      <c r="AF125" s="3">
        <f>IF(ISERROR((VLOOKUP($A125,'SegEnds_NonXtal_BW#'!$A:$Z,22,FALSE)+VLOOKUP($A125,A:AL,31,FALSE)-50)),"-",(VLOOKUP($A125,'SegEnds_NonXtal_BW#'!$A:$Z,22,FALSE)+VLOOKUP($A125,A:AL,31,FALSE)-50))</f>
        <v>312</v>
      </c>
      <c r="AG125" s="3">
        <f>IF(ISERROR(VLOOKUP($A125,'SegEnds_NonXtal_BW#'!$A:$Z,23,FALSE)+VLOOKUP($A125,A:AL,34,FALSE)-50),"-",(VLOOKUP($A125,'SegEnds_NonXtal_BW#'!$A:$Z,23,FALSE)+VLOOKUP($A125,A:AL,34,FALSE)-50))</f>
        <v>318</v>
      </c>
      <c r="AH125" s="3">
        <v>337</v>
      </c>
      <c r="AI125" s="3">
        <f>IF(ISERROR((VLOOKUP($A125,'SegEnds_NonXtal_BW#'!$A:$Z,24,FALSE)+VLOOKUP($A125,A:AL,34,FALSE)-50)),"-",(VLOOKUP($A125,'SegEnds_NonXtal_BW#'!$A:$Z,24,FALSE)+VLOOKUP($A125,A:AL,34,FALSE)-50))</f>
        <v>343</v>
      </c>
      <c r="AJ125" s="3">
        <f>IF(ISERROR(VLOOKUP($A125,'SegEnds_NonXtal_BW#'!$A:$Z,25,FALSE)+VLOOKUP($A125,A:AL,37,FALSE)-50),"-",(VLOOKUP($A125,'SegEnds_NonXtal_BW#'!$A:$Z,25,FALSE)+VLOOKUP($A125,A:AL,37,FALSE)-50))</f>
        <v>344</v>
      </c>
      <c r="AK125" s="3">
        <v>347</v>
      </c>
      <c r="AL125" s="3">
        <f>IF(ISERROR((VLOOKUP($A125,'SegEnds_NonXtal_BW#'!$A:$Z,26,FALSE)+VLOOKUP($A125,A:AL,37,FALSE)-50)),"-",(VLOOKUP($A125,'SegEnds_NonXtal_BW#'!$A:$Z,26,FALSE)+VLOOKUP($A125,A:AL,37,FALSE)-50))</f>
        <v>357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9</v>
      </c>
      <c r="AW125" s="3">
        <f t="shared" si="46"/>
        <v>44</v>
      </c>
      <c r="AX125" s="3">
        <f t="shared" si="47"/>
        <v>13</v>
      </c>
      <c r="AY125" s="3">
        <f t="shared" si="48"/>
        <v>6</v>
      </c>
      <c r="AZ125" s="3">
        <f t="shared" si="49"/>
        <v>1</v>
      </c>
      <c r="BA125" s="3">
        <f>IF(ISERROR(LEN(VLOOKUP(A125,Seqs!A:E,2,FALSE))-AL125),"-",LEN(VLOOKUP(A125,Seqs!A:E,2,FALSE))-AL125)</f>
        <v>16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66</v>
      </c>
      <c r="BF125" s="3">
        <f>AH125-AE125</f>
        <v>36</v>
      </c>
    </row>
    <row r="126" spans="1:60" s="3" customFormat="1" x14ac:dyDescent="0.2">
      <c r="A126" s="3" t="s">
        <v>232</v>
      </c>
      <c r="B126" s="3" t="str">
        <f>LOWER(VLOOKUP(A126,Xtal_Templ!A:B,2,FALSE))</f>
        <v>apj_human</v>
      </c>
      <c r="C126" s="3">
        <f>VLOOKUP($A126,'SegEnds_NonXtal_BW#'!$A:$Z,3,FALSE)+D126-50</f>
        <v>54</v>
      </c>
      <c r="D126" s="3">
        <v>71</v>
      </c>
      <c r="E126" s="3">
        <f>IF(ISERROR(VLOOKUP($A126,'SegEnds_NonXtal_BW#'!$A:$Z,4,FALSE)+VLOOKUP($A126,A:AL,4,FALSE)-50),"-",(VLOOKUP($A126,'SegEnds_NonXtal_BW#'!$A:$Z,4,FALSE)+VLOOKUP($A126,A:AL,4,FALSE)-50))</f>
        <v>81</v>
      </c>
      <c r="F126" s="3">
        <f>G126-2</f>
        <v>82</v>
      </c>
      <c r="G126" s="3">
        <v>84</v>
      </c>
      <c r="H126" s="3">
        <f t="shared" si="100"/>
        <v>85</v>
      </c>
      <c r="I126" s="3">
        <f t="shared" si="100"/>
        <v>86</v>
      </c>
      <c r="J126" s="3">
        <v>99</v>
      </c>
      <c r="K126" s="3">
        <f>VLOOKUP($A126,'SegEnds_NonXtal_BW#'!$A:$Z,8,FALSE)+VLOOKUP($A126,A:AL,10,FALSE)-50</f>
        <v>116</v>
      </c>
      <c r="L126" s="3">
        <f t="shared" si="101"/>
        <v>118</v>
      </c>
      <c r="M126" s="3">
        <v>119</v>
      </c>
      <c r="N126" s="3">
        <f t="shared" si="102"/>
        <v>121</v>
      </c>
      <c r="O126" s="3">
        <f t="shared" si="103"/>
        <v>122</v>
      </c>
      <c r="P126" s="3">
        <v>151</v>
      </c>
      <c r="Q126" s="3">
        <f>VLOOKUP($A126,'SegEnds_NonXtal_BW#'!$A:$Z,12,FALSE)+VLOOKUP($A126,A:AL,16,FALSE)-50</f>
        <v>157</v>
      </c>
      <c r="R126" s="3">
        <f>IF(ISERROR(VLOOKUP($A126,'SegEnds_NonXtal_BW#'!$A:$Z,13,FALSE)+VLOOKUP($A126,A:AL,19,FALSE)-50),"-",VLOOKUP($A126,'SegEnds_NonXtal_BW#'!$A:$Z,13,FALSE)+VLOOKUP($A126,A:AL,19,FALSE)-50)</f>
        <v>158</v>
      </c>
      <c r="S126" s="3">
        <v>158</v>
      </c>
      <c r="T126" s="100">
        <f>IF(ISERROR(VLOOKUP($A126,'SegEnds_NonXtal_BW#'!$A:$Z,14,FALSE)+VLOOKUP($A126,A:AL,19,FALSE)-50),"-",(VLOOKUP($A126,'SegEnds_NonXtal_BW#'!$A:$Z,14,FALSE)+VLOOKUP($A126,A:AL,19,FALSE)-50))</f>
        <v>165</v>
      </c>
      <c r="U126" s="9">
        <f>IF(ISERROR(VLOOKUP($A126,'SegEnds_NonXtal_BW#'!$A:$Z,15,FALSE)+VLOOKUP($A126,A:AL,22,FALSE)-50),"-",VLOOKUP($A126,'SegEnds_NonXtal_BW#'!$A:$Z,15,FALSE)+VLOOKUP($A126,A:AL,22,FALSE)-50)</f>
        <v>166</v>
      </c>
      <c r="V126" s="3">
        <v>178</v>
      </c>
      <c r="W126" s="3">
        <f>IF(ISERROR(VLOOKUP($A126,'SegEnds_NonXtal_BW#'!$A:$Z,16,FALSE)+VLOOKUP($A126,A:AL,22,FALSE)-50),"-",(VLOOKUP($A126,'SegEnds_NonXtal_BW#'!$A:$Z,16,FALSE)+VLOOKUP($A126,A:AL,22,FALSE)-50))</f>
        <v>192</v>
      </c>
      <c r="X126" s="3">
        <f>IF(ISERROR(VLOOKUP($A126,'SegEnds_NonXtal_BW#'!$A:$Z,17,FALSE)+VLOOKUP($A126,A:AL,25,FALSE)-50),"-",(VLOOKUP($A126,'SegEnds_NonXtal_BW#'!$A:$Z,17,FALSE)+VLOOKUP($A126,A:AL,25,FALSE)-50))</f>
        <v>202</v>
      </c>
      <c r="Y126" s="3">
        <v>202</v>
      </c>
      <c r="Z126" s="3">
        <f t="shared" si="98"/>
        <v>204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230</v>
      </c>
      <c r="AC126" s="3">
        <f>IF(ISERROR((VLOOKUP($A126,'SegEnds_NonXtal_BW#'!$A:$Z,20,FALSE)+VLOOKUP($A126,A:AL,28,FALSE)-50)),"-",(VLOOKUP($A126,'SegEnds_NonXtal_BW#'!$A:$Z,20,FALSE)+VLOOKUP($A126,A:AL,28,FALSE)-50))</f>
        <v>248</v>
      </c>
      <c r="AD126" s="3">
        <f>IF(ISERROR(VLOOKUP($A126,'SegEnds_NonXtal_BW#'!$A:$Z,21,FALSE)+VLOOKUP($A126,A:AL,31,FALSE)-50),"-",(VLOOKUP($A126,'SegEnds_NonXtal_BW#'!$A:$Z,21,FALSE)+VLOOKUP($A126,A:AL,31,FALSE)-50))</f>
        <v>253</v>
      </c>
      <c r="AE126" s="3">
        <v>273</v>
      </c>
      <c r="AF126" s="3">
        <f>IF(ISERROR((VLOOKUP($A126,'SegEnds_NonXtal_BW#'!$A:$Z,22,FALSE)+VLOOKUP($A126,A:AL,31,FALSE)-50)),"-",(VLOOKUP($A126,'SegEnds_NonXtal_BW#'!$A:$Z,22,FALSE)+VLOOKUP($A126,A:AL,31,FALSE)-50))</f>
        <v>287</v>
      </c>
      <c r="AG126" s="3">
        <f>IF(ISERROR(VLOOKUP($A126,'SegEnds_NonXtal_BW#'!$A:$Z,23,FALSE)+VLOOKUP($A126,A:AL,34,FALSE)-50),"-",(VLOOKUP($A126,'SegEnds_NonXtal_BW#'!$A:$Z,23,FALSE)+VLOOKUP($A126,A:AL,34,FALSE)-50))</f>
        <v>291</v>
      </c>
      <c r="AH126" s="3">
        <v>317</v>
      </c>
      <c r="AI126" s="3">
        <f>IF(ISERROR((VLOOKUP($A126,'SegEnds_NonXtal_BW#'!$A:$Z,24,FALSE)+VLOOKUP($A126,A:AL,34,FALSE)-50)),"-",(VLOOKUP($A126,'SegEnds_NonXtal_BW#'!$A:$Z,24,FALSE)+VLOOKUP($A126,A:AL,34,FALSE)-50))</f>
        <v>323</v>
      </c>
      <c r="AJ126" s="3">
        <f>IF(ISERROR(VLOOKUP($A126,'SegEnds_NonXtal_BW#'!$A:$Z,25,FALSE)+VLOOKUP($A126,A:AL,37,FALSE)-50),"-",(VLOOKUP($A126,'SegEnds_NonXtal_BW#'!$A:$Z,25,FALSE)+VLOOKUP($A126,A:AL,37,FALSE)-50))</f>
        <v>324</v>
      </c>
      <c r="AK126" s="3">
        <v>327</v>
      </c>
      <c r="AL126" s="3">
        <f>IF(ISERROR((VLOOKUP($A126,'SegEnds_NonXtal_BW#'!$A:$Z,26,FALSE)+VLOOKUP($A126,A:AL,37,FALSE)-50)),"-",(VLOOKUP($A126,'SegEnds_NonXtal_BW#'!$A:$Z,26,FALSE)+VLOOKUP($A126,A:AL,37,FALSE)-50))</f>
        <v>338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10</v>
      </c>
      <c r="AW126" s="3">
        <f t="shared" si="46"/>
        <v>6</v>
      </c>
      <c r="AX126" s="3">
        <f t="shared" si="47"/>
        <v>5</v>
      </c>
      <c r="AY126" s="3">
        <f t="shared" si="48"/>
        <v>4</v>
      </c>
      <c r="AZ126" s="3">
        <f t="shared" si="49"/>
        <v>1</v>
      </c>
      <c r="BA126" s="3">
        <f>IF(ISERROR(LEN(VLOOKUP(A126,Seqs!A:E,2,FALSE))-AL126),"-",LEN(VLOOKUP(A126,Seqs!A:E,2,FALSE))-AL126)</f>
        <v>66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43</v>
      </c>
    </row>
    <row r="127" spans="1:60" s="3" customFormat="1" x14ac:dyDescent="0.2">
      <c r="A127" s="3" t="s">
        <v>233</v>
      </c>
      <c r="B127" s="3" t="str">
        <f>LOWER(VLOOKUP(A127,Xtal_Templ!A:B,2,FALSE))</f>
        <v>ccr5_human</v>
      </c>
      <c r="C127" s="3">
        <f>VLOOKUP($A127,'SegEnds_NonXtal_BW#'!$A:$Z,3,FALSE)+D127-50</f>
        <v>23</v>
      </c>
      <c r="D127" s="3">
        <v>49</v>
      </c>
      <c r="E127" s="3">
        <f>IF(ISERROR(VLOOKUP($A127,'SegEnds_NonXtal_BW#'!$A:$Z,4,FALSE)+VLOOKUP($A127,A:AL,4,FALSE)-50),"-",(VLOOKUP($A127,'SegEnds_NonXtal_BW#'!$A:$Z,4,FALSE)+VLOOKUP($A127,A:AL,4,FALSE)-50))</f>
        <v>59</v>
      </c>
      <c r="F127" s="3">
        <f>G127-2</f>
        <v>60</v>
      </c>
      <c r="G127" s="3">
        <v>62</v>
      </c>
      <c r="H127" s="3">
        <f t="shared" si="100"/>
        <v>63</v>
      </c>
      <c r="I127" s="3">
        <f t="shared" si="100"/>
        <v>64</v>
      </c>
      <c r="J127" s="3">
        <v>77</v>
      </c>
      <c r="K127" s="3">
        <f>VLOOKUP($A127,'SegEnds_NonXtal_BW#'!$A:$Z,8,FALSE)+VLOOKUP($A127,A:AL,10,FALSE)-50</f>
        <v>93</v>
      </c>
      <c r="L127" s="3">
        <f t="shared" si="101"/>
        <v>96</v>
      </c>
      <c r="M127" s="3">
        <v>97</v>
      </c>
      <c r="N127" s="3">
        <f t="shared" si="102"/>
        <v>99</v>
      </c>
      <c r="O127" s="3">
        <f t="shared" si="103"/>
        <v>100</v>
      </c>
      <c r="P127" s="3">
        <v>129</v>
      </c>
      <c r="Q127" s="3">
        <f>VLOOKUP($A127,'SegEnds_NonXtal_BW#'!$A:$Z,12,FALSE)+VLOOKUP($A127,A:AL,16,FALSE)-50</f>
        <v>135</v>
      </c>
      <c r="R127" s="3">
        <f>IF(ISERROR(VLOOKUP($A127,'SegEnds_NonXtal_BW#'!$A:$Z,13,FALSE)+VLOOKUP($A127,A:AL,19,FALSE)-50),"-",VLOOKUP($A127,'SegEnds_NonXtal_BW#'!$A:$Z,13,FALSE)+VLOOKUP($A127,A:AL,19,FALSE)-50)</f>
        <v>136</v>
      </c>
      <c r="S127" s="3">
        <v>136</v>
      </c>
      <c r="T127" s="100">
        <f>IF(ISERROR(VLOOKUP($A127,'SegEnds_NonXtal_BW#'!$A:$Z,14,FALSE)+VLOOKUP($A127,A:AL,19,FALSE)-50),"-",(VLOOKUP($A127,'SegEnds_NonXtal_BW#'!$A:$Z,14,FALSE)+VLOOKUP($A127,A:AL,19,FALSE)-50))</f>
        <v>143</v>
      </c>
      <c r="U127" s="9">
        <f>IF(ISERROR(VLOOKUP($A127,'SegEnds_NonXtal_BW#'!$A:$Z,15,FALSE)+VLOOKUP($A127,A:AL,22,FALSE)-50),"-",VLOOKUP($A127,'SegEnds_NonXtal_BW#'!$A:$Z,15,FALSE)+VLOOKUP($A127,A:AL,22,FALSE)-50)</f>
        <v>144</v>
      </c>
      <c r="V127" s="3">
        <v>156</v>
      </c>
      <c r="W127" s="3">
        <f>IF(ISERROR(VLOOKUP($A127,'SegEnds_NonXtal_BW#'!$A:$Z,16,FALSE)+VLOOKUP($A127,A:AL,22,FALSE)-50),"-",(VLOOKUP($A127,'SegEnds_NonXtal_BW#'!$A:$Z,16,FALSE)+VLOOKUP($A127,A:AL,22,FALSE)-50))</f>
        <v>170</v>
      </c>
      <c r="X127" s="3">
        <f>IF(ISERROR(VLOOKUP($A127,'SegEnds_NonXtal_BW#'!$A:$Z,17,FALSE)+VLOOKUP($A127,A:AL,25,FALSE)-50),"-",(VLOOKUP($A127,'SegEnds_NonXtal_BW#'!$A:$Z,17,FALSE)+VLOOKUP($A127,A:AL,25,FALSE)-50))</f>
        <v>181</v>
      </c>
      <c r="Y127" s="3">
        <v>181</v>
      </c>
      <c r="Z127" s="3">
        <f t="shared" si="98"/>
        <v>183</v>
      </c>
      <c r="AA127" s="3">
        <f>IF(ISERROR(VLOOKUP($A127,'SegEnds_NonXtal_BW#'!$A:$Z,19,FALSE)+VLOOKUP($A127,A:AL,28,FALSE)-50),"-",(VLOOKUP($A127,'SegEnds_NonXtal_BW#'!$A:$Z,19,FALSE)+VLOOKUP($A127,A:AL,28,FALSE)-50))</f>
        <v>188</v>
      </c>
      <c r="AB127" s="3">
        <v>208</v>
      </c>
      <c r="AC127" s="3">
        <f>IF(ISERROR((VLOOKUP($A127,'SegEnds_NonXtal_BW#'!$A:$Z,20,FALSE)+VLOOKUP($A127,A:AL,28,FALSE)-50)),"-",(VLOOKUP($A127,'SegEnds_NonXtal_BW#'!$A:$Z,20,FALSE)+VLOOKUP($A127,A:AL,28,FALSE)-50))</f>
        <v>226</v>
      </c>
      <c r="AD127" s="3">
        <f>IF(ISERROR(VLOOKUP($A127,'SegEnds_NonXtal_BW#'!$A:$Z,21,FALSE)+VLOOKUP($A127,A:AL,31,FALSE)-50),"-",(VLOOKUP($A127,'SegEnds_NonXtal_BW#'!$A:$Z,21,FALSE)+VLOOKUP($A127,A:AL,31,FALSE)-50))</f>
        <v>232</v>
      </c>
      <c r="AE127" s="3">
        <v>259</v>
      </c>
      <c r="AF127" s="3">
        <f>IF(ISERROR((VLOOKUP($A127,'SegEnds_NonXtal_BW#'!$A:$Z,22,FALSE)+VLOOKUP($A127,A:AL,31,FALSE)-50)),"-",(VLOOKUP($A127,'SegEnds_NonXtal_BW#'!$A:$Z,22,FALSE)+VLOOKUP($A127,A:AL,31,FALSE)-50))</f>
        <v>273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305</v>
      </c>
      <c r="AI127" s="3">
        <f>IF(ISERROR((VLOOKUP($A127,'SegEnds_NonXtal_BW#'!$A:$Z,24,FALSE)+VLOOKUP($A127,A:AL,34,FALSE)-50)),"-",(VLOOKUP($A127,'SegEnds_NonXtal_BW#'!$A:$Z,24,FALSE)+VLOOKUP($A127,A:AL,34,FALSE)-50))</f>
        <v>311</v>
      </c>
      <c r="AJ127" s="3">
        <f>IF(ISERROR(VLOOKUP($A127,'SegEnds_NonXtal_BW#'!$A:$Z,25,FALSE)+VLOOKUP($A127,A:AL,37,FALSE)-50),"-",(VLOOKUP($A127,'SegEnds_NonXtal_BW#'!$A:$Z,25,FALSE)+VLOOKUP($A127,A:AL,37,FALSE)-50))</f>
        <v>312</v>
      </c>
      <c r="AK127" s="3">
        <v>315</v>
      </c>
      <c r="AL127" s="3">
        <f>IF(ISERROR((VLOOKUP($A127,'SegEnds_NonXtal_BW#'!$A:$Z,26,FALSE)+VLOOKUP($A127,A:AL,37,FALSE)-50)),"-",(VLOOKUP($A127,'SegEnds_NonXtal_BW#'!$A:$Z,26,FALSE)+VLOOKUP($A127,A:AL,37,FALSE)-50))</f>
        <v>324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3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11</v>
      </c>
      <c r="AW127" s="3">
        <f t="shared" si="46"/>
        <v>5</v>
      </c>
      <c r="AX127" s="3">
        <f t="shared" si="47"/>
        <v>6</v>
      </c>
      <c r="AY127" s="3">
        <f t="shared" si="48"/>
        <v>6</v>
      </c>
      <c r="AZ127" s="3">
        <f t="shared" si="49"/>
        <v>1</v>
      </c>
      <c r="BA127" s="3">
        <f>IF(ISERROR(LEN(VLOOKUP(A127,Seqs!A:E,2,FALSE))-AL127),"-",LEN(VLOOKUP(A127,Seqs!A:E,2,FALSE))-AL127)</f>
        <v>37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51</v>
      </c>
    </row>
    <row r="128" spans="1:60" s="3" customFormat="1" x14ac:dyDescent="0.2">
      <c r="A128" s="3" t="s">
        <v>235</v>
      </c>
      <c r="B128" s="3" t="str">
        <f>LOWER(VLOOKUP(A128,Xtal_Templ!A:B,2,FALSE))</f>
        <v>cltr2_human</v>
      </c>
      <c r="C128" s="3">
        <f>VLOOKUP($A128,'SegEnds_NonXtal_BW#'!$A:$Z,3,FALSE)+D128-50</f>
        <v>52</v>
      </c>
      <c r="D128" s="3">
        <v>77</v>
      </c>
      <c r="E128" s="3">
        <f>IF(ISERROR(VLOOKUP($A128,'SegEnds_NonXtal_BW#'!$A:$Z,4,FALSE)+VLOOKUP($A128,A:AL,4,FALSE)-50),"-",(VLOOKUP($A128,'SegEnds_NonXtal_BW#'!$A:$Z,4,FALSE)+VLOOKUP($A128,A:AL,4,FALSE)-50))</f>
        <v>87</v>
      </c>
      <c r="F128" s="3">
        <f>G128-2</f>
        <v>88</v>
      </c>
      <c r="G128" s="3">
        <v>90</v>
      </c>
      <c r="H128" s="3">
        <f t="shared" si="100"/>
        <v>91</v>
      </c>
      <c r="I128" s="3">
        <f t="shared" si="100"/>
        <v>92</v>
      </c>
      <c r="J128" s="3">
        <v>105</v>
      </c>
      <c r="K128" s="3">
        <f>VLOOKUP($A128,'SegEnds_NonXtal_BW#'!$A:$Z,8,FALSE)+VLOOKUP($A128,A:AL,10,FALSE)-50</f>
        <v>121</v>
      </c>
      <c r="L128" s="3">
        <f t="shared" si="101"/>
        <v>123</v>
      </c>
      <c r="M128" s="3">
        <v>124</v>
      </c>
      <c r="N128" s="3">
        <f t="shared" si="102"/>
        <v>126</v>
      </c>
      <c r="O128" s="3">
        <f t="shared" si="103"/>
        <v>127</v>
      </c>
      <c r="P128" s="3">
        <v>155</v>
      </c>
      <c r="Q128" s="3">
        <f>VLOOKUP($A128,'SegEnds_NonXtal_BW#'!$A:$Z,12,FALSE)+VLOOKUP($A128,A:AL,16,FALSE)-50</f>
        <v>161</v>
      </c>
      <c r="R128" s="3">
        <f>IF(ISERROR(VLOOKUP($A128,'SegEnds_NonXtal_BW#'!$A:$Z,13,FALSE)+VLOOKUP($A128,A:AL,19,FALSE)-50),"-",VLOOKUP($A128,'SegEnds_NonXtal_BW#'!$A:$Z,13,FALSE)+VLOOKUP($A128,A:AL,19,FALSE)-50)</f>
        <v>162</v>
      </c>
      <c r="S128" s="3">
        <v>162</v>
      </c>
      <c r="T128" s="100">
        <f>IF(ISERROR(VLOOKUP($A128,'SegEnds_NonXtal_BW#'!$A:$Z,14,FALSE)+VLOOKUP($A128,A:AL,19,FALSE)-50),"-",(VLOOKUP($A128,'SegEnds_NonXtal_BW#'!$A:$Z,14,FALSE)+VLOOKUP($A128,A:AL,19,FALSE)-50))</f>
        <v>169</v>
      </c>
      <c r="U128" s="9">
        <f>IF(ISERROR(VLOOKUP($A128,'SegEnds_NonXtal_BW#'!$A:$Z,15,FALSE)+VLOOKUP($A128,A:AL,22,FALSE)-50),"-",VLOOKUP($A128,'SegEnds_NonXtal_BW#'!$A:$Z,15,FALSE)+VLOOKUP($A128,A:AL,22,FALSE)-50)</f>
        <v>170</v>
      </c>
      <c r="V128" s="3">
        <v>182</v>
      </c>
      <c r="W128" s="3">
        <f>IF(ISERROR(VLOOKUP($A128,'SegEnds_NonXtal_BW#'!$A:$Z,16,FALSE)+VLOOKUP($A128,A:AL,22,FALSE)-50),"-",(VLOOKUP($A128,'SegEnds_NonXtal_BW#'!$A:$Z,16,FALSE)+VLOOKUP($A128,A:AL,22,FALSE)-50))</f>
        <v>195</v>
      </c>
      <c r="X128" s="3">
        <f>IF(ISERROR(VLOOKUP($A128,'SegEnds_NonXtal_BW#'!$A:$Z,17,FALSE)+VLOOKUP($A128,A:AL,25,FALSE)-50),"-",(VLOOKUP($A128,'SegEnds_NonXtal_BW#'!$A:$Z,17,FALSE)+VLOOKUP($A128,A:AL,25,FALSE)-50))</f>
        <v>205</v>
      </c>
      <c r="Y128" s="3">
        <v>205</v>
      </c>
      <c r="Z128" s="3">
        <f t="shared" si="98"/>
        <v>207</v>
      </c>
      <c r="AA128" s="3">
        <f>IF(ISERROR(VLOOKUP($A128,'SegEnds_NonXtal_BW#'!$A:$Z,19,FALSE)+VLOOKUP($A128,A:AL,28,FALSE)-50),"-",(VLOOKUP($A128,'SegEnds_NonXtal_BW#'!$A:$Z,19,FALSE)+VLOOKUP($A128,A:AL,28,FALSE)-50))</f>
        <v>210</v>
      </c>
      <c r="AB128" s="3">
        <v>226</v>
      </c>
      <c r="AC128" s="3">
        <f>IF(ISERROR((VLOOKUP($A128,'SegEnds_NonXtal_BW#'!$A:$Z,20,FALSE)+VLOOKUP($A128,A:AL,28,FALSE)-50)),"-",(VLOOKUP($A128,'SegEnds_NonXtal_BW#'!$A:$Z,20,FALSE)+VLOOKUP($A128,A:AL,28,FALSE)-50))</f>
        <v>244</v>
      </c>
      <c r="AD128" s="3">
        <f>IF(ISERROR(VLOOKUP($A128,'SegEnds_NonXtal_BW#'!$A:$Z,21,FALSE)+VLOOKUP($A128,A:AL,31,FALSE)-50),"-",(VLOOKUP($A128,'SegEnds_NonXtal_BW#'!$A:$Z,21,FALSE)+VLOOKUP($A128,A:AL,31,FALSE)-50))</f>
        <v>248</v>
      </c>
      <c r="AE128" s="3">
        <v>274</v>
      </c>
      <c r="AF128" s="3">
        <f>IF(ISERROR((VLOOKUP($A128,'SegEnds_NonXtal_BW#'!$A:$Z,22,FALSE)+VLOOKUP($A128,A:AL,31,FALSE)-50)),"-",(VLOOKUP($A128,'SegEnds_NonXtal_BW#'!$A:$Z,22,FALSE)+VLOOKUP($A128,A:AL,31,FALSE)-50))</f>
        <v>288</v>
      </c>
      <c r="AG128" s="3">
        <f>IF(ISERROR(VLOOKUP($A128,'SegEnds_NonXtal_BW#'!$A:$Z,23,FALSE)+VLOOKUP($A128,A:AL,34,FALSE)-50),"-",(VLOOKUP($A128,'SegEnds_NonXtal_BW#'!$A:$Z,23,FALSE)+VLOOKUP($A128,A:AL,34,FALSE)-50))</f>
        <v>295</v>
      </c>
      <c r="AH128" s="3">
        <v>321</v>
      </c>
      <c r="AI128" s="3">
        <f>IF(ISERROR((VLOOKUP($A128,'SegEnds_NonXtal_BW#'!$A:$Z,24,FALSE)+VLOOKUP($A128,A:AL,34,FALSE)-50)),"-",(VLOOKUP($A128,'SegEnds_NonXtal_BW#'!$A:$Z,24,FALSE)+VLOOKUP($A128,A:AL,34,FALSE)-50))</f>
        <v>327</v>
      </c>
      <c r="AJ128" s="3">
        <f>IF(ISERROR(VLOOKUP($A128,'SegEnds_NonXtal_BW#'!$A:$Z,25,FALSE)+VLOOKUP($A128,A:AL,37,FALSE)-50),"-",(VLOOKUP($A128,'SegEnds_NonXtal_BW#'!$A:$Z,25,FALSE)+VLOOKUP($A128,A:AL,37,FALSE)-50))</f>
        <v>328</v>
      </c>
      <c r="AK128" s="3">
        <v>331</v>
      </c>
      <c r="AL128" s="3">
        <f>IF(ISERROR((VLOOKUP($A128,'SegEnds_NonXtal_BW#'!$A:$Z,26,FALSE)+VLOOKUP($A128,A:AL,37,FALSE)-50)),"-",(VLOOKUP($A128,'SegEnds_NonXtal_BW#'!$A:$Z,26,FALSE)+VLOOKUP($A128,A:AL,37,FALSE)-50))</f>
        <v>341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>
        <f t="shared" si="39"/>
        <v>1</v>
      </c>
      <c r="AQ128" s="3">
        <f t="shared" si="40"/>
        <v>1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10</v>
      </c>
      <c r="AW128" s="3">
        <f t="shared" si="46"/>
        <v>3</v>
      </c>
      <c r="AX128" s="3">
        <f t="shared" si="47"/>
        <v>4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34</v>
      </c>
      <c r="BB128" s="16">
        <f t="shared" si="50"/>
        <v>28</v>
      </c>
      <c r="BC128" s="9">
        <f t="shared" si="51"/>
        <v>20</v>
      </c>
      <c r="BD128" s="3">
        <f t="shared" si="52"/>
        <v>28</v>
      </c>
      <c r="BE128" s="3">
        <f t="shared" si="53"/>
        <v>48</v>
      </c>
    </row>
    <row r="129" spans="1:58" s="3" customFormat="1" x14ac:dyDescent="0.2">
      <c r="A129" s="3" t="s">
        <v>236</v>
      </c>
      <c r="B129" s="3" t="str">
        <f>LOWER(VLOOKUP(A129,Xtal_Templ!A:B,2,FALSE))</f>
        <v>fpr2_human</v>
      </c>
      <c r="C129" s="3">
        <f>VLOOKUP($A129,'SegEnds_NonXtal_BW#'!$A:$Z,3,FALSE)+D129-50</f>
        <v>31</v>
      </c>
      <c r="D129" s="3">
        <v>56</v>
      </c>
      <c r="E129" s="3">
        <f>IF(ISERROR(VLOOKUP($A129,'SegEnds_NonXtal_BW#'!$A:$Z,4,FALSE)+VLOOKUP($A129,A:AL,4,FALSE)-50),"-",(VLOOKUP($A129,'SegEnds_NonXtal_BW#'!$A:$Z,4,FALSE)+VLOOKUP($A129,A:AL,4,FALSE)-50))</f>
        <v>67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70</v>
      </c>
      <c r="J129" s="3">
        <v>83</v>
      </c>
      <c r="K129" s="3">
        <f>VLOOKUP($A129,'SegEnds_NonXtal_BW#'!$A:$Z,8,FALSE)+VLOOKUP($A129,A:AL,10,FALSE)-50</f>
        <v>100</v>
      </c>
      <c r="L129" s="3">
        <f t="shared" si="101"/>
        <v>102</v>
      </c>
      <c r="M129" s="3">
        <v>103</v>
      </c>
      <c r="N129" s="3">
        <f t="shared" si="102"/>
        <v>105</v>
      </c>
      <c r="O129" s="3">
        <f t="shared" si="103"/>
        <v>106</v>
      </c>
      <c r="P129" s="3">
        <v>135</v>
      </c>
      <c r="Q129" s="3">
        <f>VLOOKUP($A129,'SegEnds_NonXtal_BW#'!$A:$Z,12,FALSE)+VLOOKUP($A129,A:AL,16,FALSE)-50</f>
        <v>141</v>
      </c>
      <c r="R129" s="3">
        <f>IF(ISERROR(VLOOKUP($A129,'SegEnds_NonXtal_BW#'!$A:$Z,13,FALSE)+VLOOKUP($A129,A:AL,19,FALSE)-50),"-",VLOOKUP($A129,'SegEnds_NonXtal_BW#'!$A:$Z,13,FALSE)+VLOOKUP($A129,A:AL,19,FALSE)-50)</f>
        <v>142</v>
      </c>
      <c r="S129" s="3">
        <v>142</v>
      </c>
      <c r="T129" s="100">
        <f>IF(ISERROR(VLOOKUP($A129,'SegEnds_NonXtal_BW#'!$A:$Z,14,FALSE)+VLOOKUP($A129,A:AL,19,FALSE)-50),"-",(VLOOKUP($A129,'SegEnds_NonXtal_BW#'!$A:$Z,14,FALSE)+VLOOKUP($A129,A:AL,19,FALSE)-50))</f>
        <v>149</v>
      </c>
      <c r="U129" s="9">
        <f>IF(ISERROR(VLOOKUP($A129,'SegEnds_NonXtal_BW#'!$A:$Z,15,FALSE)+VLOOKUP($A129,A:AL,22,FALSE)-50),"-",VLOOKUP($A129,'SegEnds_NonXtal_BW#'!$A:$Z,15,FALSE)+VLOOKUP($A129,A:AL,22,FALSE)-50)</f>
        <v>150</v>
      </c>
      <c r="V129" s="3">
        <v>162</v>
      </c>
      <c r="W129" s="3">
        <f>IF(ISERROR(VLOOKUP($A129,'SegEnds_NonXtal_BW#'!$A:$Z,16,FALSE)+VLOOKUP($A129,A:AL,22,FALSE)-50),"-",(VLOOKUP($A129,'SegEnds_NonXtal_BW#'!$A:$Z,16,FALSE)+VLOOKUP($A129,A:AL,22,FALSE)-50))</f>
        <v>176</v>
      </c>
      <c r="X129" s="3">
        <f>IF(ISERROR(VLOOKUP($A129,'SegEnds_NonXtal_BW#'!$A:$Z,17,FALSE)+VLOOKUP($A129,A:AL,25,FALSE)-50),"-",(VLOOKUP($A129,'SegEnds_NonXtal_BW#'!$A:$Z,17,FALSE)+VLOOKUP($A129,A:AL,25,FALSE)-50))</f>
        <v>187</v>
      </c>
      <c r="Y129" s="3">
        <v>187</v>
      </c>
      <c r="Z129" s="3">
        <f t="shared" si="98"/>
        <v>189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218</v>
      </c>
      <c r="AC129" s="3">
        <f>IF(ISERROR((VLOOKUP($A129,'SegEnds_NonXtal_BW#'!$A:$Z,20,FALSE)+VLOOKUP($A129,A:AL,28,FALSE)-50)),"-",(VLOOKUP($A129,'SegEnds_NonXtal_BW#'!$A:$Z,20,FALSE)+VLOOKUP($A129,A:AL,28,FALSE)-50))</f>
        <v>236</v>
      </c>
      <c r="AD129" s="3">
        <f>IF(ISERROR(VLOOKUP($A129,'SegEnds_NonXtal_BW#'!$A:$Z,21,FALSE)+VLOOKUP($A129,A:AL,31,FALSE)-50),"-",(VLOOKUP($A129,'SegEnds_NonXtal_BW#'!$A:$Z,21,FALSE)+VLOOKUP($A129,A:AL,31,FALSE)-50))</f>
        <v>241</v>
      </c>
      <c r="AE129" s="3">
        <v>261</v>
      </c>
      <c r="AF129" s="3">
        <f>IF(ISERROR((VLOOKUP($A129,'SegEnds_NonXtal_BW#'!$A:$Z,22,FALSE)+VLOOKUP($A129,A:AL,31,FALSE)-50)),"-",(VLOOKUP($A129,'SegEnds_NonXtal_BW#'!$A:$Z,22,FALSE)+VLOOKUP($A129,A:AL,31,FALSE)-50))</f>
        <v>272</v>
      </c>
      <c r="AG129" s="3">
        <f>IF(ISERROR(VLOOKUP($A129,'SegEnds_NonXtal_BW#'!$A:$Z,23,FALSE)+VLOOKUP($A129,A:AL,34,FALSE)-50),"-",(VLOOKUP($A129,'SegEnds_NonXtal_BW#'!$A:$Z,23,FALSE)+VLOOKUP($A129,A:AL,34,FALSE)-50))</f>
        <v>279</v>
      </c>
      <c r="AH129" s="3">
        <v>301</v>
      </c>
      <c r="AI129" s="3">
        <f>IF(ISERROR((VLOOKUP($A129,'SegEnds_NonXtal_BW#'!$A:$Z,24,FALSE)+VLOOKUP($A129,A:AL,34,FALSE)-50)),"-",(VLOOKUP($A129,'SegEnds_NonXtal_BW#'!$A:$Z,24,FALSE)+VLOOKUP($A129,A:AL,34,FALSE)-50))</f>
        <v>307</v>
      </c>
      <c r="AJ129" s="3">
        <f>IF(ISERROR(VLOOKUP($A129,'SegEnds_NonXtal_BW#'!$A:$Z,25,FALSE)+VLOOKUP($A129,A:AL,37,FALSE)-50),"-",(VLOOKUP($A129,'SegEnds_NonXtal_BW#'!$A:$Z,25,FALSE)+VLOOKUP($A129,A:AL,37,FALSE)-50))</f>
        <v>308</v>
      </c>
      <c r="AK129" s="3">
        <v>311</v>
      </c>
      <c r="AL129" s="3">
        <f>IF(ISERROR((VLOOKUP($A129,'SegEnds_NonXtal_BW#'!$A:$Z,26,FALSE)+VLOOKUP($A129,A:AL,37,FALSE)-50)),"-",(VLOOKUP($A129,'SegEnds_NonXtal_BW#'!$A:$Z,26,FALSE)+VLOOKUP($A129,A:AL,37,FALSE)-50))</f>
        <v>319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>
        <f t="shared" si="45"/>
        <v>11</v>
      </c>
      <c r="AW129" s="3">
        <f t="shared" si="46"/>
        <v>2</v>
      </c>
      <c r="AX129" s="3">
        <f t="shared" si="47"/>
        <v>5</v>
      </c>
      <c r="AY129" s="3">
        <f t="shared" si="48"/>
        <v>7</v>
      </c>
      <c r="AZ129" s="3">
        <f t="shared" si="49"/>
        <v>1</v>
      </c>
      <c r="BA129" s="3">
        <f>IF(ISERROR(LEN(VLOOKUP(A129,Seqs!A:E,2,FALSE))-AL129),"-",LEN(VLOOKUP(A129,Seqs!A:E,2,FALSE))-AL129)</f>
        <v>36</v>
      </c>
      <c r="BB129" s="16">
        <f t="shared" si="50"/>
        <v>27</v>
      </c>
      <c r="BC129" s="9">
        <f t="shared" si="51"/>
        <v>20</v>
      </c>
      <c r="BD129" s="3">
        <f t="shared" si="52"/>
        <v>27</v>
      </c>
      <c r="BE129" s="3">
        <f t="shared" si="53"/>
        <v>43</v>
      </c>
    </row>
    <row r="130" spans="1:58" s="3" customFormat="1" x14ac:dyDescent="0.2">
      <c r="A130" s="3" t="s">
        <v>237</v>
      </c>
      <c r="B130" s="3" t="str">
        <f>LOWER(VLOOKUP(A130,Xtal_Templ!A:B,2,FALSE))</f>
        <v>mc4r_human</v>
      </c>
      <c r="C130" s="3">
        <f>VLOOKUP($A130,'SegEnds_NonXtal_BW#'!$A:$Z,3,FALSE)+D130-50</f>
        <v>47</v>
      </c>
      <c r="D130" s="3">
        <v>62</v>
      </c>
      <c r="E130" s="3">
        <f>IF(ISERROR(VLOOKUP($A130,'SegEnds_NonXtal_BW#'!$A:$Z,4,FALSE)+VLOOKUP($A130,A:AL,4,FALSE)-50),"-",(VLOOKUP($A130,'SegEnds_NonXtal_BW#'!$A:$Z,4,FALSE)+VLOOKUP($A130,A:AL,4,FALSE)-50))</f>
        <v>72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77</v>
      </c>
      <c r="J130" s="3">
        <v>90</v>
      </c>
      <c r="K130" s="3">
        <f>VLOOKUP($A130,'SegEnds_NonXtal_BW#'!$A:$Z,8,FALSE)+VLOOKUP($A130,A:AL,10,FALSE)-50</f>
        <v>102</v>
      </c>
      <c r="L130" s="3">
        <f t="shared" si="101"/>
        <v>104</v>
      </c>
      <c r="M130" s="3">
        <v>105</v>
      </c>
      <c r="N130" s="3">
        <f t="shared" si="102"/>
        <v>107</v>
      </c>
      <c r="O130" s="3">
        <f t="shared" si="103"/>
        <v>108</v>
      </c>
      <c r="P130" s="3">
        <v>138</v>
      </c>
      <c r="Q130" s="3">
        <f>VLOOKUP($A130,'SegEnds_NonXtal_BW#'!$A:$Z,12,FALSE)+VLOOKUP($A130,A:AL,16,FALSE)-50</f>
        <v>144</v>
      </c>
      <c r="R130" s="3">
        <f>S130</f>
        <v>145</v>
      </c>
      <c r="S130" s="3">
        <v>145</v>
      </c>
      <c r="T130" s="100">
        <f>S130+7</f>
        <v>152</v>
      </c>
      <c r="U130" s="9">
        <f>IF(ISERROR(VLOOKUP($A130,'SegEnds_NonXtal_BW#'!$A:$Z,15,FALSE)+VLOOKUP($A130,A:AL,22,FALSE)-50),"-",VLOOKUP($A130,'SegEnds_NonXtal_BW#'!$A:$Z,15,FALSE)+VLOOKUP($A130,A:AL,22,FALSE)-50)</f>
        <v>153</v>
      </c>
      <c r="V130" s="3">
        <v>165</v>
      </c>
      <c r="W130" s="3">
        <f>IF(ISERROR(VLOOKUP($A130,'SegEnds_NonXtal_BW#'!$A:$Z,16,FALSE)+VLOOKUP($A130,A:AL,22,FALSE)-50),"-",(VLOOKUP($A130,'SegEnds_NonXtal_BW#'!$A:$Z,16,FALSE)+VLOOKUP($A130,A:AL,22,FALSE)-50))</f>
        <v>179</v>
      </c>
      <c r="X130" s="3" t="str">
        <f>IF(ISERROR(VLOOKUP($A130,'SegEnds_NonXtal_BW#'!$A:$Z,17,FALSE)+VLOOKUP($A130,A:AL,25,FALSE)-50),"-",(VLOOKUP($A130,'SegEnds_NonXtal_BW#'!$A:$Z,17,FALSE)+VLOOKUP($A130,A:AL,25,FALSE)-50))</f>
        <v>-</v>
      </c>
      <c r="Y130" s="3" t="s">
        <v>23</v>
      </c>
      <c r="Z130" s="3" t="str">
        <f>IF(ISERROR(VLOOKUP($A130,'SegEnds_NonXtal_BW#'!$A:$Z,18,FALSE)+VLOOKUP($A130,A:AL,25,FALSE)-50),"-",(VLOOKUP($A130,'SegEnds_NonXtal_BW#'!$A:$Z,18,FALSE)+VLOOKUP($A130,A:AL,25,FALSE)-50))</f>
        <v>-</v>
      </c>
      <c r="AA130" s="3">
        <f>IF(ISERROR(VLOOKUP($A130,'SegEnds_NonXtal_BW#'!$A:$Z,19,FALSE)+VLOOKUP($A130,A:AL,28,FALSE)-50),"-",(VLOOKUP($A130,'SegEnds_NonXtal_BW#'!$A:$Z,19,FALSE)+VLOOKUP($A130,A:AL,28,FALSE)-50))</f>
        <v>195</v>
      </c>
      <c r="AB130" s="3">
        <v>209</v>
      </c>
      <c r="AC130" s="3">
        <f>IF(ISERROR((VLOOKUP($A130,'SegEnds_NonXtal_BW#'!$A:$Z,20,FALSE)+VLOOKUP($A130,A:AL,28,FALSE)-50)),"-",(VLOOKUP($A130,'SegEnds_NonXtal_BW#'!$A:$Z,20,FALSE)+VLOOKUP($A130,A:AL,28,FALSE)-50))</f>
        <v>232</v>
      </c>
      <c r="AD130" s="3">
        <f>IF(ISERROR(VLOOKUP($A130,'SegEnds_NonXtal_BW#'!$A:$Z,21,FALSE)+VLOOKUP($A130,A:AL,31,FALSE)-50),"-",(VLOOKUP($A130,'SegEnds_NonXtal_BW#'!$A:$Z,21,FALSE)+VLOOKUP($A130,A:AL,31,FALSE)-50))</f>
        <v>238</v>
      </c>
      <c r="AE130" s="3">
        <v>266</v>
      </c>
      <c r="AF130" s="3">
        <f>IF(ISERROR((VLOOKUP($A130,'SegEnds_NonXtal_BW#'!$A:$Z,22,FALSE)+VLOOKUP($A130,A:AL,31,FALSE)-50)),"-",(VLOOKUP($A130,'SegEnds_NonXtal_BW#'!$A:$Z,22,FALSE)+VLOOKUP($A130,A:AL,31,FALSE)-50))</f>
        <v>277</v>
      </c>
      <c r="AG130" s="3">
        <f>IF(ISERROR(VLOOKUP($A130,'SegEnds_NonXtal_BW#'!$A:$Z,23,FALSE)+VLOOKUP($A130,A:AL,34,FALSE)-50),"-",(VLOOKUP($A130,'SegEnds_NonXtal_BW#'!$A:$Z,23,FALSE)+VLOOKUP($A130,A:AL,34,FALSE)-50))</f>
        <v>282</v>
      </c>
      <c r="AH130" s="3">
        <v>298</v>
      </c>
      <c r="AI130" s="3">
        <f>IF(ISERROR((VLOOKUP($A130,'SegEnds_NonXtal_BW#'!$A:$Z,24,FALSE)+VLOOKUP($A130,A:AL,34,FALSE)-50)),"-",(VLOOKUP($A130,'SegEnds_NonXtal_BW#'!$A:$Z,24,FALSE)+VLOOKUP($A130,A:AL,34,FALSE)-50))</f>
        <v>304</v>
      </c>
      <c r="AJ130" s="3">
        <f>IF(ISERROR(VLOOKUP($A130,'SegEnds_NonXtal_BW#'!$A:$Z,25,FALSE)+VLOOKUP($A130,A:AL,37,FALSE)-50),"-",(VLOOKUP($A130,'SegEnds_NonXtal_BW#'!$A:$Z,25,FALSE)+VLOOKUP($A130,A:AL,37,FALSE)-50))</f>
        <v>305</v>
      </c>
      <c r="AK130" s="3">
        <v>308</v>
      </c>
      <c r="AL130" s="3">
        <f>IF(ISERROR((VLOOKUP($A130,'SegEnds_NonXtal_BW#'!$A:$Z,26,FALSE)+VLOOKUP($A130,A:AL,37,FALSE)-50)),"-",(VLOOKUP($A130,'SegEnds_NonXtal_BW#'!$A:$Z,26,FALSE)+VLOOKUP($A130,A:AL,37,FALSE)-50))</f>
        <v>319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 t="str">
        <f t="shared" si="45"/>
        <v>-</v>
      </c>
      <c r="AW130" s="3" t="str">
        <f t="shared" si="46"/>
        <v>-</v>
      </c>
      <c r="AX130" s="3">
        <f t="shared" si="47"/>
        <v>6</v>
      </c>
      <c r="AY130" s="3">
        <f t="shared" si="48"/>
        <v>5</v>
      </c>
      <c r="AZ130" s="3">
        <f t="shared" si="49"/>
        <v>1</v>
      </c>
      <c r="BA130" s="3">
        <f>IF(ISERROR(LEN(VLOOKUP(A130,Seqs!A:E,2,FALSE))-AL130),"-",LEN(VLOOKUP(A130,Seqs!A:E,2,FALSE))-AL130)</f>
        <v>15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57</v>
      </c>
      <c r="BF130" s="3">
        <f>AH130-AE130</f>
        <v>32</v>
      </c>
    </row>
    <row r="131" spans="1:58" s="3" customFormat="1" x14ac:dyDescent="0.2">
      <c r="A131" s="3" t="s">
        <v>238</v>
      </c>
      <c r="B131" s="3" t="str">
        <f>LOWER(VLOOKUP(A131,Xtal_Templ!A:B,2,FALSE))</f>
        <v>ccr6_human</v>
      </c>
      <c r="C131" s="3">
        <f>VLOOKUP($A131,'SegEnds_NonXtal_BW#'!$A:$Z,3,FALSE)+D131-50</f>
        <v>26</v>
      </c>
      <c r="D131" s="3">
        <v>51</v>
      </c>
      <c r="E131" s="3">
        <f>IF(ISERROR(VLOOKUP($A131,'SegEnds_NonXtal_BW#'!$A:$Z,4,FALSE)+VLOOKUP($A131,A:AL,4,FALSE)-50),"-",(VLOOKUP($A131,'SegEnds_NonXtal_BW#'!$A:$Z,4,FALSE)+VLOOKUP($A131,A:AL,4,FALSE)-50))</f>
        <v>61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66</v>
      </c>
      <c r="J131" s="3">
        <v>79</v>
      </c>
      <c r="K131" s="3">
        <f>VLOOKUP($A131,'SegEnds_NonXtal_BW#'!$A:$Z,8,FALSE)+VLOOKUP($A131,A:AL,10,FALSE)-50</f>
        <v>96</v>
      </c>
      <c r="L131" s="3">
        <f t="shared" si="101"/>
        <v>98</v>
      </c>
      <c r="M131" s="3">
        <v>99</v>
      </c>
      <c r="N131" s="3">
        <f t="shared" si="102"/>
        <v>101</v>
      </c>
      <c r="O131" s="3">
        <f t="shared" si="103"/>
        <v>102</v>
      </c>
      <c r="P131" s="3">
        <v>131</v>
      </c>
      <c r="Q131" s="3">
        <f>VLOOKUP($A131,'SegEnds_NonXtal_BW#'!$A:$Z,12,FALSE)+VLOOKUP($A131,A:AL,16,FALSE)-50</f>
        <v>137</v>
      </c>
      <c r="R131" s="3">
        <f>IF(ISERROR(VLOOKUP($A131,'SegEnds_NonXtal_BW#'!$A:$Z,13,FALSE)+VLOOKUP($A131,A:AL,19,FALSE)-50),"-",VLOOKUP($A131,'SegEnds_NonXtal_BW#'!$A:$Z,13,FALSE)+VLOOKUP($A131,A:AL,19,FALSE)-50)</f>
        <v>138</v>
      </c>
      <c r="S131" s="3">
        <v>138</v>
      </c>
      <c r="T131" s="100">
        <f>IF(ISERROR(VLOOKUP($A131,'SegEnds_NonXtal_BW#'!$A:$Z,14,FALSE)+VLOOKUP($A131,A:AL,19,FALSE)-50),"-",(VLOOKUP($A131,'SegEnds_NonXtal_BW#'!$A:$Z,14,FALSE)+VLOOKUP($A131,A:AL,19,FALSE)-50))</f>
        <v>144</v>
      </c>
      <c r="U131" s="9">
        <f>IF(ISERROR(VLOOKUP($A131,'SegEnds_NonXtal_BW#'!$A:$Z,15,FALSE)+VLOOKUP($A131,A:AL,22,FALSE)-50),"-",VLOOKUP($A131,'SegEnds_NonXtal_BW#'!$A:$Z,15,FALSE)+VLOOKUP($A131,A:AL,22,FALSE)-50)</f>
        <v>146</v>
      </c>
      <c r="V131" s="3">
        <v>158</v>
      </c>
      <c r="W131" s="3">
        <f>IF(ISERROR(VLOOKUP($A131,'SegEnds_NonXtal_BW#'!$A:$Z,16,FALSE)+VLOOKUP($A131,A:AL,22,FALSE)-50),"-",(VLOOKUP($A131,'SegEnds_NonXtal_BW#'!$A:$Z,16,FALSE)+VLOOKUP($A131,A:AL,22,FALSE)-50))</f>
        <v>172</v>
      </c>
      <c r="X131" s="3">
        <f>IF(ISERROR(VLOOKUP($A131,'SegEnds_NonXtal_BW#'!$A:$Z,17,FALSE)+VLOOKUP($A131,A:AL,25,FALSE)-50),"-",(VLOOKUP($A131,'SegEnds_NonXtal_BW#'!$A:$Z,17,FALSE)+VLOOKUP($A131,A:AL,25,FALSE)-50))</f>
        <v>183</v>
      </c>
      <c r="Y131" s="3">
        <v>183</v>
      </c>
      <c r="Z131" s="3">
        <f>Y131+2</f>
        <v>185</v>
      </c>
      <c r="AA131" s="3">
        <f>IF(ISERROR(VLOOKUP($A131,'SegEnds_NonXtal_BW#'!$A:$Z,19,FALSE)+VLOOKUP($A131,A:AL,28,FALSE)-50),"-",(VLOOKUP($A131,'SegEnds_NonXtal_BW#'!$A:$Z,19,FALSE)+VLOOKUP($A131,A:AL,28,FALSE)-50))</f>
        <v>188</v>
      </c>
      <c r="AB131" s="3">
        <v>207</v>
      </c>
      <c r="AC131" s="3">
        <f>IF(ISERROR((VLOOKUP($A131,'SegEnds_NonXtal_BW#'!$A:$Z,20,FALSE)+VLOOKUP($A131,A:AL,28,FALSE)-50)),"-",(VLOOKUP($A131,'SegEnds_NonXtal_BW#'!$A:$Z,20,FALSE)+VLOOKUP($A131,A:AL,28,FALSE)-50))</f>
        <v>225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273</v>
      </c>
      <c r="AH131" s="3">
        <v>299</v>
      </c>
      <c r="AI131" s="3">
        <f>IF(ISERROR((VLOOKUP($A131,'SegEnds_NonXtal_BW#'!$A:$Z,24,FALSE)+VLOOKUP($A131,A:AL,34,FALSE)-50)),"-",(VLOOKUP($A131,'SegEnds_NonXtal_BW#'!$A:$Z,24,FALSE)+VLOOKUP($A131,A:AL,34,FALSE)-50))</f>
        <v>305</v>
      </c>
      <c r="AJ131" s="3">
        <f>IF(ISERROR(VLOOKUP($A131,'SegEnds_NonXtal_BW#'!$A:$Z,25,FALSE)+VLOOKUP($A131,A:AL,37,FALSE)-50),"-",(VLOOKUP($A131,'SegEnds_NonXtal_BW#'!$A:$Z,25,FALSE)+VLOOKUP($A131,A:AL,37,FALSE)-50))</f>
        <v>306</v>
      </c>
      <c r="AK131" s="3">
        <v>309</v>
      </c>
      <c r="AL131" s="3">
        <f>IF(ISERROR((VLOOKUP($A131,'SegEnds_NonXtal_BW#'!$A:$Z,26,FALSE)+VLOOKUP($A131,A:AL,37,FALSE)-50)),"-",(VLOOKUP($A131,'SegEnds_NonXtal_BW#'!$A:$Z,26,FALSE)+VLOOKUP($A131,A:AL,37,FALSE)-50))</f>
        <v>321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2</v>
      </c>
      <c r="AV131" s="3">
        <f t="shared" si="45"/>
        <v>11</v>
      </c>
      <c r="AW131" s="3">
        <f t="shared" si="46"/>
        <v>3</v>
      </c>
      <c r="AX131" s="3">
        <f t="shared" si="47"/>
        <v>5</v>
      </c>
      <c r="AY131" s="3">
        <f t="shared" si="48"/>
        <v>6</v>
      </c>
      <c r="AZ131" s="3">
        <f t="shared" si="49"/>
        <v>1</v>
      </c>
      <c r="BA131" s="3">
        <f>IF(ISERROR(LEN(VLOOKUP(A131,Seqs!A:E,2,FALSE))-AL131),"-",LEN(VLOOKUP(A131,Seqs!A:E,2,FALSE))-AL131)</f>
        <v>39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49</v>
      </c>
    </row>
    <row r="132" spans="1:58" s="3" customFormat="1" x14ac:dyDescent="0.2">
      <c r="A132" s="3" t="s">
        <v>239</v>
      </c>
      <c r="B132" s="3" t="str">
        <f>LOWER(VLOOKUP(A132,Xtal_Templ!A:B,2,FALSE))</f>
        <v>cltr2_human</v>
      </c>
      <c r="C132" s="3">
        <f>VLOOKUP($A132,'SegEnds_NonXtal_BW#'!$A:$Z,3,FALSE)+D132-50</f>
        <v>52</v>
      </c>
      <c r="D132" s="3">
        <v>77</v>
      </c>
      <c r="E132" s="3">
        <f>IF(ISERROR(VLOOKUP($A132,'SegEnds_NonXtal_BW#'!$A:$Z,4,FALSE)+VLOOKUP($A132,A:AL,4,FALSE)-50),"-",(VLOOKUP($A132,'SegEnds_NonXtal_BW#'!$A:$Z,4,FALSE)+VLOOKUP($A132,A:AL,4,FALSE)-50))</f>
        <v>87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92</v>
      </c>
      <c r="J132" s="3">
        <v>105</v>
      </c>
      <c r="K132" s="3">
        <f>VLOOKUP($A132,'SegEnds_NonXtal_BW#'!$A:$Z,8,FALSE)+VLOOKUP($A132,A:AL,10,FALSE)-50</f>
        <v>122</v>
      </c>
      <c r="L132" s="3">
        <f t="shared" si="101"/>
        <v>124</v>
      </c>
      <c r="M132" s="3">
        <v>125</v>
      </c>
      <c r="N132" s="3">
        <f t="shared" si="102"/>
        <v>127</v>
      </c>
      <c r="O132" s="3">
        <f t="shared" si="103"/>
        <v>128</v>
      </c>
      <c r="P132" s="3">
        <v>157</v>
      </c>
      <c r="Q132" s="3">
        <f>VLOOKUP($A132,'SegEnds_NonXtal_BW#'!$A:$Z,12,FALSE)+VLOOKUP($A132,A:AL,16,FALSE)-50</f>
        <v>163</v>
      </c>
      <c r="R132" s="3">
        <f>IF(ISERROR(VLOOKUP($A132,'SegEnds_NonXtal_BW#'!$A:$Z,13,FALSE)+VLOOKUP($A132,A:AL,19,FALSE)-50),"-",VLOOKUP($A132,'SegEnds_NonXtal_BW#'!$A:$Z,13,FALSE)+VLOOKUP($A132,A:AL,19,FALSE)-50)</f>
        <v>164</v>
      </c>
      <c r="S132" s="3">
        <v>164</v>
      </c>
      <c r="T132" s="100">
        <f>IF(ISERROR(VLOOKUP($A132,'SegEnds_NonXtal_BW#'!$A:$Z,14,FALSE)+VLOOKUP($A132,A:AL,19,FALSE)-50),"-",(VLOOKUP($A132,'SegEnds_NonXtal_BW#'!$A:$Z,14,FALSE)+VLOOKUP($A132,A:AL,19,FALSE)-50))</f>
        <v>171</v>
      </c>
      <c r="U132" s="9">
        <f>IF(ISERROR(VLOOKUP($A132,'SegEnds_NonXtal_BW#'!$A:$Z,15,FALSE)+VLOOKUP($A132,A:AL,22,FALSE)-50),"-",VLOOKUP($A132,'SegEnds_NonXtal_BW#'!$A:$Z,15,FALSE)+VLOOKUP($A132,A:AL,22,FALSE)-50)</f>
        <v>172</v>
      </c>
      <c r="V132" s="3">
        <v>184</v>
      </c>
      <c r="W132" s="3">
        <f>IF(ISERROR(VLOOKUP($A132,'SegEnds_NonXtal_BW#'!$A:$Z,16,FALSE)+VLOOKUP($A132,A:AL,22,FALSE)-50),"-",(VLOOKUP($A132,'SegEnds_NonXtal_BW#'!$A:$Z,16,FALSE)+VLOOKUP($A132,A:AL,22,FALSE)-50))</f>
        <v>197</v>
      </c>
      <c r="X132" s="3">
        <f>IF(ISERROR(VLOOKUP($A132,'SegEnds_NonXtal_BW#'!$A:$Z,17,FALSE)+VLOOKUP($A132,A:AL,25,FALSE)-50),"-",(VLOOKUP($A132,'SegEnds_NonXtal_BW#'!$A:$Z,17,FALSE)+VLOOKUP($A132,A:AL,25,FALSE)-50))</f>
        <v>209</v>
      </c>
      <c r="Y132" s="3">
        <v>209</v>
      </c>
      <c r="Z132" s="3">
        <f>Y132+2</f>
        <v>211</v>
      </c>
      <c r="AA132" s="3">
        <f>IF(ISERROR(VLOOKUP($A132,'SegEnds_NonXtal_BW#'!$A:$Z,19,FALSE)+VLOOKUP($A132,A:AL,28,FALSE)-50),"-",(VLOOKUP($A132,'SegEnds_NonXtal_BW#'!$A:$Z,19,FALSE)+VLOOKUP($A132,A:AL,28,FALSE)-50))</f>
        <v>213</v>
      </c>
      <c r="AB132" s="3">
        <v>232</v>
      </c>
      <c r="AC132" s="3">
        <f>IF(ISERROR((VLOOKUP($A132,'SegEnds_NonXtal_BW#'!$A:$Z,20,FALSE)+VLOOKUP($A132,A:AL,28,FALSE)-50)),"-",(VLOOKUP($A132,'SegEnds_NonXtal_BW#'!$A:$Z,20,FALSE)+VLOOKUP($A132,A:AL,28,FALSE)-50))</f>
        <v>249</v>
      </c>
      <c r="AD132" s="3">
        <f>IF(ISERROR(VLOOKUP($A132,'SegEnds_NonXtal_BW#'!$A:$Z,21,FALSE)+VLOOKUP($A132,A:AL,31,FALSE)-50),"-",(VLOOKUP($A132,'SegEnds_NonXtal_BW#'!$A:$Z,21,FALSE)+VLOOKUP($A132,A:AL,31,FALSE)-50))</f>
        <v>254</v>
      </c>
      <c r="AE132" s="3">
        <v>278</v>
      </c>
      <c r="AF132" s="3">
        <f>IF(ISERROR((VLOOKUP($A132,'SegEnds_NonXtal_BW#'!$A:$Z,22,FALSE)+VLOOKUP($A132,A:AL,31,FALSE)-50)),"-",(VLOOKUP($A132,'SegEnds_NonXtal_BW#'!$A:$Z,22,FALSE)+VLOOKUP($A132,A:AL,31,FALSE)-50))</f>
        <v>292</v>
      </c>
      <c r="AG132" s="3">
        <f>IF(ISERROR(VLOOKUP($A132,'SegEnds_NonXtal_BW#'!$A:$Z,23,FALSE)+VLOOKUP($A132,A:AL,34,FALSE)-50),"-",(VLOOKUP($A132,'SegEnds_NonXtal_BW#'!$A:$Z,23,FALSE)+VLOOKUP($A132,A:AL,34,FALSE)-50))</f>
        <v>296</v>
      </c>
      <c r="AH132" s="3">
        <v>322</v>
      </c>
      <c r="AI132" s="3">
        <f>IF(ISERROR((VLOOKUP($A132,'SegEnds_NonXtal_BW#'!$A:$Z,24,FALSE)+VLOOKUP($A132,A:AL,34,FALSE)-50)),"-",(VLOOKUP($A132,'SegEnds_NonXtal_BW#'!$A:$Z,24,FALSE)+VLOOKUP($A132,A:AL,34,FALSE)-50))</f>
        <v>328</v>
      </c>
      <c r="AJ132" s="3">
        <f>IF(ISERROR(VLOOKUP($A132,'SegEnds_NonXtal_BW#'!$A:$Z,25,FALSE)+VLOOKUP($A132,A:AL,37,FALSE)-50),"-",(VLOOKUP($A132,'SegEnds_NonXtal_BW#'!$A:$Z,25,FALSE)+VLOOKUP($A132,A:AL,37,FALSE)-50))</f>
        <v>329</v>
      </c>
      <c r="AK132" s="3">
        <v>332</v>
      </c>
      <c r="AL132" s="3">
        <f>IF(ISERROR((VLOOKUP($A132,'SegEnds_NonXtal_BW#'!$A:$Z,26,FALSE)+VLOOKUP($A132,A:AL,37,FALSE)-50)),"-",(VLOOKUP($A132,'SegEnds_NonXtal_BW#'!$A:$Z,26,FALSE)+VLOOKUP($A132,A:AL,37,FALSE)-50))</f>
        <v>342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si="39"/>
        <v>-</v>
      </c>
      <c r="AQ132" s="3" t="str">
        <f t="shared" si="40"/>
        <v>-</v>
      </c>
      <c r="AR132" s="3">
        <f t="shared" si="41"/>
        <v>2</v>
      </c>
      <c r="AS132" s="3">
        <f t="shared" si="42"/>
        <v>1</v>
      </c>
      <c r="AT132" s="3">
        <f t="shared" si="43"/>
        <v>1</v>
      </c>
      <c r="AU132" s="3">
        <f t="shared" si="44"/>
        <v>1</v>
      </c>
      <c r="AV132" s="3">
        <f t="shared" si="45"/>
        <v>12</v>
      </c>
      <c r="AW132" s="3">
        <f t="shared" si="46"/>
        <v>2</v>
      </c>
      <c r="AX132" s="3">
        <f t="shared" si="47"/>
        <v>5</v>
      </c>
      <c r="AY132" s="3">
        <f t="shared" si="48"/>
        <v>4</v>
      </c>
      <c r="AZ132" s="3">
        <f t="shared" si="49"/>
        <v>1</v>
      </c>
      <c r="BA132" s="3">
        <f>IF(ISERROR(LEN(VLOOKUP(A132,Seqs!A:E,2,FALSE))-AL132),"-",LEN(VLOOKUP(A132,Seqs!A:E,2,FALSE))-AL132)</f>
        <v>25</v>
      </c>
      <c r="BB132" s="16">
        <f t="shared" si="50"/>
        <v>28</v>
      </c>
      <c r="BC132" s="9">
        <f t="shared" si="51"/>
        <v>20</v>
      </c>
      <c r="BD132" s="3">
        <f t="shared" si="52"/>
        <v>28</v>
      </c>
      <c r="BE132" s="3">
        <f t="shared" si="53"/>
        <v>46</v>
      </c>
      <c r="BF132" s="3">
        <f>AH132-AE132</f>
        <v>44</v>
      </c>
    </row>
    <row r="133" spans="1:58" s="3" customFormat="1" x14ac:dyDescent="0.2">
      <c r="A133" s="3" t="s">
        <v>240</v>
      </c>
      <c r="B133" s="3" t="str">
        <f>LOWER(VLOOKUP(A133,Xtal_Templ!A:B,2,FALSE))</f>
        <v>ccr6_human</v>
      </c>
      <c r="C133" s="3">
        <f>VLOOKUP($A133,'SegEnds_NonXtal_BW#'!$A:$Z,3,FALSE)+D133-50</f>
        <v>15</v>
      </c>
      <c r="D133" s="3">
        <v>40</v>
      </c>
      <c r="E133" s="3">
        <f>IF(ISERROR(VLOOKUP($A133,'SegEnds_NonXtal_BW#'!$A:$Z,4,FALSE)+VLOOKUP($A133,A:AL,4,FALSE)-50),"-",(VLOOKUP($A133,'SegEnds_NonXtal_BW#'!$A:$Z,4,FALSE)+VLOOKUP($A133,A:AL,4,FALSE)-50))</f>
        <v>50</v>
      </c>
      <c r="F133" s="3" t="str">
        <f>IF(ISERROR(VLOOKUP($A133,'SegEnds_NonXtal_BW#'!$A:$Z,5,FALSE)+VLOOKUP($A133,A:AL,7,FALSE)-50),"-",(VLOOKUP($A133,'SegEnds_NonXtal_BW#'!$A:$Z,5,FALSE)+VLOOKUP($A133,A:AL,7,FALSE)-50))</f>
        <v>-</v>
      </c>
      <c r="G133" s="3" t="s">
        <v>23</v>
      </c>
      <c r="H133" s="3" t="str">
        <f>IF(ISERROR(VLOOKUP($A133,'SegEnds_NonXtal_BW#'!$A:$Z,6,FALSE)+VLOOKUP($A133,A:AL,7,FALSE)-50),"-",(VLOOKUP($A133,'SegEnds_NonXtal_BW#'!$A:$Z,6,FALSE)+VLOOKUP($A133,A:AL,7,FALSE)-50))</f>
        <v>-</v>
      </c>
      <c r="I133" s="3">
        <f>VLOOKUP($A133,'SegEnds_NonXtal_BW#'!$A:$Z,7,FALSE)+J133-50</f>
        <v>55</v>
      </c>
      <c r="J133" s="3">
        <v>68</v>
      </c>
      <c r="K133" s="3">
        <f>VLOOKUP($A133,'SegEnds_NonXtal_BW#'!$A:$Z,8,FALSE)+VLOOKUP($A133,A:AL,10,FALSE)-50</f>
        <v>84</v>
      </c>
      <c r="L133" s="3">
        <f t="shared" si="101"/>
        <v>86</v>
      </c>
      <c r="M133" s="3">
        <v>87</v>
      </c>
      <c r="N133" s="3">
        <f t="shared" si="102"/>
        <v>89</v>
      </c>
      <c r="O133" s="3">
        <f t="shared" si="103"/>
        <v>90</v>
      </c>
      <c r="P133" s="3">
        <v>119</v>
      </c>
      <c r="Q133" s="3">
        <f>VLOOKUP($A133,'SegEnds_NonXtal_BW#'!$A:$Z,12,FALSE)+VLOOKUP($A133,A:AL,16,FALSE)-50</f>
        <v>125</v>
      </c>
      <c r="R133" s="3">
        <f>IF(ISERROR(VLOOKUP($A133,'SegEnds_NonXtal_BW#'!$A:$Z,13,FALSE)+VLOOKUP($A133,A:AL,19,FALSE)-50),"-",VLOOKUP($A133,'SegEnds_NonXtal_BW#'!$A:$Z,13,FALSE)+VLOOKUP($A133,A:AL,19,FALSE)-50)</f>
        <v>126</v>
      </c>
      <c r="S133" s="3">
        <v>126</v>
      </c>
      <c r="T133" s="100">
        <f>IF(ISERROR(VLOOKUP($A133,'SegEnds_NonXtal_BW#'!$A:$Z,14,FALSE)+VLOOKUP($A133,A:AL,19,FALSE)-50),"-",(VLOOKUP($A133,'SegEnds_NonXtal_BW#'!$A:$Z,14,FALSE)+VLOOKUP($A133,A:AL,19,FALSE)-50))</f>
        <v>133</v>
      </c>
      <c r="U133" s="9">
        <f>IF(ISERROR(VLOOKUP($A133,'SegEnds_NonXtal_BW#'!$A:$Z,15,FALSE)+VLOOKUP($A133,A:AL,22,FALSE)-50),"-",VLOOKUP($A133,'SegEnds_NonXtal_BW#'!$A:$Z,15,FALSE)+VLOOKUP($A133,A:AL,22,FALSE)-50)</f>
        <v>134</v>
      </c>
      <c r="V133" s="3">
        <v>146</v>
      </c>
      <c r="W133" s="3">
        <f>IF(ISERROR(VLOOKUP($A133,'SegEnds_NonXtal_BW#'!$A:$Z,16,FALSE)+VLOOKUP($A133,A:AL,22,FALSE)-50),"-",(VLOOKUP($A133,'SegEnds_NonXtal_BW#'!$A:$Z,16,FALSE)+VLOOKUP($A133,A:AL,22,FALSE)-50))</f>
        <v>160</v>
      </c>
      <c r="X133" s="3">
        <f>IF(ISERROR(VLOOKUP($A133,'SegEnds_NonXtal_BW#'!$A:$Z,17,FALSE)+VLOOKUP($A133,A:AL,25,FALSE)-50),"-",(VLOOKUP($A133,'SegEnds_NonXtal_BW#'!$A:$Z,17,FALSE)+VLOOKUP($A133,A:AL,25,FALSE)-50))</f>
        <v>172</v>
      </c>
      <c r="Y133" s="3">
        <v>172</v>
      </c>
      <c r="Z133" s="3">
        <f>Y133+2</f>
        <v>174</v>
      </c>
      <c r="AA133" s="3">
        <f>IF(ISERROR(VLOOKUP($A133,'SegEnds_NonXtal_BW#'!$A:$Z,19,FALSE)+VLOOKUP($A133,A:AL,28,FALSE)-50),"-",(VLOOKUP($A133,'SegEnds_NonXtal_BW#'!$A:$Z,19,FALSE)+VLOOKUP($A133,A:AL,28,FALSE)-50))</f>
        <v>180</v>
      </c>
      <c r="AB133" s="3">
        <v>199</v>
      </c>
      <c r="AC133" s="3">
        <f>IF(ISERROR((VLOOKUP($A133,'SegEnds_NonXtal_BW#'!$A:$Z,20,FALSE)+VLOOKUP($A133,A:AL,28,FALSE)-50)),"-",(VLOOKUP($A133,'SegEnds_NonXtal_BW#'!$A:$Z,20,FALSE)+VLOOKUP($A133,A:AL,28,FALSE)-50))</f>
        <v>217</v>
      </c>
      <c r="AD133" s="3">
        <f>IF(ISERROR(VLOOKUP($A133,'SegEnds_NonXtal_BW#'!$A:$Z,21,FALSE)+VLOOKUP($A133,A:AL,31,FALSE)-50),"-",(VLOOKUP($A133,'SegEnds_NonXtal_BW#'!$A:$Z,21,FALSE)+VLOOKUP($A133,A:AL,31,FALSE)-50))</f>
        <v>221</v>
      </c>
      <c r="AE133" s="3">
        <v>247</v>
      </c>
      <c r="AF133" s="3">
        <f>IF(ISERROR((VLOOKUP($A133,'SegEnds_NonXtal_BW#'!$A:$Z,22,FALSE)+VLOOKUP($A133,A:AL,31,FALSE)-50)),"-",(VLOOKUP($A133,'SegEnds_NonXtal_BW#'!$A:$Z,22,FALSE)+VLOOKUP($A133,A:AL,31,FALSE)-50))</f>
        <v>258</v>
      </c>
      <c r="AG133" s="3">
        <f>IF(ISERROR(VLOOKUP($A133,'SegEnds_NonXtal_BW#'!$A:$Z,23,FALSE)+VLOOKUP($A133,A:AL,34,FALSE)-50),"-",(VLOOKUP($A133,'SegEnds_NonXtal_BW#'!$A:$Z,23,FALSE)+VLOOKUP($A133,A:AL,34,FALSE)-50))</f>
        <v>264</v>
      </c>
      <c r="AH133" s="3">
        <v>283</v>
      </c>
      <c r="AI133" s="3">
        <f>IF(ISERROR((VLOOKUP($A133,'SegEnds_NonXtal_BW#'!$A:$Z,24,FALSE)+VLOOKUP($A133,A:AL,34,FALSE)-50)),"-",(VLOOKUP($A133,'SegEnds_NonXtal_BW#'!$A:$Z,24,FALSE)+VLOOKUP($A133,A:AL,34,FALSE)-50))</f>
        <v>289</v>
      </c>
      <c r="AJ133" s="3">
        <f>IF(ISERROR(VLOOKUP($A133,'SegEnds_NonXtal_BW#'!$A:$Z,25,FALSE)+VLOOKUP($A133,A:AL,37,FALSE)-50),"-",(VLOOKUP($A133,'SegEnds_NonXtal_BW#'!$A:$Z,25,FALSE)+VLOOKUP($A133,A:AL,37,FALSE)-50))</f>
        <v>290</v>
      </c>
      <c r="AK133" s="3">
        <v>293</v>
      </c>
      <c r="AL133" s="3">
        <f>IF(ISERROR((VLOOKUP($A133,'SegEnds_NonXtal_BW#'!$A:$Z,26,FALSE)+VLOOKUP($A133,A:AL,37,FALSE)-50)),"-",(VLOOKUP($A133,'SegEnds_NonXtal_BW#'!$A:$Z,26,FALSE)+VLOOKUP($A133,A:AL,37,FALSE)-50))</f>
        <v>305</v>
      </c>
      <c r="AM133" s="28" t="str">
        <f>VLOOKUP(A133,Classification!A:B,2,FALSE)</f>
        <v>A</v>
      </c>
      <c r="AN133" s="28" t="b">
        <f t="shared" si="55"/>
        <v>1</v>
      </c>
      <c r="AO133" s="3" t="str">
        <f>IF(ISERROR(MATCH(A133,'SegEnds_Xtal_Prot#'!B:B, 0)), "NoXtal", "Xtal")</f>
        <v>NoXtal</v>
      </c>
      <c r="AP133" s="3" t="str">
        <f t="shared" ref="AP133:AP196" si="104">IF(ISERROR(F133-E133),"-",F133-E133)</f>
        <v>-</v>
      </c>
      <c r="AQ133" s="3" t="str">
        <f t="shared" ref="AQ133:AQ196" si="105">IF(ISERROR(I133-H133),"-",I133-H133)</f>
        <v>-</v>
      </c>
      <c r="AR133" s="3">
        <f t="shared" ref="AR133:AR196" si="106">IF(ISERROR(L133-K133),"-",L133-K133)</f>
        <v>2</v>
      </c>
      <c r="AS133" s="3">
        <f t="shared" ref="AS133:AS196" si="107">IF(ISERROR(O133-N133),"-",O133-N133)</f>
        <v>1</v>
      </c>
      <c r="AT133" s="3">
        <f t="shared" ref="AT133:AT196" si="108">IF(ISERROR(R133-Q133),"-",R133-Q133)</f>
        <v>1</v>
      </c>
      <c r="AU133" s="3">
        <f t="shared" ref="AU133:AU196" si="109">IF(ISERROR(U133-T133),"-",U133-T133)</f>
        <v>1</v>
      </c>
      <c r="AV133" s="3">
        <f t="shared" ref="AV133:AV196" si="110">IF(ISERROR(X133-W133),"-",X133-W133)</f>
        <v>12</v>
      </c>
      <c r="AW133" s="3">
        <f t="shared" ref="AW133:AW196" si="111">IF(ISERROR(AA133-Z133),"-",AA133-Z133)</f>
        <v>6</v>
      </c>
      <c r="AX133" s="3">
        <f t="shared" ref="AX133:AX196" si="112">IF(ISERROR(AD133-AC133),"-",AD133-AC133)</f>
        <v>4</v>
      </c>
      <c r="AY133" s="3">
        <f t="shared" ref="AY133:AY196" si="113">IF(ISERROR(AG133-AF133),"-",AG133-AF133)</f>
        <v>6</v>
      </c>
      <c r="AZ133" s="3">
        <f t="shared" ref="AZ133:AZ196" si="114">IF(ISERROR(AJ133-AI133),"-",AJ133-AI133)</f>
        <v>1</v>
      </c>
      <c r="BA133" s="3">
        <f>IF(ISERROR(LEN(VLOOKUP(A133,Seqs!A:E,2,FALSE))-AL133),"-",LEN(VLOOKUP(A133,Seqs!A:E,2,FALSE))-AL133)</f>
        <v>26</v>
      </c>
      <c r="BB133" s="16">
        <f t="shared" ref="BB133:BB196" si="115">J133-D133</f>
        <v>28</v>
      </c>
      <c r="BC133" s="9">
        <f t="shared" ref="BC133:BC196" si="116">IF(ISERROR(V133-S133),"-",V133-S133)</f>
        <v>20</v>
      </c>
      <c r="BD133" s="3">
        <f t="shared" ref="BD133:BD196" si="117">J133-D133</f>
        <v>28</v>
      </c>
      <c r="BE133" s="3">
        <f t="shared" ref="BE133:BE196" si="118">AE133-AB133</f>
        <v>48</v>
      </c>
      <c r="BF133" s="3">
        <f>AH133-AE133</f>
        <v>36</v>
      </c>
    </row>
    <row r="134" spans="1:58" s="3" customFormat="1" x14ac:dyDescent="0.2">
      <c r="A134" s="3" t="s">
        <v>242</v>
      </c>
      <c r="B134" s="3" t="str">
        <f>LOWER(VLOOKUP(A134,Xtal_Templ!A:B,2,FALSE))</f>
        <v>oprk_human</v>
      </c>
      <c r="C134" s="3">
        <f>VLOOKUP($A134,'SegEnds_NonXtal_BW#'!$A:$Z,3,FALSE)+D134-50</f>
        <v>51</v>
      </c>
      <c r="D134" s="3">
        <v>71</v>
      </c>
      <c r="E134" s="3">
        <f>IF(ISERROR(VLOOKUP($A134,'SegEnds_NonXtal_BW#'!$A:$Z,4,FALSE)+VLOOKUP($A134,A:AL,4,FALSE)-50),"-",(VLOOKUP($A134,'SegEnds_NonXtal_BW#'!$A:$Z,4,FALSE)+VLOOKUP($A134,A:AL,4,FALSE)-50))</f>
        <v>81</v>
      </c>
      <c r="F134" s="3">
        <f t="shared" ref="F134:F139" si="119">G134-2</f>
        <v>82</v>
      </c>
      <c r="G134" s="3">
        <v>84</v>
      </c>
      <c r="H134" s="3">
        <f t="shared" ref="H134:I139" si="120">G134+1</f>
        <v>85</v>
      </c>
      <c r="I134" s="3">
        <f t="shared" si="120"/>
        <v>86</v>
      </c>
      <c r="J134" s="3">
        <v>99</v>
      </c>
      <c r="K134" s="3">
        <f>VLOOKUP($A134,'SegEnds_NonXtal_BW#'!$A:$Z,8,FALSE)+VLOOKUP($A134,A:AL,10,FALSE)-50</f>
        <v>115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122</v>
      </c>
      <c r="P134" s="3">
        <v>148</v>
      </c>
      <c r="Q134" s="3">
        <f>VLOOKUP($A134,'SegEnds_NonXtal_BW#'!$A:$Z,12,FALSE)+VLOOKUP($A134,A:AL,16,FALSE)-50</f>
        <v>154</v>
      </c>
      <c r="R134" s="3">
        <f>IF(ISERROR(VLOOKUP($A134,'SegEnds_NonXtal_BW#'!$A:$Z,13,FALSE)+VLOOKUP($A134,A:AL,19,FALSE)-50),"-",VLOOKUP($A134,'SegEnds_NonXtal_BW#'!$A:$Z,13,FALSE)+VLOOKUP($A134,A:AL,19,FALSE)-50)</f>
        <v>155</v>
      </c>
      <c r="S134" s="3">
        <v>155</v>
      </c>
      <c r="T134" s="100">
        <f>IF(ISERROR(VLOOKUP($A134,'SegEnds_NonXtal_BW#'!$A:$Z,14,FALSE)+VLOOKUP($A134,A:AL,19,FALSE)-50),"-",(VLOOKUP($A134,'SegEnds_NonXtal_BW#'!$A:$Z,14,FALSE)+VLOOKUP($A134,A:AL,19,FALSE)-50))</f>
        <v>162</v>
      </c>
      <c r="U134" s="9">
        <f>IF(ISERROR(VLOOKUP($A134,'SegEnds_NonXtal_BW#'!$A:$Z,15,FALSE)+VLOOKUP($A134,A:AL,22,FALSE)-50),"-",VLOOKUP($A134,'SegEnds_NonXtal_BW#'!$A:$Z,15,FALSE)+VLOOKUP($A134,A:AL,22,FALSE)-50)</f>
        <v>163</v>
      </c>
      <c r="V134" s="3">
        <v>175</v>
      </c>
      <c r="W134" s="3">
        <f>IF(ISERROR(VLOOKUP($A134,'SegEnds_NonXtal_BW#'!$A:$Z,16,FALSE)+VLOOKUP($A134,A:AL,22,FALSE)-50),"-",(VLOOKUP($A134,'SegEnds_NonXtal_BW#'!$A:$Z,16,FALSE)+VLOOKUP($A134,A:AL,22,FALSE)-50))</f>
        <v>189</v>
      </c>
      <c r="X134" s="3" t="str">
        <f>IF(ISERROR(VLOOKUP($A134,'SegEnds_NonXtal_BW#'!$A:$Z,17,FALSE)+VLOOKUP($A134,A:AL,25,FALSE)-50),"-",(VLOOKUP($A134,'SegEnds_NonXtal_BW#'!$A:$Z,17,FALSE)+VLOOKUP($A134,A:AL,25,FALSE)-50))</f>
        <v>-</v>
      </c>
      <c r="Y134" s="3" t="s">
        <v>23</v>
      </c>
      <c r="Z134" s="3" t="str">
        <f>IF(ISERROR(VLOOKUP($A134,'SegEnds_NonXtal_BW#'!$A:$Z,18,FALSE)+VLOOKUP($A134,A:AL,25,FALSE)-50),"-",(VLOOKUP($A134,'SegEnds_NonXtal_BW#'!$A:$Z,18,FALSE)+VLOOKUP($A134,A:AL,25,FALSE)-50))</f>
        <v>-</v>
      </c>
      <c r="AA134" s="3">
        <f>IF(ISERROR(VLOOKUP($A134,'SegEnds_NonXtal_BW#'!$A:$Z,19,FALSE)+VLOOKUP($A134,A:AL,28,FALSE)-50),"-",(VLOOKUP($A134,'SegEnds_NonXtal_BW#'!$A:$Z,19,FALSE)+VLOOKUP($A134,A:AL,28,FALSE)-50))</f>
        <v>196</v>
      </c>
      <c r="AB134" s="3">
        <v>208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272</v>
      </c>
      <c r="AH134" s="3">
        <v>294</v>
      </c>
      <c r="AI134" s="3">
        <f>IF(ISERROR((VLOOKUP($A134,'SegEnds_NonXtal_BW#'!$A:$Z,24,FALSE)+VLOOKUP($A134,A:AL,34,FALSE)-50)),"-",(VLOOKUP($A134,'SegEnds_NonXtal_BW#'!$A:$Z,24,FALSE)+VLOOKUP($A134,A:AL,34,FALSE)-50))</f>
        <v>300</v>
      </c>
      <c r="AJ134" s="3">
        <f>IF(ISERROR(VLOOKUP($A134,'SegEnds_NonXtal_BW#'!$A:$Z,25,FALSE)+VLOOKUP($A134,A:AL,37,FALSE)-50),"-",(VLOOKUP($A134,'SegEnds_NonXtal_BW#'!$A:$Z,25,FALSE)+VLOOKUP($A134,A:AL,37,FALSE)-50))</f>
        <v>301</v>
      </c>
      <c r="AK134" s="3">
        <v>304</v>
      </c>
      <c r="AL134" s="3">
        <f>IF(ISERROR((VLOOKUP($A134,'SegEnds_NonXtal_BW#'!$A:$Z,26,FALSE)+VLOOKUP($A134,A:AL,37,FALSE)-50)),"-",(VLOOKUP($A134,'SegEnds_NonXtal_BW#'!$A:$Z,26,FALSE)+VLOOKUP($A134,A:AL,37,FALSE)-50))</f>
        <v>313</v>
      </c>
      <c r="AM134" s="28" t="str">
        <f>VLOOKUP(A134,Classification!A:B,2,FALSE)</f>
        <v>A</v>
      </c>
      <c r="AN134" s="28" t="b">
        <f t="shared" ref="AN134:AN197" si="121">AND(IF(Y134="-",IF(AA134-W134&gt;3,TRUE,FALSE),TRUE),IF(M134="-",IF(O134-K134&gt;3,TRUE,FALSE),TRUE),IF(AG134-AF134&gt;1,TRUE,FALS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104"/>
        <v>1</v>
      </c>
      <c r="AQ134" s="3">
        <f t="shared" si="105"/>
        <v>1</v>
      </c>
      <c r="AR134" s="3" t="str">
        <f t="shared" si="106"/>
        <v>-</v>
      </c>
      <c r="AS134" s="3" t="str">
        <f t="shared" si="107"/>
        <v>-</v>
      </c>
      <c r="AT134" s="3">
        <f t="shared" si="108"/>
        <v>1</v>
      </c>
      <c r="AU134" s="3">
        <f t="shared" si="109"/>
        <v>1</v>
      </c>
      <c r="AV134" s="3" t="str">
        <f t="shared" si="110"/>
        <v>-</v>
      </c>
      <c r="AW134" s="3" t="str">
        <f t="shared" si="111"/>
        <v>-</v>
      </c>
      <c r="AX134" s="3">
        <f t="shared" si="112"/>
        <v>4</v>
      </c>
      <c r="AY134" s="3">
        <f t="shared" si="113"/>
        <v>5</v>
      </c>
      <c r="AZ134" s="3">
        <f t="shared" si="114"/>
        <v>1</v>
      </c>
      <c r="BA134" s="3">
        <f>IF(ISERROR(LEN(VLOOKUP(A134,Seqs!A:E,2,FALSE))-AL134),"-",LEN(VLOOKUP(A134,Seqs!A:E,2,FALSE))-AL134)</f>
        <v>45</v>
      </c>
      <c r="BB134" s="16">
        <f t="shared" si="115"/>
        <v>28</v>
      </c>
      <c r="BC134" s="9">
        <f t="shared" si="116"/>
        <v>20</v>
      </c>
      <c r="BD134" s="3">
        <f t="shared" si="117"/>
        <v>28</v>
      </c>
      <c r="BE134" s="3">
        <f t="shared" si="118"/>
        <v>48</v>
      </c>
    </row>
    <row r="135" spans="1:58" s="3" customFormat="1" x14ac:dyDescent="0.2">
      <c r="A135" s="3" t="s">
        <v>243</v>
      </c>
      <c r="B135" s="3" t="str">
        <f>LOWER(VLOOKUP(A135,Xtal_Templ!A:B,2,FALSE))</f>
        <v>gpr52_human</v>
      </c>
      <c r="C135" s="3">
        <f>VLOOKUP($A135,'SegEnds_NonXtal_BW#'!$A:$Z,3,FALSE)+D135-50</f>
        <v>28</v>
      </c>
      <c r="D135" s="3">
        <v>46</v>
      </c>
      <c r="E135" s="3">
        <f>IF(ISERROR(VLOOKUP($A135,'SegEnds_NonXtal_BW#'!$A:$Z,4,FALSE)+VLOOKUP($A135,A:AL,4,FALSE)-50),"-",(VLOOKUP($A135,'SegEnds_NonXtal_BW#'!$A:$Z,4,FALSE)+VLOOKUP($A135,A:AL,4,FALSE)-50))</f>
        <v>56</v>
      </c>
      <c r="F135" s="3">
        <f t="shared" si="119"/>
        <v>57</v>
      </c>
      <c r="G135" s="3">
        <v>59</v>
      </c>
      <c r="H135" s="3">
        <f t="shared" si="120"/>
        <v>60</v>
      </c>
      <c r="I135" s="3">
        <f t="shared" si="120"/>
        <v>61</v>
      </c>
      <c r="J135" s="3">
        <v>75</v>
      </c>
      <c r="K135" s="3">
        <f>VLOOKUP($A135,'SegEnds_NonXtal_BW#'!$A:$Z,8,FALSE)+VLOOKUP($A135,A:AL,10,FALSE)-50</f>
        <v>91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95</v>
      </c>
      <c r="P135" s="3">
        <v>127</v>
      </c>
      <c r="Q135" s="3">
        <f>VLOOKUP($A135,'SegEnds_NonXtal_BW#'!$A:$Z,12,FALSE)+VLOOKUP($A135,A:AL,16,FALSE)-50</f>
        <v>133</v>
      </c>
      <c r="R135" s="3">
        <f>IF(ISERROR(VLOOKUP($A135,'SegEnds_NonXtal_BW#'!$A:$Z,13,FALSE)+VLOOKUP($A135,A:AL,19,FALSE)-50),"-",VLOOKUP($A135,'SegEnds_NonXtal_BW#'!$A:$Z,13,FALSE)+VLOOKUP($A135,A:AL,19,FALSE)-50)</f>
        <v>134</v>
      </c>
      <c r="S135" s="3">
        <v>134</v>
      </c>
      <c r="T135" s="100">
        <f>IF(ISERROR(VLOOKUP($A135,'SegEnds_NonXtal_BW#'!$A:$Z,14,FALSE)+VLOOKUP($A135,A:AL,19,FALSE)-50),"-",(VLOOKUP($A135,'SegEnds_NonXtal_BW#'!$A:$Z,14,FALSE)+VLOOKUP($A135,A:AL,19,FALSE)-50))</f>
        <v>141</v>
      </c>
      <c r="U135" s="9">
        <f>IF(ISERROR(VLOOKUP($A135,'SegEnds_NonXtal_BW#'!$A:$Z,15,FALSE)+VLOOKUP($A135,A:AL,22,FALSE)-50),"-",VLOOKUP($A135,'SegEnds_NonXtal_BW#'!$A:$Z,15,FALSE)+VLOOKUP($A135,A:AL,22,FALSE)-50)</f>
        <v>142</v>
      </c>
      <c r="V135" s="3">
        <v>154</v>
      </c>
      <c r="W135" s="3">
        <f>IF(ISERROR(VLOOKUP($A135,'SegEnds_NonXtal_BW#'!$A:$Z,16,FALSE)+VLOOKUP($A135,A:AL,22,FALSE)-50),"-",(VLOOKUP($A135,'SegEnds_NonXtal_BW#'!$A:$Z,16,FALSE)+VLOOKUP($A135,A:AL,22,FALSE)-50))</f>
        <v>166</v>
      </c>
      <c r="X135" s="3">
        <f>IF(ISERROR(VLOOKUP($A135,'SegEnds_NonXtal_BW#'!$A:$Z,17,FALSE)+VLOOKUP($A135,A:AL,25,FALSE)-50),"-",(VLOOKUP($A135,'SegEnds_NonXtal_BW#'!$A:$Z,17,FALSE)+VLOOKUP($A135,A:AL,25,FALSE)-50))</f>
        <v>181</v>
      </c>
      <c r="Y135" s="3">
        <v>181</v>
      </c>
      <c r="Z135" s="3">
        <f>Y135+2</f>
        <v>183</v>
      </c>
      <c r="AA135" s="3">
        <f>IF(ISERROR(VLOOKUP($A135,'SegEnds_NonXtal_BW#'!$A:$Z,19,FALSE)+VLOOKUP($A135,A:AL,28,FALSE)-50),"-",(VLOOKUP($A135,'SegEnds_NonXtal_BW#'!$A:$Z,19,FALSE)+VLOOKUP($A135,A:AL,28,FALSE)-50))</f>
        <v>187</v>
      </c>
      <c r="AB135" s="3">
        <v>202</v>
      </c>
      <c r="AC135" s="3">
        <f>IF(ISERROR((VLOOKUP($A135,'SegEnds_NonXtal_BW#'!$A:$Z,20,FALSE)+VLOOKUP($A135,A:AL,28,FALSE)-50)),"-",(VLOOKUP($A135,'SegEnds_NonXtal_BW#'!$A:$Z,20,FALSE)+VLOOKUP($A135,A:AL,28,FALSE)-50))</f>
        <v>226</v>
      </c>
      <c r="AD135" s="3">
        <f>IF(ISERROR(VLOOKUP($A135,'SegEnds_NonXtal_BW#'!$A:$Z,21,FALSE)+VLOOKUP($A135,A:AL,31,FALSE)-50),"-",(VLOOKUP($A135,'SegEnds_NonXtal_BW#'!$A:$Z,21,FALSE)+VLOOKUP($A135,A:AL,31,FALSE)-50))</f>
        <v>238</v>
      </c>
      <c r="AE135" s="3">
        <v>267</v>
      </c>
      <c r="AF135" s="3">
        <f>IF(ISERROR((VLOOKUP($A135,'SegEnds_NonXtal_BW#'!$A:$Z,22,FALSE)+VLOOKUP($A135,A:AL,31,FALSE)-50)),"-",(VLOOKUP($A135,'SegEnds_NonXtal_BW#'!$A:$Z,22,FALSE)+VLOOKUP($A135,A:AL,31,FALSE)-50))</f>
        <v>278</v>
      </c>
      <c r="AG135" s="3">
        <f>IF(ISERROR(VLOOKUP($A135,'SegEnds_NonXtal_BW#'!$A:$Z,23,FALSE)+VLOOKUP($A135,A:AL,34,FALSE)-50),"-",(VLOOKUP($A135,'SegEnds_NonXtal_BW#'!$A:$Z,23,FALSE)+VLOOKUP($A135,A:AL,34,FALSE)-50))</f>
        <v>283</v>
      </c>
      <c r="AH135" s="3">
        <v>301</v>
      </c>
      <c r="AI135" s="3">
        <f>IF(ISERROR((VLOOKUP($A135,'SegEnds_NonXtal_BW#'!$A:$Z,24,FALSE)+VLOOKUP($A135,A:AL,34,FALSE)-50)),"-",(VLOOKUP($A135,'SegEnds_NonXtal_BW#'!$A:$Z,24,FALSE)+VLOOKUP($A135,A:AL,34,FALSE)-50))</f>
        <v>307</v>
      </c>
      <c r="AJ135" s="3">
        <f>IF(ISERROR(VLOOKUP($A135,'SegEnds_NonXtal_BW#'!$A:$Z,25,FALSE)+VLOOKUP($A135,A:AL,37,FALSE)-50),"-",(VLOOKUP($A135,'SegEnds_NonXtal_BW#'!$A:$Z,25,FALSE)+VLOOKUP($A135,A:AL,37,FALSE)-50))</f>
        <v>308</v>
      </c>
      <c r="AK135" s="3">
        <v>311</v>
      </c>
      <c r="AL135" s="3">
        <f>IF(ISERROR((VLOOKUP($A135,'SegEnds_NonXtal_BW#'!$A:$Z,26,FALSE)+VLOOKUP($A135,A:AL,37,FALSE)-50)),"-",(VLOOKUP($A135,'SegEnds_NonXtal_BW#'!$A:$Z,26,FALSE)+VLOOKUP($A135,A:AL,37,FALSE)-50))</f>
        <v>328</v>
      </c>
      <c r="AM135" s="28" t="str">
        <f>VLOOKUP(A135,Classification!A:B,2,FALSE)</f>
        <v>A</v>
      </c>
      <c r="AN135" s="28" t="b">
        <f t="shared" si="121"/>
        <v>1</v>
      </c>
      <c r="AO135" s="3" t="str">
        <f>IF(ISERROR(MATCH(A135,'SegEnds_Xtal_Prot#'!B:B, 0)), "NoXtal", "Xtal")</f>
        <v>NoXtal</v>
      </c>
      <c r="AP135" s="3">
        <f t="shared" si="104"/>
        <v>1</v>
      </c>
      <c r="AQ135" s="3">
        <f t="shared" si="105"/>
        <v>1</v>
      </c>
      <c r="AR135" s="3" t="str">
        <f t="shared" si="106"/>
        <v>-</v>
      </c>
      <c r="AS135" s="3" t="str">
        <f t="shared" si="107"/>
        <v>-</v>
      </c>
      <c r="AT135" s="3">
        <f t="shared" si="108"/>
        <v>1</v>
      </c>
      <c r="AU135" s="3">
        <f t="shared" si="109"/>
        <v>1</v>
      </c>
      <c r="AV135" s="3">
        <f t="shared" si="110"/>
        <v>15</v>
      </c>
      <c r="AW135" s="3">
        <f t="shared" si="111"/>
        <v>4</v>
      </c>
      <c r="AX135" s="3">
        <f t="shared" si="112"/>
        <v>12</v>
      </c>
      <c r="AY135" s="3">
        <f t="shared" si="113"/>
        <v>5</v>
      </c>
      <c r="AZ135" s="3">
        <f t="shared" si="114"/>
        <v>1</v>
      </c>
      <c r="BA135" s="3">
        <f>IF(ISERROR(LEN(VLOOKUP(A135,Seqs!A:E,2,FALSE))-AL135),"-",LEN(VLOOKUP(A135,Seqs!A:E,2,FALSE))-AL135)</f>
        <v>21</v>
      </c>
      <c r="BB135" s="16">
        <f t="shared" si="115"/>
        <v>29</v>
      </c>
      <c r="BC135" s="9">
        <f t="shared" si="116"/>
        <v>20</v>
      </c>
      <c r="BD135" s="3">
        <f t="shared" si="117"/>
        <v>29</v>
      </c>
      <c r="BE135" s="3">
        <f t="shared" si="118"/>
        <v>65</v>
      </c>
    </row>
    <row r="136" spans="1:58" s="3" customFormat="1" x14ac:dyDescent="0.2">
      <c r="A136" s="3" t="s">
        <v>245</v>
      </c>
      <c r="B136" s="3" t="str">
        <f>LOWER(VLOOKUP(A136,Xtal_Templ!A:B,2,FALSE))</f>
        <v>agtr1_human</v>
      </c>
      <c r="C136" s="3">
        <f>VLOOKUP($A136,'SegEnds_NonXtal_BW#'!$A:$Z,3,FALSE)+D136-50</f>
        <v>35</v>
      </c>
      <c r="D136" s="3">
        <v>57</v>
      </c>
      <c r="E136" s="3">
        <f>IF(ISERROR(VLOOKUP($A136,'SegEnds_NonXtal_BW#'!$A:$Z,4,FALSE)+VLOOKUP($A136,A:AL,4,FALSE)-50),"-",(VLOOKUP($A136,'SegEnds_NonXtal_BW#'!$A:$Z,4,FALSE)+VLOOKUP($A136,A:AL,4,FALSE)-50))</f>
        <v>67</v>
      </c>
      <c r="F136" s="3">
        <f t="shared" si="119"/>
        <v>68</v>
      </c>
      <c r="G136" s="3">
        <v>70</v>
      </c>
      <c r="H136" s="3">
        <f t="shared" si="120"/>
        <v>71</v>
      </c>
      <c r="I136" s="3">
        <f t="shared" si="120"/>
        <v>72</v>
      </c>
      <c r="J136" s="3">
        <v>85</v>
      </c>
      <c r="K136" s="3">
        <f>VLOOKUP($A136,'SegEnds_NonXtal_BW#'!$A:$Z,8,FALSE)+VLOOKUP($A136,A:AL,10,FALSE)-50</f>
        <v>102</v>
      </c>
      <c r="L136" s="3">
        <f>M136-1</f>
        <v>104</v>
      </c>
      <c r="M136" s="3">
        <v>105</v>
      </c>
      <c r="N136" s="3">
        <f>M136+2</f>
        <v>107</v>
      </c>
      <c r="O136" s="3">
        <f>N136+1</f>
        <v>108</v>
      </c>
      <c r="P136" s="3">
        <v>137</v>
      </c>
      <c r="Q136" s="3">
        <f>VLOOKUP($A136,'SegEnds_NonXtal_BW#'!$A:$Z,12,FALSE)+VLOOKUP($A136,A:AL,16,FALSE)-50</f>
        <v>143</v>
      </c>
      <c r="R136" s="3">
        <f>IF(ISERROR(VLOOKUP($A136,'SegEnds_NonXtal_BW#'!$A:$Z,13,FALSE)+VLOOKUP($A136,A:AL,19,FALSE)-50),"-",VLOOKUP($A136,'SegEnds_NonXtal_BW#'!$A:$Z,13,FALSE)+VLOOKUP($A136,A:AL,19,FALSE)-50)</f>
        <v>144</v>
      </c>
      <c r="S136" s="3">
        <v>144</v>
      </c>
      <c r="T136" s="100">
        <f>IF(ISERROR(VLOOKUP($A136,'SegEnds_NonXtal_BW#'!$A:$Z,14,FALSE)+VLOOKUP($A136,A:AL,19,FALSE)-50),"-",(VLOOKUP($A136,'SegEnds_NonXtal_BW#'!$A:$Z,14,FALSE)+VLOOKUP($A136,A:AL,19,FALSE)-50))</f>
        <v>151</v>
      </c>
      <c r="U136" s="9">
        <f>IF(ISERROR(VLOOKUP($A136,'SegEnds_NonXtal_BW#'!$A:$Z,15,FALSE)+VLOOKUP($A136,A:AL,22,FALSE)-50),"-",VLOOKUP($A136,'SegEnds_NonXtal_BW#'!$A:$Z,15,FALSE)+VLOOKUP($A136,A:AL,22,FALSE)-50)</f>
        <v>152</v>
      </c>
      <c r="V136" s="3">
        <v>164</v>
      </c>
      <c r="W136" s="3">
        <f>IF(ISERROR(VLOOKUP($A136,'SegEnds_NonXtal_BW#'!$A:$Z,16,FALSE)+VLOOKUP($A136,A:AL,22,FALSE)-50),"-",(VLOOKUP($A136,'SegEnds_NonXtal_BW#'!$A:$Z,16,FALSE)+VLOOKUP($A136,A:AL,22,FALSE)-50))</f>
        <v>178</v>
      </c>
      <c r="X136" s="3">
        <f>IF(ISERROR(VLOOKUP($A136,'SegEnds_NonXtal_BW#'!$A:$Z,17,FALSE)+VLOOKUP($A136,A:AL,25,FALSE)-50),"-",(VLOOKUP($A136,'SegEnds_NonXtal_BW#'!$A:$Z,17,FALSE)+VLOOKUP($A136,A:AL,25,FALSE)-50))</f>
        <v>191</v>
      </c>
      <c r="Y136" s="3">
        <v>191</v>
      </c>
      <c r="Z136" s="3">
        <f>Y136+2</f>
        <v>193</v>
      </c>
      <c r="AA136" s="3">
        <f>IF(ISERROR(VLOOKUP($A136,'SegEnds_NonXtal_BW#'!$A:$Z,19,FALSE)+VLOOKUP($A136,A:AL,28,FALSE)-50),"-",(VLOOKUP($A136,'SegEnds_NonXtal_BW#'!$A:$Z,19,FALSE)+VLOOKUP($A136,A:AL,28,FALSE)-50))</f>
        <v>198</v>
      </c>
      <c r="AB136" s="3">
        <v>214</v>
      </c>
      <c r="AC136" s="3">
        <f>IF(ISERROR((VLOOKUP($A136,'SegEnds_NonXtal_BW#'!$A:$Z,20,FALSE)+VLOOKUP($A136,A:AL,28,FALSE)-50)),"-",(VLOOKUP($A136,'SegEnds_NonXtal_BW#'!$A:$Z,20,FALSE)+VLOOKUP($A136,A:AL,28,FALSE)-50))</f>
        <v>231</v>
      </c>
      <c r="AD136" s="3">
        <f>IF(ISERROR(VLOOKUP($A136,'SegEnds_NonXtal_BW#'!$A:$Z,21,FALSE)+VLOOKUP($A136,A:AL,31,FALSE)-50),"-",(VLOOKUP($A136,'SegEnds_NonXtal_BW#'!$A:$Z,21,FALSE)+VLOOKUP($A136,A:AL,31,FALSE)-50))</f>
        <v>237</v>
      </c>
      <c r="AE136" s="3">
        <v>259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304</v>
      </c>
      <c r="AI136" s="3">
        <f>IF(ISERROR((VLOOKUP($A136,'SegEnds_NonXtal_BW#'!$A:$Z,24,FALSE)+VLOOKUP($A136,A:AL,34,FALSE)-50)),"-",(VLOOKUP($A136,'SegEnds_NonXtal_BW#'!$A:$Z,24,FALSE)+VLOOKUP($A136,A:AL,34,FALSE)-50))</f>
        <v>310</v>
      </c>
      <c r="AJ136" s="3">
        <f>IF(ISERROR(VLOOKUP($A136,'SegEnds_NonXtal_BW#'!$A:$Z,25,FALSE)+VLOOKUP($A136,A:AL,37,FALSE)-50),"-",(VLOOKUP($A136,'SegEnds_NonXtal_BW#'!$A:$Z,25,FALSE)+VLOOKUP($A136,A:AL,37,FALSE)-50))</f>
        <v>311</v>
      </c>
      <c r="AK136" s="3">
        <v>314</v>
      </c>
      <c r="AL136" s="3">
        <f>IF(ISERROR((VLOOKUP($A136,'SegEnds_NonXtal_BW#'!$A:$Z,26,FALSE)+VLOOKUP($A136,A:AL,37,FALSE)-50)),"-",(VLOOKUP($A136,'SegEnds_NonXtal_BW#'!$A:$Z,26,FALSE)+VLOOKUP($A136,A:AL,37,FALSE)-50))</f>
        <v>325</v>
      </c>
      <c r="AM136" s="28" t="str">
        <f>VLOOKUP(A136,Classification!A:B,2,FALSE)</f>
        <v>A</v>
      </c>
      <c r="AN136" s="28" t="b">
        <f t="shared" si="121"/>
        <v>1</v>
      </c>
      <c r="AO136" s="3" t="str">
        <f>IF(ISERROR(MATCH(A136,'SegEnds_Xtal_Prot#'!B:B, 0)), "NoXtal", "Xtal")</f>
        <v>NoXtal</v>
      </c>
      <c r="AP136" s="3">
        <f t="shared" si="104"/>
        <v>1</v>
      </c>
      <c r="AQ136" s="3">
        <f t="shared" si="105"/>
        <v>1</v>
      </c>
      <c r="AR136" s="3">
        <f t="shared" si="106"/>
        <v>2</v>
      </c>
      <c r="AS136" s="3">
        <f t="shared" si="107"/>
        <v>1</v>
      </c>
      <c r="AT136" s="3">
        <f t="shared" si="108"/>
        <v>1</v>
      </c>
      <c r="AU136" s="3">
        <f t="shared" si="109"/>
        <v>1</v>
      </c>
      <c r="AV136" s="3">
        <f t="shared" si="110"/>
        <v>13</v>
      </c>
      <c r="AW136" s="3">
        <f t="shared" si="111"/>
        <v>5</v>
      </c>
      <c r="AX136" s="3">
        <f t="shared" si="112"/>
        <v>6</v>
      </c>
      <c r="AY136" s="3">
        <f t="shared" si="113"/>
        <v>5</v>
      </c>
      <c r="AZ136" s="3">
        <f t="shared" si="114"/>
        <v>1</v>
      </c>
      <c r="BA136" s="3">
        <f>IF(ISERROR(LEN(VLOOKUP(A136,Seqs!A:E,2,FALSE))-AL136),"-",LEN(VLOOKUP(A136,Seqs!A:E,2,FALSE))-AL136)</f>
        <v>36</v>
      </c>
      <c r="BB136" s="16">
        <f t="shared" si="115"/>
        <v>28</v>
      </c>
      <c r="BC136" s="9">
        <f t="shared" si="116"/>
        <v>20</v>
      </c>
      <c r="BD136" s="3">
        <f t="shared" si="117"/>
        <v>28</v>
      </c>
      <c r="BE136" s="3">
        <f t="shared" si="118"/>
        <v>45</v>
      </c>
    </row>
    <row r="137" spans="1:58" s="3" customFormat="1" x14ac:dyDescent="0.2">
      <c r="A137" s="3" t="s">
        <v>246</v>
      </c>
      <c r="B137" s="3" t="str">
        <f>LOWER(VLOOKUP(A137,Xtal_Templ!A:B,2,FALSE))</f>
        <v>drd2_human</v>
      </c>
      <c r="C137" s="3">
        <f>VLOOKUP($A137,'SegEnds_NonXtal_BW#'!$A:$Z,3,FALSE)+D137-50</f>
        <v>2</v>
      </c>
      <c r="D137" s="3">
        <v>23</v>
      </c>
      <c r="E137" s="3">
        <f>IF(ISERROR(VLOOKUP($A137,'SegEnds_NonXtal_BW#'!$A:$Z,4,FALSE)+VLOOKUP($A137,A:AL,4,FALSE)-50),"-",(VLOOKUP($A137,'SegEnds_NonXtal_BW#'!$A:$Z,4,FALSE)+VLOOKUP($A137,A:AL,4,FALSE)-50))</f>
        <v>33</v>
      </c>
      <c r="F137" s="3">
        <f t="shared" si="119"/>
        <v>34</v>
      </c>
      <c r="G137" s="3">
        <v>36</v>
      </c>
      <c r="H137" s="3">
        <f t="shared" si="120"/>
        <v>37</v>
      </c>
      <c r="I137" s="3">
        <f t="shared" si="120"/>
        <v>38</v>
      </c>
      <c r="J137" s="3">
        <v>52</v>
      </c>
      <c r="K137" s="3">
        <f>VLOOKUP($A137,'SegEnds_NonXtal_BW#'!$A:$Z,8,FALSE)+VLOOKUP($A137,A:AL,10,FALSE)-50</f>
        <v>70</v>
      </c>
      <c r="L137" s="3" t="str">
        <f>IF(ISERROR(VLOOKUP($A137,'SegEnds_NonXtal_BW#'!$A:$Z,9,FALSE)+VLOOKUP($A137,A:AL,13,FALSE)-50),"-",(VLOOKUP($A137,'SegEnds_NonXtal_BW#'!$A:$Z,9,FALSE)+VLOOKUP($A137,A:AL,13,FALSE)-50))</f>
        <v>-</v>
      </c>
      <c r="M137" s="3" t="s">
        <v>23</v>
      </c>
      <c r="N137" s="3" t="str">
        <f>IF(ISERROR(VLOOKUP($A137,'SegEnds_NonXtal_BW#'!$A:$Z,10,FALSE)+VLOOKUP($A137,A:AL,13,FALSE)-50),"-",(VLOOKUP($A137,'SegEnds_NonXtal_BW#'!$A:$Z,10,FALSE)+VLOOKUP($A137,A:AL,13,FALSE)-50))</f>
        <v>-</v>
      </c>
      <c r="O137" s="3">
        <f>VLOOKUP($A137,'SegEnds_NonXtal_BW#'!$A:$Z,11,FALSE)+VLOOKUP($A137,A:AL,16,FALSE)-50</f>
        <v>75</v>
      </c>
      <c r="P137" s="3">
        <v>104</v>
      </c>
      <c r="Q137" s="3">
        <f>VLOOKUP($A137,'SegEnds_NonXtal_BW#'!$A:$Z,12,FALSE)+VLOOKUP($A137,A:AL,16,FALSE)-50</f>
        <v>110</v>
      </c>
      <c r="R137" s="3">
        <f>IF(ISERROR(VLOOKUP($A137,'SegEnds_NonXtal_BW#'!$A:$Z,13,FALSE)+VLOOKUP($A137,A:AL,19,FALSE)-50),"-",VLOOKUP($A137,'SegEnds_NonXtal_BW#'!$A:$Z,13,FALSE)+VLOOKUP($A137,A:AL,19,FALSE)-50)</f>
        <v>111</v>
      </c>
      <c r="S137" s="3">
        <v>111</v>
      </c>
      <c r="T137" s="100">
        <f>IF(ISERROR(VLOOKUP($A137,'SegEnds_NonXtal_BW#'!$A:$Z,14,FALSE)+VLOOKUP($A137,A:AL,19,FALSE)-50),"-",(VLOOKUP($A137,'SegEnds_NonXtal_BW#'!$A:$Z,14,FALSE)+VLOOKUP($A137,A:AL,19,FALSE)-50))</f>
        <v>118</v>
      </c>
      <c r="U137" s="9">
        <f>IF(ISERROR(VLOOKUP($A137,'SegEnds_NonXtal_BW#'!$A:$Z,15,FALSE)+VLOOKUP($A137,A:AL,22,FALSE)-50),"-",VLOOKUP($A137,'SegEnds_NonXtal_BW#'!$A:$Z,15,FALSE)+VLOOKUP($A137,A:AL,22,FALSE)-50)</f>
        <v>119</v>
      </c>
      <c r="V137" s="3">
        <v>131</v>
      </c>
      <c r="W137" s="3">
        <f>IF(ISERROR(VLOOKUP($A137,'SegEnds_NonXtal_BW#'!$A:$Z,16,FALSE)+VLOOKUP($A137,A:AL,22,FALSE)-50),"-",(VLOOKUP($A137,'SegEnds_NonXtal_BW#'!$A:$Z,16,FALSE)+VLOOKUP($A137,A:AL,22,FALSE)-50))</f>
        <v>143</v>
      </c>
      <c r="X137" s="3">
        <f>IF(ISERROR(VLOOKUP($A137,'SegEnds_NonXtal_BW#'!$A:$Z,17,FALSE)+VLOOKUP($A137,A:AL,25,FALSE)-50),"-",(VLOOKUP($A137,'SegEnds_NonXtal_BW#'!$A:$Z,17,FALSE)+VLOOKUP($A137,A:AL,25,FALSE)-50))</f>
        <v>159</v>
      </c>
      <c r="Y137" s="3">
        <v>159</v>
      </c>
      <c r="Z137" s="3">
        <f>Y137+2</f>
        <v>161</v>
      </c>
      <c r="AA137" s="3">
        <f>IF(ISERROR(VLOOKUP($A137,'SegEnds_NonXtal_BW#'!$A:$Z,19,FALSE)+VLOOKUP($A137,A:AL,28,FALSE)-50),"-",(VLOOKUP($A137,'SegEnds_NonXtal_BW#'!$A:$Z,19,FALSE)+VLOOKUP($A137,A:AL,28,FALSE)-50))</f>
        <v>169</v>
      </c>
      <c r="AB137" s="3">
        <v>184</v>
      </c>
      <c r="AC137" s="3">
        <f>IF(ISERROR((VLOOKUP($A137,'SegEnds_NonXtal_BW#'!$A:$Z,20,FALSE)+VLOOKUP($A137,A:AL,28,FALSE)-50)),"-",(VLOOKUP($A137,'SegEnds_NonXtal_BW#'!$A:$Z,20,FALSE)+VLOOKUP($A137,A:AL,28,FALSE)-50))</f>
        <v>210</v>
      </c>
      <c r="AD137" s="3">
        <f>IF(ISERROR(VLOOKUP($A137,'SegEnds_NonXtal_BW#'!$A:$Z,21,FALSE)+VLOOKUP($A137,A:AL,31,FALSE)-50),"-",(VLOOKUP($A137,'SegEnds_NonXtal_BW#'!$A:$Z,21,FALSE)+VLOOKUP($A137,A:AL,31,FALSE)-50))</f>
        <v>230</v>
      </c>
      <c r="AE137" s="3">
        <v>256</v>
      </c>
      <c r="AF137" s="3">
        <f>IF(ISERROR((VLOOKUP($A137,'SegEnds_NonXtal_BW#'!$A:$Z,22,FALSE)+VLOOKUP($A137,A:AL,31,FALSE)-50)),"-",(VLOOKUP($A137,'SegEnds_NonXtal_BW#'!$A:$Z,22,FALSE)+VLOOKUP($A137,A:AL,31,FALSE)-50))</f>
        <v>267</v>
      </c>
      <c r="AG137" s="3">
        <f>IF(ISERROR(VLOOKUP($A137,'SegEnds_NonXtal_BW#'!$A:$Z,23,FALSE)+VLOOKUP($A137,A:AL,34,FALSE)-50),"-",(VLOOKUP($A137,'SegEnds_NonXtal_BW#'!$A:$Z,23,FALSE)+VLOOKUP($A137,A:AL,34,FALSE)-50))</f>
        <v>272</v>
      </c>
      <c r="AH137" s="3">
        <v>291</v>
      </c>
      <c r="AI137" s="3">
        <f>IF(ISERROR((VLOOKUP($A137,'SegEnds_NonXtal_BW#'!$A:$Z,24,FALSE)+VLOOKUP($A137,A:AL,34,FALSE)-50)),"-",(VLOOKUP($A137,'SegEnds_NonXtal_BW#'!$A:$Z,24,FALSE)+VLOOKUP($A137,A:AL,34,FALSE)-50))</f>
        <v>297</v>
      </c>
      <c r="AJ137" s="3">
        <f>IF(ISERROR(VLOOKUP($A137,'SegEnds_NonXtal_BW#'!$A:$Z,25,FALSE)+VLOOKUP($A137,A:AL,37,FALSE)-50),"-",(VLOOKUP($A137,'SegEnds_NonXtal_BW#'!$A:$Z,25,FALSE)+VLOOKUP($A137,A:AL,37,FALSE)-50))</f>
        <v>298</v>
      </c>
      <c r="AK137" s="3">
        <v>301</v>
      </c>
      <c r="AL137" s="3">
        <f>IF(ISERROR((VLOOKUP($A137,'SegEnds_NonXtal_BW#'!$A:$Z,26,FALSE)+VLOOKUP($A137,A:AL,37,FALSE)-50)),"-",(VLOOKUP($A137,'SegEnds_NonXtal_BW#'!$A:$Z,26,FALSE)+VLOOKUP($A137,A:AL,37,FALSE)-50))</f>
        <v>310</v>
      </c>
      <c r="AM137" s="28" t="str">
        <f>VLOOKUP(A137,Classification!A:B,2,FALSE)</f>
        <v>A</v>
      </c>
      <c r="AN137" s="28" t="b">
        <f t="shared" si="121"/>
        <v>1</v>
      </c>
      <c r="AO137" s="3" t="str">
        <f>IF(ISERROR(MATCH(A137,'SegEnds_Xtal_Prot#'!B:B, 0)), "NoXtal", "Xtal")</f>
        <v>NoXtal</v>
      </c>
      <c r="AP137" s="3">
        <f t="shared" si="104"/>
        <v>1</v>
      </c>
      <c r="AQ137" s="3">
        <f t="shared" si="105"/>
        <v>1</v>
      </c>
      <c r="AR137" s="3" t="str">
        <f t="shared" si="106"/>
        <v>-</v>
      </c>
      <c r="AS137" s="3" t="str">
        <f t="shared" si="107"/>
        <v>-</v>
      </c>
      <c r="AT137" s="3">
        <f t="shared" si="108"/>
        <v>1</v>
      </c>
      <c r="AU137" s="3">
        <f t="shared" si="109"/>
        <v>1</v>
      </c>
      <c r="AV137" s="3">
        <f t="shared" si="110"/>
        <v>16</v>
      </c>
      <c r="AW137" s="3">
        <f t="shared" si="111"/>
        <v>8</v>
      </c>
      <c r="AX137" s="3">
        <f t="shared" si="112"/>
        <v>20</v>
      </c>
      <c r="AY137" s="3">
        <f t="shared" si="113"/>
        <v>5</v>
      </c>
      <c r="AZ137" s="3">
        <f t="shared" si="114"/>
        <v>1</v>
      </c>
      <c r="BA137" s="3">
        <f>IF(ISERROR(LEN(VLOOKUP(A137,Seqs!A:E,2,FALSE))-AL137),"-",LEN(VLOOKUP(A137,Seqs!A:E,2,FALSE))-AL137)</f>
        <v>27</v>
      </c>
      <c r="BB137" s="16">
        <f t="shared" si="115"/>
        <v>29</v>
      </c>
      <c r="BC137" s="9">
        <f t="shared" si="116"/>
        <v>20</v>
      </c>
      <c r="BD137" s="3">
        <f t="shared" si="117"/>
        <v>29</v>
      </c>
      <c r="BE137" s="3">
        <f t="shared" si="118"/>
        <v>72</v>
      </c>
      <c r="BF137" s="3">
        <f>AH137-AE137</f>
        <v>35</v>
      </c>
    </row>
    <row r="138" spans="1:58" s="3" customFormat="1" x14ac:dyDescent="0.2">
      <c r="A138" s="3" t="s">
        <v>248</v>
      </c>
      <c r="B138" s="3" t="str">
        <f>LOWER(VLOOKUP(A138,Xtal_Templ!A:B,2,FALSE))</f>
        <v>mc4r_human</v>
      </c>
      <c r="C138" s="3">
        <f>VLOOKUP($A138,'SegEnds_NonXtal_BW#'!$A:$Z,3,FALSE)+D138-50</f>
        <v>43</v>
      </c>
      <c r="D138" s="3">
        <v>58</v>
      </c>
      <c r="E138" s="3">
        <f>IF(ISERROR(VLOOKUP($A138,'SegEnds_NonXtal_BW#'!$A:$Z,4,FALSE)+VLOOKUP($A138,A:AL,4,FALSE)-50),"-",(VLOOKUP($A138,'SegEnds_NonXtal_BW#'!$A:$Z,4,FALSE)+VLOOKUP($A138,A:AL,4,FALSE)-50))</f>
        <v>68</v>
      </c>
      <c r="F138" s="3">
        <f t="shared" si="119"/>
        <v>69</v>
      </c>
      <c r="G138" s="3">
        <v>71</v>
      </c>
      <c r="H138" s="3">
        <f t="shared" si="120"/>
        <v>72</v>
      </c>
      <c r="I138" s="3">
        <f t="shared" si="120"/>
        <v>73</v>
      </c>
      <c r="J138" s="3">
        <v>86</v>
      </c>
      <c r="K138" s="3">
        <f>VLOOKUP($A138,'SegEnds_NonXtal_BW#'!$A:$Z,8,FALSE)+VLOOKUP($A138,A:AL,10,FALSE)-50</f>
        <v>98</v>
      </c>
      <c r="L138" s="3">
        <f>M138-1</f>
        <v>100</v>
      </c>
      <c r="M138" s="3">
        <v>101</v>
      </c>
      <c r="N138" s="3">
        <f>M138+2</f>
        <v>103</v>
      </c>
      <c r="O138" s="3">
        <f>N138+1</f>
        <v>104</v>
      </c>
      <c r="P138" s="3">
        <v>134</v>
      </c>
      <c r="Q138" s="3">
        <f>VLOOKUP($A138,'SegEnds_NonXtal_BW#'!$A:$Z,12,FALSE)+VLOOKUP($A138,A:AL,16,FALSE)-50</f>
        <v>140</v>
      </c>
      <c r="R138" s="3">
        <f>S138</f>
        <v>141</v>
      </c>
      <c r="S138" s="3">
        <v>141</v>
      </c>
      <c r="T138" s="100">
        <f>S138+7</f>
        <v>148</v>
      </c>
      <c r="U138" s="9">
        <f>IF(ISERROR(VLOOKUP($A138,'SegEnds_NonXtal_BW#'!$A:$Z,15,FALSE)+VLOOKUP($A138,A:AL,22,FALSE)-50),"-",VLOOKUP($A138,'SegEnds_NonXtal_BW#'!$A:$Z,15,FALSE)+VLOOKUP($A138,A:AL,22,FALSE)-50)</f>
        <v>149</v>
      </c>
      <c r="V138" s="3">
        <v>161</v>
      </c>
      <c r="W138" s="3">
        <f>IF(ISERROR(VLOOKUP($A138,'SegEnds_NonXtal_BW#'!$A:$Z,16,FALSE)+VLOOKUP($A138,A:AL,22,FALSE)-50),"-",(VLOOKUP($A138,'SegEnds_NonXtal_BW#'!$A:$Z,16,FALSE)+VLOOKUP($A138,A:AL,22,FALSE)-50))</f>
        <v>175</v>
      </c>
      <c r="X138" s="3" t="str">
        <f>IF(ISERROR(VLOOKUP($A138,'SegEnds_NonXtal_BW#'!$A:$Z,17,FALSE)+VLOOKUP($A138,A:AL,25,FALSE)-50),"-",(VLOOKUP($A138,'SegEnds_NonXtal_BW#'!$A:$Z,17,FALSE)+VLOOKUP($A138,A:AL,25,FALSE)-50))</f>
        <v>-</v>
      </c>
      <c r="Y138" s="3" t="s">
        <v>23</v>
      </c>
      <c r="Z138" s="3" t="str">
        <f>IF(ISERROR(VLOOKUP($A138,'SegEnds_NonXtal_BW#'!$A:$Z,18,FALSE)+VLOOKUP($A138,A:AL,25,FALSE)-50),"-",(VLOOKUP($A138,'SegEnds_NonXtal_BW#'!$A:$Z,18,FALSE)+VLOOKUP($A138,A:AL,25,FALSE)-50))</f>
        <v>-</v>
      </c>
      <c r="AA138" s="3">
        <f>IF(ISERROR(VLOOKUP($A138,'SegEnds_NonXtal_BW#'!$A:$Z,19,FALSE)+VLOOKUP($A138,A:AL,28,FALSE)-50),"-",(VLOOKUP($A138,'SegEnds_NonXtal_BW#'!$A:$Z,19,FALSE)+VLOOKUP($A138,A:AL,28,FALSE)-50))</f>
        <v>191</v>
      </c>
      <c r="AB138" s="3">
        <v>205</v>
      </c>
      <c r="AC138" s="3">
        <f>IF(ISERROR((VLOOKUP($A138,'SegEnds_NonXtal_BW#'!$A:$Z,20,FALSE)+VLOOKUP($A138,A:AL,28,FALSE)-50)),"-",(VLOOKUP($A138,'SegEnds_NonXtal_BW#'!$A:$Z,20,FALSE)+VLOOKUP($A138,A:AL,28,FALSE)-50))</f>
        <v>228</v>
      </c>
      <c r="AD138" s="3">
        <f>IF(ISERROR(VLOOKUP($A138,'SegEnds_NonXtal_BW#'!$A:$Z,21,FALSE)+VLOOKUP($A138,A:AL,31,FALSE)-50),"-",(VLOOKUP($A138,'SegEnds_NonXtal_BW#'!$A:$Z,21,FALSE)+VLOOKUP($A138,A:AL,31,FALSE)-50))</f>
        <v>234</v>
      </c>
      <c r="AE138" s="3">
        <v>262</v>
      </c>
      <c r="AF138" s="3">
        <f>IF(ISERROR((VLOOKUP($A138,'SegEnds_NonXtal_BW#'!$A:$Z,22,FALSE)+VLOOKUP($A138,A:AL,31,FALSE)-50)),"-",(VLOOKUP($A138,'SegEnds_NonXtal_BW#'!$A:$Z,22,FALSE)+VLOOKUP($A138,A:AL,31,FALSE)-50))</f>
        <v>273</v>
      </c>
      <c r="AG138" s="3">
        <f>IF(ISERROR(VLOOKUP($A138,'SegEnds_NonXtal_BW#'!$A:$Z,23,FALSE)+VLOOKUP($A138,A:AL,34,FALSE)-50),"-",(VLOOKUP($A138,'SegEnds_NonXtal_BW#'!$A:$Z,23,FALSE)+VLOOKUP($A138,A:AL,34,FALSE)-50))</f>
        <v>278</v>
      </c>
      <c r="AH138" s="3">
        <v>294</v>
      </c>
      <c r="AI138" s="3">
        <f>IF(ISERROR((VLOOKUP($A138,'SegEnds_NonXtal_BW#'!$A:$Z,24,FALSE)+VLOOKUP($A138,A:AL,34,FALSE)-50)),"-",(VLOOKUP($A138,'SegEnds_NonXtal_BW#'!$A:$Z,24,FALSE)+VLOOKUP($A138,A:AL,34,FALSE)-50))</f>
        <v>300</v>
      </c>
      <c r="AJ138" s="3">
        <f>IF(ISERROR(VLOOKUP($A138,'SegEnds_NonXtal_BW#'!$A:$Z,25,FALSE)+VLOOKUP($A138,A:AL,37,FALSE)-50),"-",(VLOOKUP($A138,'SegEnds_NonXtal_BW#'!$A:$Z,25,FALSE)+VLOOKUP($A138,A:AL,37,FALSE)-50))</f>
        <v>301</v>
      </c>
      <c r="AK138" s="3">
        <v>304</v>
      </c>
      <c r="AL138" s="3">
        <f>IF(ISERROR((VLOOKUP($A138,'SegEnds_NonXtal_BW#'!$A:$Z,26,FALSE)+VLOOKUP($A138,A:AL,37,FALSE)-50)),"-",(VLOOKUP($A138,'SegEnds_NonXtal_BW#'!$A:$Z,26,FALSE)+VLOOKUP($A138,A:AL,37,FALSE)-50))</f>
        <v>315</v>
      </c>
      <c r="AM138" s="28" t="str">
        <f>VLOOKUP(A138,Classification!A:B,2,FALSE)</f>
        <v>A</v>
      </c>
      <c r="AN138" s="28" t="b">
        <f t="shared" si="121"/>
        <v>1</v>
      </c>
      <c r="AO138" s="3" t="str">
        <f>IF(ISERROR(MATCH(A138,'SegEnds_Xtal_Prot#'!B:B, 0)), "NoXtal", "Xtal")</f>
        <v>NoXtal</v>
      </c>
      <c r="AP138" s="3">
        <f t="shared" si="104"/>
        <v>1</v>
      </c>
      <c r="AQ138" s="3">
        <f t="shared" si="105"/>
        <v>1</v>
      </c>
      <c r="AR138" s="3">
        <f t="shared" si="106"/>
        <v>2</v>
      </c>
      <c r="AS138" s="3">
        <f t="shared" si="107"/>
        <v>1</v>
      </c>
      <c r="AT138" s="3">
        <f t="shared" si="108"/>
        <v>1</v>
      </c>
      <c r="AU138" s="3">
        <f t="shared" si="109"/>
        <v>1</v>
      </c>
      <c r="AV138" s="3" t="str">
        <f t="shared" si="110"/>
        <v>-</v>
      </c>
      <c r="AW138" s="3" t="str">
        <f t="shared" si="111"/>
        <v>-</v>
      </c>
      <c r="AX138" s="3">
        <f t="shared" si="112"/>
        <v>6</v>
      </c>
      <c r="AY138" s="3">
        <f t="shared" si="113"/>
        <v>5</v>
      </c>
      <c r="AZ138" s="3">
        <f t="shared" si="114"/>
        <v>1</v>
      </c>
      <c r="BA138" s="3">
        <f>IF(ISERROR(LEN(VLOOKUP(A138,Seqs!A:E,2,FALSE))-AL138),"-",LEN(VLOOKUP(A138,Seqs!A:E,2,FALSE))-AL138)</f>
        <v>15</v>
      </c>
      <c r="BB138" s="16">
        <f t="shared" si="115"/>
        <v>28</v>
      </c>
      <c r="BC138" s="9">
        <f t="shared" si="116"/>
        <v>20</v>
      </c>
      <c r="BD138" s="3">
        <f t="shared" si="117"/>
        <v>28</v>
      </c>
      <c r="BE138" s="3">
        <f t="shared" si="118"/>
        <v>57</v>
      </c>
      <c r="BF138" s="3">
        <f>AH138-AE138</f>
        <v>32</v>
      </c>
    </row>
    <row r="139" spans="1:58" s="3" customFormat="1" x14ac:dyDescent="0.2">
      <c r="A139" s="3" t="s">
        <v>249</v>
      </c>
      <c r="B139" s="3" t="str">
        <f>LOWER(VLOOKUP(A139,Xtal_Templ!A:B,2,FALSE))</f>
        <v>oprd_human</v>
      </c>
      <c r="C139" s="3">
        <f>VLOOKUP($A139,'SegEnds_NonXtal_BW#'!$A:$Z,3,FALSE)+D139-50</f>
        <v>4</v>
      </c>
      <c r="D139" s="3">
        <v>32</v>
      </c>
      <c r="E139" s="3">
        <f>IF(ISERROR(VLOOKUP($A139,'SegEnds_NonXtal_BW#'!$A:$Z,4,FALSE)+VLOOKUP($A139,A:AL,4,FALSE)-50),"-",(VLOOKUP($A139,'SegEnds_NonXtal_BW#'!$A:$Z,4,FALSE)+VLOOKUP($A139,A:AL,4,FALSE)-50))</f>
        <v>42</v>
      </c>
      <c r="F139" s="3">
        <f t="shared" si="119"/>
        <v>43</v>
      </c>
      <c r="G139" s="3">
        <v>45</v>
      </c>
      <c r="H139" s="3">
        <f t="shared" si="120"/>
        <v>46</v>
      </c>
      <c r="I139" s="3">
        <f t="shared" si="120"/>
        <v>47</v>
      </c>
      <c r="J139" s="3">
        <v>60</v>
      </c>
      <c r="K139" s="3">
        <f>VLOOKUP($A139,'SegEnds_NonXtal_BW#'!$A:$Z,8,FALSE)+VLOOKUP($A139,A:AL,10,FALSE)-50</f>
        <v>76</v>
      </c>
      <c r="L139" s="3">
        <f>M139-1</f>
        <v>79</v>
      </c>
      <c r="M139" s="3">
        <v>80</v>
      </c>
      <c r="N139" s="3">
        <f>M139+2</f>
        <v>82</v>
      </c>
      <c r="O139" s="3">
        <f>N139+1</f>
        <v>83</v>
      </c>
      <c r="P139" s="3">
        <v>112</v>
      </c>
      <c r="Q139" s="3">
        <f>VLOOKUP($A139,'SegEnds_NonXtal_BW#'!$A:$Z,12,FALSE)+VLOOKUP($A139,A:AL,16,FALSE)-50</f>
        <v>118</v>
      </c>
      <c r="R139" s="3">
        <f>IF(ISERROR(VLOOKUP($A139,'SegEnds_NonXtal_BW#'!$A:$Z,13,FALSE)+VLOOKUP($A139,A:AL,19,FALSE)-50),"-",VLOOKUP($A139,'SegEnds_NonXtal_BW#'!$A:$Z,13,FALSE)+VLOOKUP($A139,A:AL,19,FALSE)-50)</f>
        <v>119</v>
      </c>
      <c r="S139" s="3">
        <v>119</v>
      </c>
      <c r="T139" s="100">
        <f>IF(ISERROR(VLOOKUP($A139,'SegEnds_NonXtal_BW#'!$A:$Z,14,FALSE)+VLOOKUP($A139,A:AL,19,FALSE)-50),"-",(VLOOKUP($A139,'SegEnds_NonXtal_BW#'!$A:$Z,14,FALSE)+VLOOKUP($A139,A:AL,19,FALSE)-50))</f>
        <v>126</v>
      </c>
      <c r="U139" s="9">
        <f>IF(ISERROR(VLOOKUP($A139,'SegEnds_NonXtal_BW#'!$A:$Z,15,FALSE)+VLOOKUP($A139,A:AL,22,FALSE)-50),"-",VLOOKUP($A139,'SegEnds_NonXtal_BW#'!$A:$Z,15,FALSE)+VLOOKUP($A139,A:AL,22,FALSE)-50)</f>
        <v>127</v>
      </c>
      <c r="V139" s="3">
        <v>139</v>
      </c>
      <c r="W139" s="3">
        <f>IF(ISERROR(VLOOKUP($A139,'SegEnds_NonXtal_BW#'!$A:$Z,16,FALSE)+VLOOKUP($A139,A:AL,22,FALSE)-50),"-",(VLOOKUP($A139,'SegEnds_NonXtal_BW#'!$A:$Z,16,FALSE)+VLOOKUP($A139,A:AL,22,FALSE)-50))</f>
        <v>153</v>
      </c>
      <c r="X139" s="3">
        <f>IF(ISERROR(VLOOKUP($A139,'SegEnds_NonXtal_BW#'!$A:$Z,17,FALSE)+VLOOKUP($A139,A:AL,25,FALSE)-50),"-",(VLOOKUP($A139,'SegEnds_NonXtal_BW#'!$A:$Z,17,FALSE)+VLOOKUP($A139,A:AL,25,FALSE)-50))</f>
        <v>162</v>
      </c>
      <c r="Y139" s="3">
        <v>162</v>
      </c>
      <c r="Z139" s="3">
        <f t="shared" ref="Z139:Z149" si="122">Y139+2</f>
        <v>164</v>
      </c>
      <c r="AA139" s="3">
        <f>IF(ISERROR(VLOOKUP($A139,'SegEnds_NonXtal_BW#'!$A:$Z,19,FALSE)+VLOOKUP($A139,A:AL,28,FALSE)-50),"-",(VLOOKUP($A139,'SegEnds_NonXtal_BW#'!$A:$Z,19,FALSE)+VLOOKUP($A139,A:AL,28,FALSE)-50))</f>
        <v>170</v>
      </c>
      <c r="AB139" s="3">
        <v>189</v>
      </c>
      <c r="AC139" s="3">
        <f>IF(ISERROR((VLOOKUP($A139,'SegEnds_NonXtal_BW#'!$A:$Z,20,FALSE)+VLOOKUP($A139,A:AL,28,FALSE)-50)),"-",(VLOOKUP($A139,'SegEnds_NonXtal_BW#'!$A:$Z,20,FALSE)+VLOOKUP($A139,A:AL,28,FALSE)-50))</f>
        <v>207</v>
      </c>
      <c r="AD139" s="3">
        <f>IF(ISERROR(VLOOKUP($A139,'SegEnds_NonXtal_BW#'!$A:$Z,21,FALSE)+VLOOKUP($A139,A:AL,31,FALSE)-50),"-",(VLOOKUP($A139,'SegEnds_NonXtal_BW#'!$A:$Z,21,FALSE)+VLOOKUP($A139,A:AL,31,FALSE)-50))</f>
        <v>211</v>
      </c>
      <c r="AE139" s="3">
        <v>237</v>
      </c>
      <c r="AF139" s="3">
        <f>IF(ISERROR((VLOOKUP($A139,'SegEnds_NonXtal_BW#'!$A:$Z,22,FALSE)+VLOOKUP($A139,A:AL,31,FALSE)-50)),"-",(VLOOKUP($A139,'SegEnds_NonXtal_BW#'!$A:$Z,22,FALSE)+VLOOKUP($A139,A:AL,31,FALSE)-50))</f>
        <v>248</v>
      </c>
      <c r="AG139" s="3">
        <f>IF(ISERROR(VLOOKUP($A139,'SegEnds_NonXtal_BW#'!$A:$Z,23,FALSE)+VLOOKUP($A139,A:AL,34,FALSE)-50),"-",(VLOOKUP($A139,'SegEnds_NonXtal_BW#'!$A:$Z,23,FALSE)+VLOOKUP($A139,A:AL,34,FALSE)-50))</f>
        <v>257</v>
      </c>
      <c r="AH139" s="3">
        <v>279</v>
      </c>
      <c r="AI139" s="3">
        <f>IF(ISERROR((VLOOKUP($A139,'SegEnds_NonXtal_BW#'!$A:$Z,24,FALSE)+VLOOKUP($A139,A:AL,34,FALSE)-50)),"-",(VLOOKUP($A139,'SegEnds_NonXtal_BW#'!$A:$Z,24,FALSE)+VLOOKUP($A139,A:AL,34,FALSE)-50))</f>
        <v>285</v>
      </c>
      <c r="AJ139" s="3">
        <f>IF(ISERROR(VLOOKUP($A139,'SegEnds_NonXtal_BW#'!$A:$Z,25,FALSE)+VLOOKUP($A139,A:AL,37,FALSE)-50),"-",(VLOOKUP($A139,'SegEnds_NonXtal_BW#'!$A:$Z,25,FALSE)+VLOOKUP($A139,A:AL,37,FALSE)-50))</f>
        <v>286</v>
      </c>
      <c r="AK139" s="3">
        <v>289</v>
      </c>
      <c r="AL139" s="3">
        <f>IF(ISERROR((VLOOKUP($A139,'SegEnds_NonXtal_BW#'!$A:$Z,26,FALSE)+VLOOKUP($A139,A:AL,37,FALSE)-50)),"-",(VLOOKUP($A139,'SegEnds_NonXtal_BW#'!$A:$Z,26,FALSE)+VLOOKUP($A139,A:AL,37,FALSE)-50))</f>
        <v>299</v>
      </c>
      <c r="AM139" s="28" t="str">
        <f>VLOOKUP(A139,Classification!A:B,2,FALSE)</f>
        <v>A</v>
      </c>
      <c r="AN139" s="28" t="b">
        <f t="shared" si="121"/>
        <v>1</v>
      </c>
      <c r="AO139" s="3" t="str">
        <f>IF(ISERROR(MATCH(A139,'SegEnds_Xtal_Prot#'!B:B, 0)), "NoXtal", "Xtal")</f>
        <v>NoXtal</v>
      </c>
      <c r="AP139" s="3">
        <f t="shared" si="104"/>
        <v>1</v>
      </c>
      <c r="AQ139" s="3">
        <f t="shared" si="105"/>
        <v>1</v>
      </c>
      <c r="AR139" s="3">
        <f t="shared" si="106"/>
        <v>3</v>
      </c>
      <c r="AS139" s="3">
        <f t="shared" si="107"/>
        <v>1</v>
      </c>
      <c r="AT139" s="3">
        <f t="shared" si="108"/>
        <v>1</v>
      </c>
      <c r="AU139" s="3">
        <f t="shared" si="109"/>
        <v>1</v>
      </c>
      <c r="AV139" s="3">
        <f t="shared" si="110"/>
        <v>9</v>
      </c>
      <c r="AW139" s="3">
        <f t="shared" si="111"/>
        <v>6</v>
      </c>
      <c r="AX139" s="3">
        <f t="shared" si="112"/>
        <v>4</v>
      </c>
      <c r="AY139" s="3">
        <f t="shared" si="113"/>
        <v>9</v>
      </c>
      <c r="AZ139" s="3">
        <f t="shared" si="114"/>
        <v>1</v>
      </c>
      <c r="BA139" s="3">
        <f>IF(ISERROR(LEN(VLOOKUP(A139,Seqs!A:E,2,FALSE))-AL139),"-",LEN(VLOOKUP(A139,Seqs!A:E,2,FALSE))-AL139)</f>
        <v>20</v>
      </c>
      <c r="BB139" s="16">
        <f t="shared" si="115"/>
        <v>28</v>
      </c>
      <c r="BC139" s="9">
        <f t="shared" si="116"/>
        <v>20</v>
      </c>
      <c r="BD139" s="3">
        <f t="shared" si="117"/>
        <v>28</v>
      </c>
      <c r="BE139" s="3">
        <f t="shared" si="118"/>
        <v>48</v>
      </c>
      <c r="BF139" s="3">
        <f>AH139-AE139</f>
        <v>42</v>
      </c>
    </row>
    <row r="140" spans="1:58" s="3" customFormat="1" x14ac:dyDescent="0.2">
      <c r="A140" s="3" t="s">
        <v>250</v>
      </c>
      <c r="B140" s="3" t="str">
        <f>LOWER(VLOOKUP(A140,Xtal_Templ!A:B,2,FALSE))</f>
        <v>fpr2_human</v>
      </c>
      <c r="C140" s="3">
        <f>VLOOKUP($A140,'SegEnds_NonXtal_BW#'!$A:$Z,3,FALSE)+D140-50</f>
        <v>36</v>
      </c>
      <c r="D140" s="3">
        <v>61</v>
      </c>
      <c r="E140" s="3">
        <f>IF(ISERROR(VLOOKUP($A140,'SegEnds_NonXtal_BW#'!$A:$Z,4,FALSE)+VLOOKUP($A140,A:AL,4,FALSE)-50),"-",(VLOOKUP($A140,'SegEnds_NonXtal_BW#'!$A:$Z,4,FALSE)+VLOOKUP($A140,A:AL,4,FALSE)-50))</f>
        <v>72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75</v>
      </c>
      <c r="J140" s="3">
        <v>88</v>
      </c>
      <c r="K140" s="3">
        <f>VLOOKUP($A140,'SegEnds_NonXtal_BW#'!$A:$Z,8,FALSE)+VLOOKUP($A140,A:AL,10,FALSE)-50</f>
        <v>104</v>
      </c>
      <c r="L140" s="3">
        <f>M140-1</f>
        <v>106</v>
      </c>
      <c r="M140" s="3">
        <v>107</v>
      </c>
      <c r="N140" s="3">
        <f>M140+2</f>
        <v>109</v>
      </c>
      <c r="O140" s="3">
        <f>N140+1</f>
        <v>110</v>
      </c>
      <c r="P140" s="3">
        <v>139</v>
      </c>
      <c r="Q140" s="3">
        <f>VLOOKUP($A140,'SegEnds_NonXtal_BW#'!$A:$Z,12,FALSE)+VLOOKUP($A140,A:AL,16,FALSE)-50</f>
        <v>145</v>
      </c>
      <c r="R140" s="3">
        <f>IF(ISERROR(VLOOKUP($A140,'SegEnds_NonXtal_BW#'!$A:$Z,13,FALSE)+VLOOKUP($A140,A:AL,19,FALSE)-50),"-",VLOOKUP($A140,'SegEnds_NonXtal_BW#'!$A:$Z,13,FALSE)+VLOOKUP($A140,A:AL,19,FALSE)-50)</f>
        <v>146</v>
      </c>
      <c r="S140" s="3">
        <v>146</v>
      </c>
      <c r="T140" s="100">
        <f>IF(ISERROR(VLOOKUP($A140,'SegEnds_NonXtal_BW#'!$A:$Z,14,FALSE)+VLOOKUP($A140,A:AL,19,FALSE)-50),"-",(VLOOKUP($A140,'SegEnds_NonXtal_BW#'!$A:$Z,14,FALSE)+VLOOKUP($A140,A:AL,19,FALSE)-50))</f>
        <v>153</v>
      </c>
      <c r="U140" s="9">
        <f>IF(ISERROR(VLOOKUP($A140,'SegEnds_NonXtal_BW#'!$A:$Z,15,FALSE)+VLOOKUP($A140,A:AL,22,FALSE)-50),"-",VLOOKUP($A140,'SegEnds_NonXtal_BW#'!$A:$Z,15,FALSE)+VLOOKUP($A140,A:AL,22,FALSE)-50)</f>
        <v>154</v>
      </c>
      <c r="V140" s="3">
        <v>166</v>
      </c>
      <c r="W140" s="3">
        <f>IF(ISERROR(VLOOKUP($A140,'SegEnds_NonXtal_BW#'!$A:$Z,16,FALSE)+VLOOKUP($A140,A:AL,22,FALSE)-50),"-",(VLOOKUP($A140,'SegEnds_NonXtal_BW#'!$A:$Z,16,FALSE)+VLOOKUP($A140,A:AL,22,FALSE)-50))</f>
        <v>180</v>
      </c>
      <c r="X140" s="3">
        <f>IF(ISERROR(VLOOKUP($A140,'SegEnds_NonXtal_BW#'!$A:$Z,17,FALSE)+VLOOKUP($A140,A:AL,25,FALSE)-50),"-",(VLOOKUP($A140,'SegEnds_NonXtal_BW#'!$A:$Z,17,FALSE)+VLOOKUP($A140,A:AL,25,FALSE)-50))</f>
        <v>191</v>
      </c>
      <c r="Y140" s="3">
        <v>191</v>
      </c>
      <c r="Z140" s="3">
        <f t="shared" si="122"/>
        <v>193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228</v>
      </c>
      <c r="AC140" s="3">
        <f>IF(ISERROR((VLOOKUP($A140,'SegEnds_NonXtal_BW#'!$A:$Z,20,FALSE)+VLOOKUP($A140,A:AL,28,FALSE)-50)),"-",(VLOOKUP($A140,'SegEnds_NonXtal_BW#'!$A:$Z,20,FALSE)+VLOOKUP($A140,A:AL,28,FALSE)-50))</f>
        <v>246</v>
      </c>
      <c r="AD140" s="3">
        <f>IF(ISERROR(VLOOKUP($A140,'SegEnds_NonXtal_BW#'!$A:$Z,21,FALSE)+VLOOKUP($A140,A:AL,31,FALSE)-50),"-",(VLOOKUP($A140,'SegEnds_NonXtal_BW#'!$A:$Z,21,FALSE)+VLOOKUP($A140,A:AL,31,FALSE)-50))</f>
        <v>251</v>
      </c>
      <c r="AE140" s="3">
        <v>271</v>
      </c>
      <c r="AF140" s="3">
        <f>IF(ISERROR((VLOOKUP($A140,'SegEnds_NonXtal_BW#'!$A:$Z,22,FALSE)+VLOOKUP($A140,A:AL,31,FALSE)-50)),"-",(VLOOKUP($A140,'SegEnds_NonXtal_BW#'!$A:$Z,22,FALSE)+VLOOKUP($A140,A:AL,31,FALSE)-50))</f>
        <v>282</v>
      </c>
      <c r="AG140" s="3">
        <f>IF(ISERROR(VLOOKUP($A140,'SegEnds_NonXtal_BW#'!$A:$Z,23,FALSE)+VLOOKUP($A140,A:AL,34,FALSE)-50),"-",(VLOOKUP($A140,'SegEnds_NonXtal_BW#'!$A:$Z,23,FALSE)+VLOOKUP($A140,A:AL,34,FALSE)-50))</f>
        <v>291</v>
      </c>
      <c r="AH140" s="3">
        <v>313</v>
      </c>
      <c r="AI140" s="3">
        <f>IF(ISERROR((VLOOKUP($A140,'SegEnds_NonXtal_BW#'!$A:$Z,24,FALSE)+VLOOKUP($A140,A:AL,34,FALSE)-50)),"-",(VLOOKUP($A140,'SegEnds_NonXtal_BW#'!$A:$Z,24,FALSE)+VLOOKUP($A140,A:AL,34,FALSE)-50))</f>
        <v>319</v>
      </c>
      <c r="AJ140" s="3">
        <f>IF(ISERROR(VLOOKUP($A140,'SegEnds_NonXtal_BW#'!$A:$Z,25,FALSE)+VLOOKUP($A140,A:AL,37,FALSE)-50),"-",(VLOOKUP($A140,'SegEnds_NonXtal_BW#'!$A:$Z,25,FALSE)+VLOOKUP($A140,A:AL,37,FALSE)-50))</f>
        <v>320</v>
      </c>
      <c r="AK140" s="3">
        <v>323</v>
      </c>
      <c r="AL140" s="3">
        <f>IF(ISERROR((VLOOKUP($A140,'SegEnds_NonXtal_BW#'!$A:$Z,26,FALSE)+VLOOKUP($A140,A:AL,37,FALSE)-50)),"-",(VLOOKUP($A140,'SegEnds_NonXtal_BW#'!$A:$Z,26,FALSE)+VLOOKUP($A140,A:AL,37,FALSE)-50))</f>
        <v>331</v>
      </c>
      <c r="AM140" s="28" t="str">
        <f>VLOOKUP(A140,Classification!A:B,2,FALSE)</f>
        <v>A</v>
      </c>
      <c r="AN140" s="28" t="b">
        <f t="shared" si="121"/>
        <v>1</v>
      </c>
      <c r="AO140" s="3" t="str">
        <f>IF(ISERROR(MATCH(A140,'SegEnds_Xtal_Prot#'!B:B, 0)), "NoXtal", "Xtal")</f>
        <v>NoXtal</v>
      </c>
      <c r="AP140" s="3" t="str">
        <f t="shared" si="104"/>
        <v>-</v>
      </c>
      <c r="AQ140" s="3" t="str">
        <f t="shared" si="105"/>
        <v>-</v>
      </c>
      <c r="AR140" s="3">
        <f t="shared" si="106"/>
        <v>2</v>
      </c>
      <c r="AS140" s="3">
        <f t="shared" si="107"/>
        <v>1</v>
      </c>
      <c r="AT140" s="3">
        <f t="shared" si="108"/>
        <v>1</v>
      </c>
      <c r="AU140" s="3">
        <f t="shared" si="109"/>
        <v>1</v>
      </c>
      <c r="AV140" s="3">
        <f t="shared" si="110"/>
        <v>11</v>
      </c>
      <c r="AW140" s="3">
        <f t="shared" si="111"/>
        <v>8</v>
      </c>
      <c r="AX140" s="3">
        <f t="shared" si="112"/>
        <v>5</v>
      </c>
      <c r="AY140" s="3">
        <f t="shared" si="113"/>
        <v>9</v>
      </c>
      <c r="AZ140" s="3">
        <f t="shared" si="114"/>
        <v>1</v>
      </c>
      <c r="BA140" s="3">
        <f>IF(ISERROR(LEN(VLOOKUP(A140,Seqs!A:E,2,FALSE))-AL140),"-",LEN(VLOOKUP(A140,Seqs!A:E,2,FALSE))-AL140)</f>
        <v>25</v>
      </c>
      <c r="BB140" s="16">
        <f t="shared" si="115"/>
        <v>27</v>
      </c>
      <c r="BC140" s="9">
        <f t="shared" si="116"/>
        <v>20</v>
      </c>
      <c r="BD140" s="3">
        <f t="shared" si="117"/>
        <v>27</v>
      </c>
      <c r="BE140" s="3">
        <f t="shared" si="118"/>
        <v>43</v>
      </c>
      <c r="BF140" s="3">
        <f>AH140-AE140</f>
        <v>42</v>
      </c>
    </row>
    <row r="141" spans="1:58" s="3" customFormat="1" x14ac:dyDescent="0.2">
      <c r="A141" s="3" t="s">
        <v>251</v>
      </c>
      <c r="B141" s="3" t="str">
        <f>LOWER(VLOOKUP(A141,Xtal_Templ!A:B,2,FALSE))</f>
        <v>fpr2_human</v>
      </c>
      <c r="C141" s="3">
        <f>VLOOKUP($A141,'SegEnds_NonXtal_BW#'!$A:$Z,3,FALSE)+D141-50</f>
        <v>22</v>
      </c>
      <c r="D141" s="3">
        <v>47</v>
      </c>
      <c r="E141" s="3">
        <f>IF(ISERROR(VLOOKUP($A141,'SegEnds_NonXtal_BW#'!$A:$Z,4,FALSE)+VLOOKUP($A141,A:AL,4,FALSE)-50),"-",(VLOOKUP($A141,'SegEnds_NonXtal_BW#'!$A:$Z,4,FALSE)+VLOOKUP($A141,A:AL,4,FALSE)-50))</f>
        <v>58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61</v>
      </c>
      <c r="J141" s="3">
        <v>74</v>
      </c>
      <c r="K141" s="3">
        <f>VLOOKUP($A141,'SegEnds_NonXtal_BW#'!$A:$Z,8,FALSE)+VLOOKUP($A141,A:AL,10,FALSE)-50</f>
        <v>91</v>
      </c>
      <c r="L141" s="3">
        <f>M141-1</f>
        <v>93</v>
      </c>
      <c r="M141" s="3">
        <v>94</v>
      </c>
      <c r="N141" s="3">
        <f>M141+2</f>
        <v>96</v>
      </c>
      <c r="O141" s="3">
        <f>N141+1</f>
        <v>97</v>
      </c>
      <c r="P141" s="3">
        <v>126</v>
      </c>
      <c r="Q141" s="3">
        <f>VLOOKUP($A141,'SegEnds_NonXtal_BW#'!$A:$Z,12,FALSE)+VLOOKUP($A141,A:AL,16,FALSE)-50</f>
        <v>132</v>
      </c>
      <c r="R141" s="3">
        <f>IF(ISERROR(VLOOKUP($A141,'SegEnds_NonXtal_BW#'!$A:$Z,13,FALSE)+VLOOKUP($A141,A:AL,19,FALSE)-50),"-",VLOOKUP($A141,'SegEnds_NonXtal_BW#'!$A:$Z,13,FALSE)+VLOOKUP($A141,A:AL,19,FALSE)-50)</f>
        <v>133</v>
      </c>
      <c r="S141" s="3">
        <v>133</v>
      </c>
      <c r="T141" s="100">
        <f>IF(ISERROR(VLOOKUP($A141,'SegEnds_NonXtal_BW#'!$A:$Z,14,FALSE)+VLOOKUP($A141,A:AL,19,FALSE)-50),"-",(VLOOKUP($A141,'SegEnds_NonXtal_BW#'!$A:$Z,14,FALSE)+VLOOKUP($A141,A:AL,19,FALSE)-50))</f>
        <v>140</v>
      </c>
      <c r="U141" s="9">
        <f>IF(ISERROR(VLOOKUP($A141,'SegEnds_NonXtal_BW#'!$A:$Z,15,FALSE)+VLOOKUP($A141,A:AL,22,FALSE)-50),"-",VLOOKUP($A141,'SegEnds_NonXtal_BW#'!$A:$Z,15,FALSE)+VLOOKUP($A141,A:AL,22,FALSE)-50)</f>
        <v>141</v>
      </c>
      <c r="V141" s="3">
        <v>153</v>
      </c>
      <c r="W141" s="3">
        <f>IF(ISERROR(VLOOKUP($A141,'SegEnds_NonXtal_BW#'!$A:$Z,16,FALSE)+VLOOKUP($A141,A:AL,22,FALSE)-50),"-",(VLOOKUP($A141,'SegEnds_NonXtal_BW#'!$A:$Z,16,FALSE)+VLOOKUP($A141,A:AL,22,FALSE)-50))</f>
        <v>167</v>
      </c>
      <c r="X141" s="3">
        <f>IF(ISERROR(VLOOKUP($A141,'SegEnds_NonXtal_BW#'!$A:$Z,17,FALSE)+VLOOKUP($A141,A:AL,25,FALSE)-50),"-",(VLOOKUP($A141,'SegEnds_NonXtal_BW#'!$A:$Z,17,FALSE)+VLOOKUP($A141,A:AL,25,FALSE)-50))</f>
        <v>179</v>
      </c>
      <c r="Y141" s="3">
        <v>179</v>
      </c>
      <c r="Z141" s="3">
        <f t="shared" si="122"/>
        <v>181</v>
      </c>
      <c r="AA141" s="3">
        <f>IF(ISERROR(VLOOKUP($A141,'SegEnds_NonXtal_BW#'!$A:$Z,19,FALSE)+VLOOKUP($A141,A:AL,28,FALSE)-50),"-",(VLOOKUP($A141,'SegEnds_NonXtal_BW#'!$A:$Z,19,FALSE)+VLOOKUP($A141,A:AL,28,FALSE)-50))</f>
        <v>190</v>
      </c>
      <c r="AB141" s="3">
        <v>217</v>
      </c>
      <c r="AC141" s="3">
        <f>IF(ISERROR((VLOOKUP($A141,'SegEnds_NonXtal_BW#'!$A:$Z,20,FALSE)+VLOOKUP($A141,A:AL,28,FALSE)-50)),"-",(VLOOKUP($A141,'SegEnds_NonXtal_BW#'!$A:$Z,20,FALSE)+VLOOKUP($A141,A:AL,28,FALSE)-50))</f>
        <v>235</v>
      </c>
      <c r="AD141" s="3">
        <f>IF(ISERROR(VLOOKUP($A141,'SegEnds_NonXtal_BW#'!$A:$Z,21,FALSE)+VLOOKUP($A141,A:AL,31,FALSE)-50),"-",(VLOOKUP($A141,'SegEnds_NonXtal_BW#'!$A:$Z,21,FALSE)+VLOOKUP($A141,A:AL,31,FALSE)-50))</f>
        <v>240</v>
      </c>
      <c r="AE141" s="3">
        <v>260</v>
      </c>
      <c r="AF141" s="3">
        <f>IF(ISERROR((VLOOKUP($A141,'SegEnds_NonXtal_BW#'!$A:$Z,22,FALSE)+VLOOKUP($A141,A:AL,31,FALSE)-50)),"-",(VLOOKUP($A141,'SegEnds_NonXtal_BW#'!$A:$Z,22,FALSE)+VLOOKUP($A141,A:AL,31,FALSE)-50))</f>
        <v>271</v>
      </c>
      <c r="AG141" s="3">
        <f>IF(ISERROR(VLOOKUP($A141,'SegEnds_NonXtal_BW#'!$A:$Z,23,FALSE)+VLOOKUP($A141,A:AL,34,FALSE)-50),"-",(VLOOKUP($A141,'SegEnds_NonXtal_BW#'!$A:$Z,23,FALSE)+VLOOKUP($A141,A:AL,34,FALSE)-50))</f>
        <v>277</v>
      </c>
      <c r="AH141" s="3">
        <v>296</v>
      </c>
      <c r="AI141" s="3">
        <f>IF(ISERROR((VLOOKUP($A141,'SegEnds_NonXtal_BW#'!$A:$Z,24,FALSE)+VLOOKUP($A141,A:AL,34,FALSE)-50)),"-",(VLOOKUP($A141,'SegEnds_NonXtal_BW#'!$A:$Z,24,FALSE)+VLOOKUP($A141,A:AL,34,FALSE)-50))</f>
        <v>302</v>
      </c>
      <c r="AJ141" s="3">
        <f>IF(ISERROR(VLOOKUP($A141,'SegEnds_NonXtal_BW#'!$A:$Z,25,FALSE)+VLOOKUP($A141,A:AL,37,FALSE)-50),"-",(VLOOKUP($A141,'SegEnds_NonXtal_BW#'!$A:$Z,25,FALSE)+VLOOKUP($A141,A:AL,37,FALSE)-50))</f>
        <v>303</v>
      </c>
      <c r="AK141" s="3">
        <v>306</v>
      </c>
      <c r="AL141" s="3">
        <f>IF(ISERROR((VLOOKUP($A141,'SegEnds_NonXtal_BW#'!$A:$Z,26,FALSE)+VLOOKUP($A141,A:AL,37,FALSE)-50)),"-",(VLOOKUP($A141,'SegEnds_NonXtal_BW#'!$A:$Z,26,FALSE)+VLOOKUP($A141,A:AL,37,FALSE)-50))</f>
        <v>314</v>
      </c>
      <c r="AM141" s="28" t="str">
        <f>VLOOKUP(A141,Classification!A:B,2,FALSE)</f>
        <v>A</v>
      </c>
      <c r="AN141" s="28" t="b">
        <f t="shared" si="121"/>
        <v>1</v>
      </c>
      <c r="AO141" s="3" t="str">
        <f>IF(ISERROR(MATCH(A141,'SegEnds_Xtal_Prot#'!B:B, 0)), "NoXtal", "Xtal")</f>
        <v>NoXtal</v>
      </c>
      <c r="AP141" s="3" t="str">
        <f t="shared" si="104"/>
        <v>-</v>
      </c>
      <c r="AQ141" s="3" t="str">
        <f t="shared" si="105"/>
        <v>-</v>
      </c>
      <c r="AR141" s="3">
        <f t="shared" si="106"/>
        <v>2</v>
      </c>
      <c r="AS141" s="3">
        <f t="shared" si="107"/>
        <v>1</v>
      </c>
      <c r="AT141" s="3">
        <f t="shared" si="108"/>
        <v>1</v>
      </c>
      <c r="AU141" s="3">
        <f t="shared" si="109"/>
        <v>1</v>
      </c>
      <c r="AV141" s="3">
        <f t="shared" si="110"/>
        <v>12</v>
      </c>
      <c r="AW141" s="3">
        <f t="shared" si="111"/>
        <v>9</v>
      </c>
      <c r="AX141" s="3">
        <f t="shared" si="112"/>
        <v>5</v>
      </c>
      <c r="AY141" s="3">
        <f t="shared" si="113"/>
        <v>6</v>
      </c>
      <c r="AZ141" s="3">
        <f t="shared" si="114"/>
        <v>1</v>
      </c>
      <c r="BA141" s="3">
        <f>IF(ISERROR(LEN(VLOOKUP(A141,Seqs!A:E,2,FALSE))-AL141),"-",LEN(VLOOKUP(A141,Seqs!A:E,2,FALSE))-AL141)</f>
        <v>19</v>
      </c>
      <c r="BB141" s="16">
        <f t="shared" si="115"/>
        <v>27</v>
      </c>
      <c r="BC141" s="9">
        <f t="shared" si="116"/>
        <v>20</v>
      </c>
      <c r="BD141" s="3">
        <f t="shared" si="117"/>
        <v>27</v>
      </c>
      <c r="BE141" s="3">
        <f t="shared" si="118"/>
        <v>43</v>
      </c>
      <c r="BF141" s="3">
        <f>AH141-AE141</f>
        <v>36</v>
      </c>
    </row>
    <row r="142" spans="1:58" s="3" customFormat="1" x14ac:dyDescent="0.2">
      <c r="A142" s="3" t="s">
        <v>252</v>
      </c>
      <c r="B142" s="3" t="str">
        <f>LOWER(VLOOKUP(A142,Xtal_Templ!A:B,2,FALSE))</f>
        <v>cltr2_human</v>
      </c>
      <c r="C142" s="3">
        <f>VLOOKUP($A142,'SegEnds_NonXtal_BW#'!$A:$Z,3,FALSE)+D142-50</f>
        <v>47</v>
      </c>
      <c r="D142" s="3">
        <v>72</v>
      </c>
      <c r="E142" s="3">
        <f>IF(ISERROR(VLOOKUP($A142,'SegEnds_NonXtal_BW#'!$A:$Z,4,FALSE)+VLOOKUP($A142,A:AL,4,FALSE)-50),"-",(VLOOKUP($A142,'SegEnds_NonXtal_BW#'!$A:$Z,4,FALSE)+VLOOKUP($A142,A:AL,4,FALSE)-50))</f>
        <v>82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87</v>
      </c>
      <c r="J142" s="3">
        <v>100</v>
      </c>
      <c r="K142" s="3">
        <f>VLOOKUP($A142,'SegEnds_NonXtal_BW#'!$A:$Z,8,FALSE)+VLOOKUP($A142,A:AL,10,FALSE)-50</f>
        <v>117</v>
      </c>
      <c r="L142" s="3">
        <f>M142-1</f>
        <v>119</v>
      </c>
      <c r="M142" s="3">
        <v>120</v>
      </c>
      <c r="N142" s="3">
        <f>M142+2</f>
        <v>122</v>
      </c>
      <c r="O142" s="3">
        <f>N142+1</f>
        <v>123</v>
      </c>
      <c r="P142" s="3">
        <v>152</v>
      </c>
      <c r="Q142" s="3">
        <f>VLOOKUP($A142,'SegEnds_NonXtal_BW#'!$A:$Z,12,FALSE)+VLOOKUP($A142,A:AL,16,FALSE)-50</f>
        <v>158</v>
      </c>
      <c r="R142" s="3">
        <f>IF(ISERROR(VLOOKUP($A142,'SegEnds_NonXtal_BW#'!$A:$Z,13,FALSE)+VLOOKUP($A142,A:AL,19,FALSE)-50),"-",VLOOKUP($A142,'SegEnds_NonXtal_BW#'!$A:$Z,13,FALSE)+VLOOKUP($A142,A:AL,19,FALSE)-50)</f>
        <v>159</v>
      </c>
      <c r="S142" s="3">
        <v>159</v>
      </c>
      <c r="T142" s="100">
        <f>IF(ISERROR(VLOOKUP($A142,'SegEnds_NonXtal_BW#'!$A:$Z,14,FALSE)+VLOOKUP($A142,A:AL,19,FALSE)-50),"-",(VLOOKUP($A142,'SegEnds_NonXtal_BW#'!$A:$Z,14,FALSE)+VLOOKUP($A142,A:AL,19,FALSE)-50))</f>
        <v>166</v>
      </c>
      <c r="U142" s="9">
        <f>IF(ISERROR(VLOOKUP($A142,'SegEnds_NonXtal_BW#'!$A:$Z,15,FALSE)+VLOOKUP($A142,A:AL,22,FALSE)-50),"-",VLOOKUP($A142,'SegEnds_NonXtal_BW#'!$A:$Z,15,FALSE)+VLOOKUP($A142,A:AL,22,FALSE)-50)</f>
        <v>167</v>
      </c>
      <c r="V142" s="3">
        <v>179</v>
      </c>
      <c r="W142" s="3">
        <f>IF(ISERROR(VLOOKUP($A142,'SegEnds_NonXtal_BW#'!$A:$Z,16,FALSE)+VLOOKUP($A142,A:AL,22,FALSE)-50),"-",(VLOOKUP($A142,'SegEnds_NonXtal_BW#'!$A:$Z,16,FALSE)+VLOOKUP($A142,A:AL,22,FALSE)-50))</f>
        <v>192</v>
      </c>
      <c r="X142" s="3">
        <f>IF(ISERROR(VLOOKUP($A142,'SegEnds_NonXtal_BW#'!$A:$Z,17,FALSE)+VLOOKUP($A142,A:AL,25,FALSE)-50),"-",(VLOOKUP($A142,'SegEnds_NonXtal_BW#'!$A:$Z,17,FALSE)+VLOOKUP($A142,A:AL,25,FALSE)-50))</f>
        <v>204</v>
      </c>
      <c r="Y142" s="3">
        <v>204</v>
      </c>
      <c r="Z142" s="3">
        <f t="shared" si="122"/>
        <v>206</v>
      </c>
      <c r="AA142" s="3">
        <f>IF(ISERROR(VLOOKUP($A142,'SegEnds_NonXtal_BW#'!$A:$Z,19,FALSE)+VLOOKUP($A142,A:AL,28,FALSE)-50),"-",(VLOOKUP($A142,'SegEnds_NonXtal_BW#'!$A:$Z,19,FALSE)+VLOOKUP($A142,A:AL,28,FALSE)-50))</f>
        <v>212</v>
      </c>
      <c r="AB142" s="3">
        <v>230</v>
      </c>
      <c r="AC142" s="3">
        <f>IF(ISERROR((VLOOKUP($A142,'SegEnds_NonXtal_BW#'!$A:$Z,20,FALSE)+VLOOKUP($A142,A:AL,28,FALSE)-50)),"-",(VLOOKUP($A142,'SegEnds_NonXtal_BW#'!$A:$Z,20,FALSE)+VLOOKUP($A142,A:AL,28,FALSE)-50))</f>
        <v>248</v>
      </c>
      <c r="AD142" s="3">
        <f>IF(ISERROR(VLOOKUP($A142,'SegEnds_NonXtal_BW#'!$A:$Z,21,FALSE)+VLOOKUP($A142,A:AL,31,FALSE)-50),"-",(VLOOKUP($A142,'SegEnds_NonXtal_BW#'!$A:$Z,21,FALSE)+VLOOKUP($A142,A:AL,31,FALSE)-50))</f>
        <v>254</v>
      </c>
      <c r="AE142" s="3">
        <v>281</v>
      </c>
      <c r="AF142" s="3">
        <f>IF(ISERROR((VLOOKUP($A142,'SegEnds_NonXtal_BW#'!$A:$Z,22,FALSE)+VLOOKUP($A142,A:AL,31,FALSE)-50)),"-",(VLOOKUP($A142,'SegEnds_NonXtal_BW#'!$A:$Z,22,FALSE)+VLOOKUP($A142,A:AL,31,FALSE)-50))</f>
        <v>292</v>
      </c>
      <c r="AG142" s="3">
        <f>IF(ISERROR(VLOOKUP($A142,'SegEnds_NonXtal_BW#'!$A:$Z,23,FALSE)+VLOOKUP($A142,A:AL,34,FALSE)-50),"-",(VLOOKUP($A142,'SegEnds_NonXtal_BW#'!$A:$Z,23,FALSE)+VLOOKUP($A142,A:AL,34,FALSE)-50))</f>
        <v>298</v>
      </c>
      <c r="AH142" s="3">
        <v>324</v>
      </c>
      <c r="AI142" s="3">
        <f>IF(ISERROR((VLOOKUP($A142,'SegEnds_NonXtal_BW#'!$A:$Z,24,FALSE)+VLOOKUP($A142,A:AL,34,FALSE)-50)),"-",(VLOOKUP($A142,'SegEnds_NonXtal_BW#'!$A:$Z,24,FALSE)+VLOOKUP($A142,A:AL,34,FALSE)-50))</f>
        <v>330</v>
      </c>
      <c r="AJ142" s="3">
        <f>IF(ISERROR(VLOOKUP($A142,'SegEnds_NonXtal_BW#'!$A:$Z,25,FALSE)+VLOOKUP($A142,A:AL,37,FALSE)-50),"-",(VLOOKUP($A142,'SegEnds_NonXtal_BW#'!$A:$Z,25,FALSE)+VLOOKUP($A142,A:AL,37,FALSE)-50))</f>
        <v>331</v>
      </c>
      <c r="AK142" s="3">
        <v>334</v>
      </c>
      <c r="AL142" s="3">
        <f>IF(ISERROR((VLOOKUP($A142,'SegEnds_NonXtal_BW#'!$A:$Z,26,FALSE)+VLOOKUP($A142,A:AL,37,FALSE)-50)),"-",(VLOOKUP($A142,'SegEnds_NonXtal_BW#'!$A:$Z,26,FALSE)+VLOOKUP($A142,A:AL,37,FALSE)-50))</f>
        <v>344</v>
      </c>
      <c r="AM142" s="28" t="str">
        <f>VLOOKUP(A142,Classification!A:B,2,FALSE)</f>
        <v>A</v>
      </c>
      <c r="AN142" s="28" t="b">
        <f t="shared" si="121"/>
        <v>1</v>
      </c>
      <c r="AO142" s="3" t="str">
        <f>IF(ISERROR(MATCH(A142,'SegEnds_Xtal_Prot#'!B:B, 0)), "NoXtal", "Xtal")</f>
        <v>NoXtal</v>
      </c>
      <c r="AP142" s="3" t="str">
        <f t="shared" si="104"/>
        <v>-</v>
      </c>
      <c r="AQ142" s="3" t="str">
        <f t="shared" si="105"/>
        <v>-</v>
      </c>
      <c r="AR142" s="3">
        <f t="shared" si="106"/>
        <v>2</v>
      </c>
      <c r="AS142" s="3">
        <f t="shared" si="107"/>
        <v>1</v>
      </c>
      <c r="AT142" s="3">
        <f t="shared" si="108"/>
        <v>1</v>
      </c>
      <c r="AU142" s="3">
        <f t="shared" si="109"/>
        <v>1</v>
      </c>
      <c r="AV142" s="3">
        <f t="shared" si="110"/>
        <v>12</v>
      </c>
      <c r="AW142" s="3">
        <f t="shared" si="111"/>
        <v>6</v>
      </c>
      <c r="AX142" s="3">
        <f t="shared" si="112"/>
        <v>6</v>
      </c>
      <c r="AY142" s="3">
        <f t="shared" si="113"/>
        <v>6</v>
      </c>
      <c r="AZ142" s="3">
        <f t="shared" si="114"/>
        <v>1</v>
      </c>
      <c r="BA142" s="3">
        <f>IF(ISERROR(LEN(VLOOKUP(A142,Seqs!A:E,2,FALSE))-AL142),"-",LEN(VLOOKUP(A142,Seqs!A:E,2,FALSE))-AL142)</f>
        <v>37</v>
      </c>
      <c r="BB142" s="16">
        <f t="shared" si="115"/>
        <v>28</v>
      </c>
      <c r="BC142" s="9">
        <f t="shared" si="116"/>
        <v>20</v>
      </c>
      <c r="BD142" s="3">
        <f t="shared" si="117"/>
        <v>28</v>
      </c>
      <c r="BE142" s="3">
        <f t="shared" si="118"/>
        <v>51</v>
      </c>
    </row>
    <row r="143" spans="1:58" s="3" customFormat="1" x14ac:dyDescent="0.2">
      <c r="A143" s="3" t="s">
        <v>253</v>
      </c>
      <c r="B143" s="3" t="str">
        <f>LOWER(VLOOKUP(A143,Xtal_Templ!A:B,2,FALSE))</f>
        <v>ccr6_human</v>
      </c>
      <c r="C143" s="3">
        <f>VLOOKUP($A143,'SegEnds_NonXtal_BW#'!$A:$Z,3,FALSE)+D143-50</f>
        <v>13</v>
      </c>
      <c r="D143" s="3">
        <v>38</v>
      </c>
      <c r="E143" s="3">
        <f>IF(ISERROR(VLOOKUP($A143,'SegEnds_NonXtal_BW#'!$A:$Z,4,FALSE)+VLOOKUP($A143,A:AL,4,FALSE)-50),"-",(VLOOKUP($A143,'SegEnds_NonXtal_BW#'!$A:$Z,4,FALSE)+VLOOKUP($A143,A:AL,4,FALSE)-50))</f>
        <v>48</v>
      </c>
      <c r="F143" s="3">
        <f>G143-2</f>
        <v>49</v>
      </c>
      <c r="G143" s="3">
        <v>51</v>
      </c>
      <c r="H143" s="3">
        <f>G143+1</f>
        <v>52</v>
      </c>
      <c r="I143" s="3">
        <f>H143+1</f>
        <v>53</v>
      </c>
      <c r="J143" s="3">
        <v>66</v>
      </c>
      <c r="K143" s="3">
        <f>VLOOKUP($A143,'SegEnds_NonXtal_BW#'!$A:$Z,8,FALSE)+VLOOKUP($A143,A:AL,10,FALSE)-50</f>
        <v>82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88</v>
      </c>
      <c r="P143" s="3">
        <v>114</v>
      </c>
      <c r="Q143" s="3">
        <f>VLOOKUP($A143,'SegEnds_NonXtal_BW#'!$A:$Z,12,FALSE)+VLOOKUP($A143,A:AL,16,FALSE)-50</f>
        <v>120</v>
      </c>
      <c r="R143" s="3">
        <f>IF(ISERROR(VLOOKUP($A143,'SegEnds_NonXtal_BW#'!$A:$Z,13,FALSE)+VLOOKUP($A143,A:AL,19,FALSE)-50),"-",VLOOKUP($A143,'SegEnds_NonXtal_BW#'!$A:$Z,13,FALSE)+VLOOKUP($A143,A:AL,19,FALSE)-50)</f>
        <v>121</v>
      </c>
      <c r="S143" s="3">
        <v>121</v>
      </c>
      <c r="T143" s="100">
        <f>IF(ISERROR(VLOOKUP($A143,'SegEnds_NonXtal_BW#'!$A:$Z,14,FALSE)+VLOOKUP($A143,A:AL,19,FALSE)-50),"-",(VLOOKUP($A143,'SegEnds_NonXtal_BW#'!$A:$Z,14,FALSE)+VLOOKUP($A143,A:AL,19,FALSE)-50))</f>
        <v>128</v>
      </c>
      <c r="U143" s="9">
        <f>IF(ISERROR(VLOOKUP($A143,'SegEnds_NonXtal_BW#'!$A:$Z,15,FALSE)+VLOOKUP($A143,A:AL,22,FALSE)-50),"-",VLOOKUP($A143,'SegEnds_NonXtal_BW#'!$A:$Z,15,FALSE)+VLOOKUP($A143,A:AL,22,FALSE)-50)</f>
        <v>129</v>
      </c>
      <c r="V143" s="3">
        <v>141</v>
      </c>
      <c r="W143" s="3">
        <f>IF(ISERROR(VLOOKUP($A143,'SegEnds_NonXtal_BW#'!$A:$Z,16,FALSE)+VLOOKUP($A143,A:AL,22,FALSE)-50),"-",(VLOOKUP($A143,'SegEnds_NonXtal_BW#'!$A:$Z,16,FALSE)+VLOOKUP($A143,A:AL,22,FALSE)-50))</f>
        <v>155</v>
      </c>
      <c r="X143" s="3">
        <f>IF(ISERROR(VLOOKUP($A143,'SegEnds_NonXtal_BW#'!$A:$Z,17,FALSE)+VLOOKUP($A143,A:AL,25,FALSE)-50),"-",(VLOOKUP($A143,'SegEnds_NonXtal_BW#'!$A:$Z,17,FALSE)+VLOOKUP($A143,A:AL,25,FALSE)-50))</f>
        <v>162</v>
      </c>
      <c r="Y143" s="3">
        <v>162</v>
      </c>
      <c r="Z143" s="3">
        <f t="shared" si="122"/>
        <v>164</v>
      </c>
      <c r="AA143" s="3">
        <f>IF(ISERROR(VLOOKUP($A143,'SegEnds_NonXtal_BW#'!$A:$Z,19,FALSE)+VLOOKUP($A143,A:AL,28,FALSE)-50),"-",(VLOOKUP($A143,'SegEnds_NonXtal_BW#'!$A:$Z,19,FALSE)+VLOOKUP($A143,A:AL,28,FALSE)-50))</f>
        <v>168</v>
      </c>
      <c r="AB143" s="3">
        <v>183</v>
      </c>
      <c r="AC143" s="3">
        <f>IF(ISERROR((VLOOKUP($A143,'SegEnds_NonXtal_BW#'!$A:$Z,20,FALSE)+VLOOKUP($A143,A:AL,28,FALSE)-50)),"-",(VLOOKUP($A143,'SegEnds_NonXtal_BW#'!$A:$Z,20,FALSE)+VLOOKUP($A143,A:AL,28,FALSE)-50))</f>
        <v>201</v>
      </c>
      <c r="AD143" s="3">
        <f>IF(ISERROR(VLOOKUP($A143,'SegEnds_NonXtal_BW#'!$A:$Z,21,FALSE)+VLOOKUP($A143,A:AL,31,FALSE)-50),"-",(VLOOKUP($A143,'SegEnds_NonXtal_BW#'!$A:$Z,21,FALSE)+VLOOKUP($A143,A:AL,31,FALSE)-50))</f>
        <v>206</v>
      </c>
      <c r="AE143" s="3">
        <v>232</v>
      </c>
      <c r="AF143" s="3">
        <f>IF(ISERROR((VLOOKUP($A143,'SegEnds_NonXtal_BW#'!$A:$Z,22,FALSE)+VLOOKUP($A143,A:AL,31,FALSE)-50)),"-",(VLOOKUP($A143,'SegEnds_NonXtal_BW#'!$A:$Z,22,FALSE)+VLOOKUP($A143,A:AL,31,FALSE)-50))</f>
        <v>243</v>
      </c>
      <c r="AG143" s="3">
        <f>IF(ISERROR(VLOOKUP($A143,'SegEnds_NonXtal_BW#'!$A:$Z,23,FALSE)+VLOOKUP($A143,A:AL,34,FALSE)-50),"-",(VLOOKUP($A143,'SegEnds_NonXtal_BW#'!$A:$Z,23,FALSE)+VLOOKUP($A143,A:AL,34,FALSE)-50))</f>
        <v>251</v>
      </c>
      <c r="AH143" s="3">
        <v>273</v>
      </c>
      <c r="AI143" s="3">
        <f>IF(ISERROR((VLOOKUP($A143,'SegEnds_NonXtal_BW#'!$A:$Z,24,FALSE)+VLOOKUP($A143,A:AL,34,FALSE)-50)),"-",(VLOOKUP($A143,'SegEnds_NonXtal_BW#'!$A:$Z,24,FALSE)+VLOOKUP($A143,A:AL,34,FALSE)-50))</f>
        <v>279</v>
      </c>
      <c r="AJ143" s="3">
        <f>IF(ISERROR(VLOOKUP($A143,'SegEnds_NonXtal_BW#'!$A:$Z,25,FALSE)+VLOOKUP($A143,A:AL,37,FALSE)-50),"-",(VLOOKUP($A143,'SegEnds_NonXtal_BW#'!$A:$Z,25,FALSE)+VLOOKUP($A143,A:AL,37,FALSE)-50))</f>
        <v>280</v>
      </c>
      <c r="AK143" s="3">
        <v>283</v>
      </c>
      <c r="AL143" s="3">
        <f>IF(ISERROR((VLOOKUP($A143,'SegEnds_NonXtal_BW#'!$A:$Z,26,FALSE)+VLOOKUP($A143,A:AL,37,FALSE)-50)),"-",(VLOOKUP($A143,'SegEnds_NonXtal_BW#'!$A:$Z,26,FALSE)+VLOOKUP($A143,A:AL,37,FALSE)-50))</f>
        <v>295</v>
      </c>
      <c r="AM143" s="28" t="str">
        <f>VLOOKUP(A143,Classification!A:B,2,FALSE)</f>
        <v>A</v>
      </c>
      <c r="AN143" s="28" t="b">
        <f t="shared" si="121"/>
        <v>1</v>
      </c>
      <c r="AO143" s="3" t="str">
        <f>IF(ISERROR(MATCH(A143,'SegEnds_Xtal_Prot#'!B:B, 0)), "NoXtal", "Xtal")</f>
        <v>NoXtal</v>
      </c>
      <c r="AP143" s="3">
        <f t="shared" si="104"/>
        <v>1</v>
      </c>
      <c r="AQ143" s="3">
        <f t="shared" si="105"/>
        <v>1</v>
      </c>
      <c r="AR143" s="3" t="str">
        <f t="shared" si="106"/>
        <v>-</v>
      </c>
      <c r="AS143" s="3" t="str">
        <f t="shared" si="107"/>
        <v>-</v>
      </c>
      <c r="AT143" s="3">
        <f t="shared" si="108"/>
        <v>1</v>
      </c>
      <c r="AU143" s="3">
        <f t="shared" si="109"/>
        <v>1</v>
      </c>
      <c r="AV143" s="3">
        <f t="shared" si="110"/>
        <v>7</v>
      </c>
      <c r="AW143" s="3">
        <f t="shared" si="111"/>
        <v>4</v>
      </c>
      <c r="AX143" s="3">
        <f t="shared" si="112"/>
        <v>5</v>
      </c>
      <c r="AY143" s="3">
        <f t="shared" si="113"/>
        <v>8</v>
      </c>
      <c r="AZ143" s="3">
        <f t="shared" si="114"/>
        <v>1</v>
      </c>
      <c r="BA143" s="3">
        <f>IF(ISERROR(LEN(VLOOKUP(A143,Seqs!A:E,2,FALSE))-AL143),"-",LEN(VLOOKUP(A143,Seqs!A:E,2,FALSE))-AL143)</f>
        <v>14</v>
      </c>
      <c r="BB143" s="16">
        <f t="shared" si="115"/>
        <v>28</v>
      </c>
      <c r="BC143" s="9">
        <f t="shared" si="116"/>
        <v>20</v>
      </c>
      <c r="BD143" s="3">
        <f t="shared" si="117"/>
        <v>28</v>
      </c>
      <c r="BE143" s="3">
        <f t="shared" si="118"/>
        <v>49</v>
      </c>
      <c r="BF143" s="3">
        <f>AH143-AE143</f>
        <v>41</v>
      </c>
    </row>
    <row r="144" spans="1:58" s="3" customFormat="1" x14ac:dyDescent="0.2">
      <c r="A144" s="3" t="s">
        <v>254</v>
      </c>
      <c r="B144" s="3" t="str">
        <f>LOWER(VLOOKUP(A144,Xtal_Templ!A:B,2,FALSE))</f>
        <v>ednrb_human</v>
      </c>
      <c r="C144" s="3">
        <f>VLOOKUP($A144,'SegEnds_NonXtal_BW#'!$A:$Z,3,FALSE)+D144-50</f>
        <v>251</v>
      </c>
      <c r="D144" s="3">
        <v>279</v>
      </c>
      <c r="E144" s="3">
        <f>IF(ISERROR(VLOOKUP($A144,'SegEnds_NonXtal_BW#'!$A:$Z,4,FALSE)+VLOOKUP($A144,A:AL,4,FALSE)-50),"-",(VLOOKUP($A144,'SegEnds_NonXtal_BW#'!$A:$Z,4,FALSE)+VLOOKUP($A144,A:AL,4,FALSE)-50))</f>
        <v>289</v>
      </c>
      <c r="F144" s="3">
        <f>G144-2</f>
        <v>290</v>
      </c>
      <c r="G144" s="3">
        <v>292</v>
      </c>
      <c r="H144" s="3">
        <f>G144+1</f>
        <v>293</v>
      </c>
      <c r="I144" s="3">
        <f>H144+1</f>
        <v>294</v>
      </c>
      <c r="J144" s="3">
        <v>307</v>
      </c>
      <c r="K144" s="3">
        <f>VLOOKUP($A144,'SegEnds_NonXtal_BW#'!$A:$Z,8,FALSE)+VLOOKUP($A144,A:AL,10,FALSE)-50</f>
        <v>324</v>
      </c>
      <c r="L144" s="3">
        <f>M144-1</f>
        <v>326</v>
      </c>
      <c r="M144" s="3">
        <v>327</v>
      </c>
      <c r="N144" s="3">
        <f>M144+2</f>
        <v>329</v>
      </c>
      <c r="O144" s="3">
        <f>N144+1</f>
        <v>330</v>
      </c>
      <c r="P144" s="3">
        <v>359</v>
      </c>
      <c r="Q144" s="3">
        <f>VLOOKUP($A144,'SegEnds_NonXtal_BW#'!$A:$Z,12,FALSE)+VLOOKUP($A144,A:AL,16,FALSE)-50</f>
        <v>365</v>
      </c>
      <c r="R144" s="3">
        <f>IF(ISERROR(VLOOKUP($A144,'SegEnds_NonXtal_BW#'!$A:$Z,13,FALSE)+VLOOKUP($A144,A:AL,19,FALSE)-50),"-",VLOOKUP($A144,'SegEnds_NonXtal_BW#'!$A:$Z,13,FALSE)+VLOOKUP($A144,A:AL,19,FALSE)-50)</f>
        <v>367</v>
      </c>
      <c r="S144" s="3">
        <v>367</v>
      </c>
      <c r="T144" s="100">
        <f>IF(ISERROR(VLOOKUP($A144,'SegEnds_NonXtal_BW#'!$A:$Z,14,FALSE)+VLOOKUP($A144,A:AL,19,FALSE)-50),"-",(VLOOKUP($A144,'SegEnds_NonXtal_BW#'!$A:$Z,14,FALSE)+VLOOKUP($A144,A:AL,19,FALSE)-50))</f>
        <v>374</v>
      </c>
      <c r="U144" s="9">
        <f>IF(ISERROR(VLOOKUP($A144,'SegEnds_NonXtal_BW#'!$A:$Z,15,FALSE)+VLOOKUP($A144,A:AL,22,FALSE)-50),"-",VLOOKUP($A144,'SegEnds_NonXtal_BW#'!$A:$Z,15,FALSE)+VLOOKUP($A144,A:AL,22,FALSE)-50)</f>
        <v>375</v>
      </c>
      <c r="V144" s="3">
        <v>387</v>
      </c>
      <c r="W144" s="3">
        <f>IF(ISERROR(VLOOKUP($A144,'SegEnds_NonXtal_BW#'!$A:$Z,16,FALSE)+VLOOKUP($A144,A:AL,22,FALSE)-50),"-",(VLOOKUP($A144,'SegEnds_NonXtal_BW#'!$A:$Z,16,FALSE)+VLOOKUP($A144,A:AL,22,FALSE)-50))</f>
        <v>401</v>
      </c>
      <c r="X144" s="3">
        <f>IF(ISERROR(VLOOKUP($A144,'SegEnds_NonXtal_BW#'!$A:$Z,17,FALSE)+VLOOKUP($A144,A:AL,25,FALSE)-50),"-",(VLOOKUP($A144,'SegEnds_NonXtal_BW#'!$A:$Z,17,FALSE)+VLOOKUP($A144,A:AL,25,FALSE)-50))</f>
        <v>419</v>
      </c>
      <c r="Y144" s="3">
        <v>419</v>
      </c>
      <c r="Z144" s="3">
        <f t="shared" si="122"/>
        <v>421</v>
      </c>
      <c r="AA144" s="3">
        <f>IF(ISERROR(VLOOKUP($A144,'SegEnds_NonXtal_BW#'!$A:$Z,19,FALSE)+VLOOKUP($A144,A:AL,28,FALSE)-50),"-",(VLOOKUP($A144,'SegEnds_NonXtal_BW#'!$A:$Z,19,FALSE)+VLOOKUP($A144,A:AL,28,FALSE)-50))</f>
        <v>432</v>
      </c>
      <c r="AB144" s="3">
        <v>454</v>
      </c>
      <c r="AC144" s="3">
        <f>IF(ISERROR((VLOOKUP($A144,'SegEnds_NonXtal_BW#'!$A:$Z,20,FALSE)+VLOOKUP($A144,A:AL,28,FALSE)-50)),"-",(VLOOKUP($A144,'SegEnds_NonXtal_BW#'!$A:$Z,20,FALSE)+VLOOKUP($A144,A:AL,28,FALSE)-50))</f>
        <v>476</v>
      </c>
      <c r="AD144" s="3">
        <f>IF(ISERROR(VLOOKUP($A144,'SegEnds_NonXtal_BW#'!$A:$Z,21,FALSE)+VLOOKUP($A144,A:AL,31,FALSE)-50),"-",(VLOOKUP($A144,'SegEnds_NonXtal_BW#'!$A:$Z,21,FALSE)+VLOOKUP($A144,A:AL,31,FALSE)-50))</f>
        <v>481</v>
      </c>
      <c r="AE144" s="3">
        <v>507</v>
      </c>
      <c r="AF144" s="3">
        <f>IF(ISERROR((VLOOKUP($A144,'SegEnds_NonXtal_BW#'!$A:$Z,22,FALSE)+VLOOKUP($A144,A:AL,31,FALSE)-50)),"-",(VLOOKUP($A144,'SegEnds_NonXtal_BW#'!$A:$Z,22,FALSE)+VLOOKUP($A144,A:AL,31,FALSE)-50))</f>
        <v>518</v>
      </c>
      <c r="AG144" s="3">
        <f>IF(ISERROR(VLOOKUP($A144,'SegEnds_NonXtal_BW#'!$A:$Z,23,FALSE)+VLOOKUP($A144,A:AL,34,FALSE)-50),"-",(VLOOKUP($A144,'SegEnds_NonXtal_BW#'!$A:$Z,23,FALSE)+VLOOKUP($A144,A:AL,34,FALSE)-50))</f>
        <v>520</v>
      </c>
      <c r="AH144" s="3">
        <v>546</v>
      </c>
      <c r="AI144" s="3">
        <f>IF(ISERROR((VLOOKUP($A144,'SegEnds_NonXtal_BW#'!$A:$Z,24,FALSE)+VLOOKUP($A144,A:AL,34,FALSE)-50)),"-",(VLOOKUP($A144,'SegEnds_NonXtal_BW#'!$A:$Z,24,FALSE)+VLOOKUP($A144,A:AL,34,FALSE)-50))</f>
        <v>552</v>
      </c>
      <c r="AJ144" s="3">
        <f>IF(ISERROR(VLOOKUP($A144,'SegEnds_NonXtal_BW#'!$A:$Z,25,FALSE)+VLOOKUP($A144,A:AL,37,FALSE)-50),"-",(VLOOKUP($A144,'SegEnds_NonXtal_BW#'!$A:$Z,25,FALSE)+VLOOKUP($A144,A:AL,37,FALSE)-50))</f>
        <v>553</v>
      </c>
      <c r="AK144" s="3">
        <v>556</v>
      </c>
      <c r="AL144" s="3">
        <f>IF(ISERROR((VLOOKUP($A144,'SegEnds_NonXtal_BW#'!$A:$Z,26,FALSE)+VLOOKUP($A144,A:AL,37,FALSE)-50)),"-",(VLOOKUP($A144,'SegEnds_NonXtal_BW#'!$A:$Z,26,FALSE)+VLOOKUP($A144,A:AL,37,FALSE)-50))</f>
        <v>566</v>
      </c>
      <c r="AM144" s="28" t="str">
        <f>VLOOKUP(A144,Classification!A:B,2,FALSE)</f>
        <v>A</v>
      </c>
      <c r="AN144" s="28" t="b">
        <f t="shared" si="121"/>
        <v>1</v>
      </c>
      <c r="AO144" s="3" t="str">
        <f>IF(ISERROR(MATCH(A144,'SegEnds_Xtal_Prot#'!B:B, 0)), "NoXtal", "Xtal")</f>
        <v>NoXtal</v>
      </c>
      <c r="AP144" s="3">
        <f t="shared" si="104"/>
        <v>1</v>
      </c>
      <c r="AQ144" s="3">
        <f t="shared" si="105"/>
        <v>1</v>
      </c>
      <c r="AR144" s="3">
        <f t="shared" si="106"/>
        <v>2</v>
      </c>
      <c r="AS144" s="3">
        <f t="shared" si="107"/>
        <v>1</v>
      </c>
      <c r="AT144" s="3">
        <f t="shared" si="108"/>
        <v>2</v>
      </c>
      <c r="AU144" s="3">
        <f t="shared" si="109"/>
        <v>1</v>
      </c>
      <c r="AV144" s="3">
        <f t="shared" si="110"/>
        <v>18</v>
      </c>
      <c r="AW144" s="3">
        <f t="shared" si="111"/>
        <v>11</v>
      </c>
      <c r="AX144" s="3">
        <f t="shared" si="112"/>
        <v>5</v>
      </c>
      <c r="AY144" s="3">
        <f t="shared" si="113"/>
        <v>2</v>
      </c>
      <c r="AZ144" s="3">
        <f t="shared" si="114"/>
        <v>1</v>
      </c>
      <c r="BA144" s="3">
        <f>IF(ISERROR(LEN(VLOOKUP(A144,Seqs!A:E,2,FALSE))-AL144),"-",LEN(VLOOKUP(A144,Seqs!A:E,2,FALSE))-AL144)</f>
        <v>47</v>
      </c>
      <c r="BB144" s="16">
        <f t="shared" si="115"/>
        <v>28</v>
      </c>
      <c r="BC144" s="9">
        <f t="shared" si="116"/>
        <v>20</v>
      </c>
      <c r="BD144" s="3">
        <f t="shared" si="117"/>
        <v>28</v>
      </c>
      <c r="BE144" s="3">
        <f t="shared" si="118"/>
        <v>53</v>
      </c>
    </row>
    <row r="145" spans="1:58" s="3" customFormat="1" x14ac:dyDescent="0.2">
      <c r="A145" s="3" t="s">
        <v>255</v>
      </c>
      <c r="B145" s="3" t="str">
        <f>LOWER(VLOOKUP(A145,Xtal_Templ!A:B,2,FALSE))</f>
        <v>ntr1_rat</v>
      </c>
      <c r="C145" s="3">
        <f>VLOOKUP($A145,'SegEnds_NonXtal_BW#'!$A:$Z,3,FALSE)+D145-50</f>
        <v>27</v>
      </c>
      <c r="D145" s="3">
        <v>48</v>
      </c>
      <c r="E145" s="3">
        <f>IF(ISERROR(VLOOKUP($A145,'SegEnds_NonXtal_BW#'!$A:$Z,4,FALSE)+VLOOKUP($A145,A:AL,4,FALSE)-50),"-",(VLOOKUP($A145,'SegEnds_NonXtal_BW#'!$A:$Z,4,FALSE)+VLOOKUP($A145,A:AL,4,FALSE)-50))</f>
        <v>58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66</v>
      </c>
      <c r="J145" s="3">
        <v>79</v>
      </c>
      <c r="K145" s="3">
        <f>VLOOKUP($A145,'SegEnds_NonXtal_BW#'!$A:$Z,8,FALSE)+VLOOKUP($A145,A:AL,10,FALSE)-50</f>
        <v>97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101</v>
      </c>
      <c r="P145" s="3">
        <v>133</v>
      </c>
      <c r="Q145" s="3">
        <f>VLOOKUP($A145,'SegEnds_NonXtal_BW#'!$A:$Z,12,FALSE)+VLOOKUP($A145,A:AL,16,FALSE)-50</f>
        <v>139</v>
      </c>
      <c r="R145" s="3">
        <f>IF(ISERROR(VLOOKUP($A145,'SegEnds_NonXtal_BW#'!$A:$Z,13,FALSE)+VLOOKUP($A145,A:AL,19,FALSE)-50),"-",VLOOKUP($A145,'SegEnds_NonXtal_BW#'!$A:$Z,13,FALSE)+VLOOKUP($A145,A:AL,19,FALSE)-50)</f>
        <v>140</v>
      </c>
      <c r="S145" s="3">
        <v>140</v>
      </c>
      <c r="T145" s="100">
        <f>IF(ISERROR(VLOOKUP($A145,'SegEnds_NonXtal_BW#'!$A:$Z,14,FALSE)+VLOOKUP($A145,A:AL,19,FALSE)-50),"-",(VLOOKUP($A145,'SegEnds_NonXtal_BW#'!$A:$Z,14,FALSE)+VLOOKUP($A145,A:AL,19,FALSE)-50))</f>
        <v>147</v>
      </c>
      <c r="U145" s="9">
        <f>IF(ISERROR(VLOOKUP($A145,'SegEnds_NonXtal_BW#'!$A:$Z,15,FALSE)+VLOOKUP($A145,A:AL,22,FALSE)-50),"-",VLOOKUP($A145,'SegEnds_NonXtal_BW#'!$A:$Z,15,FALSE)+VLOOKUP($A145,A:AL,22,FALSE)-50)</f>
        <v>148</v>
      </c>
      <c r="V145" s="3">
        <v>160</v>
      </c>
      <c r="W145" s="3">
        <f>IF(ISERROR(VLOOKUP($A145,'SegEnds_NonXtal_BW#'!$A:$Z,16,FALSE)+VLOOKUP($A145,A:AL,22,FALSE)-50),"-",(VLOOKUP($A145,'SegEnds_NonXtal_BW#'!$A:$Z,16,FALSE)+VLOOKUP($A145,A:AL,22,FALSE)-50))</f>
        <v>174</v>
      </c>
      <c r="X145" s="3">
        <f>IF(ISERROR(VLOOKUP($A145,'SegEnds_NonXtal_BW#'!$A:$Z,17,FALSE)+VLOOKUP($A145,A:AL,25,FALSE)-50),"-",(VLOOKUP($A145,'SegEnds_NonXtal_BW#'!$A:$Z,17,FALSE)+VLOOKUP($A145,A:AL,25,FALSE)-50))</f>
        <v>210</v>
      </c>
      <c r="Y145" s="3">
        <v>210</v>
      </c>
      <c r="Z145" s="3">
        <f t="shared" si="122"/>
        <v>212</v>
      </c>
      <c r="AA145" s="3">
        <f>IF(ISERROR(VLOOKUP($A145,'SegEnds_NonXtal_BW#'!$A:$Z,19,FALSE)+VLOOKUP($A145,A:AL,28,FALSE)-50),"-",(VLOOKUP($A145,'SegEnds_NonXtal_BW#'!$A:$Z,19,FALSE)+VLOOKUP($A145,A:AL,28,FALSE)-50))</f>
        <v>216</v>
      </c>
      <c r="AB145" s="3">
        <v>231</v>
      </c>
      <c r="AC145" s="3">
        <f>IF(ISERROR((VLOOKUP($A145,'SegEnds_NonXtal_BW#'!$A:$Z,20,FALSE)+VLOOKUP($A145,A:AL,28,FALSE)-50)),"-",(VLOOKUP($A145,'SegEnds_NonXtal_BW#'!$A:$Z,20,FALSE)+VLOOKUP($A145,A:AL,28,FALSE)-50))</f>
        <v>257</v>
      </c>
      <c r="AD145" s="3">
        <f>IF(ISERROR(VLOOKUP($A145,'SegEnds_NonXtal_BW#'!$A:$Z,21,FALSE)+VLOOKUP($A145,A:AL,31,FALSE)-50),"-",(VLOOKUP($A145,'SegEnds_NonXtal_BW#'!$A:$Z,21,FALSE)+VLOOKUP($A145,A:AL,31,FALSE)-50))</f>
        <v>272</v>
      </c>
      <c r="AE145" s="3">
        <v>298</v>
      </c>
      <c r="AF145" s="3">
        <f>IF(ISERROR((VLOOKUP($A145,'SegEnds_NonXtal_BW#'!$A:$Z,22,FALSE)+VLOOKUP($A145,A:AL,31,FALSE)-50)),"-",(VLOOKUP($A145,'SegEnds_NonXtal_BW#'!$A:$Z,22,FALSE)+VLOOKUP($A145,A:AL,31,FALSE)-50))</f>
        <v>309</v>
      </c>
      <c r="AG145" s="3">
        <f>IF(ISERROR(VLOOKUP($A145,'SegEnds_NonXtal_BW#'!$A:$Z,23,FALSE)+VLOOKUP($A145,A:AL,34,FALSE)-50),"-",(VLOOKUP($A145,'SegEnds_NonXtal_BW#'!$A:$Z,23,FALSE)+VLOOKUP($A145,A:AL,34,FALSE)-50))</f>
        <v>315</v>
      </c>
      <c r="AH145" s="3">
        <v>341</v>
      </c>
      <c r="AI145" s="3">
        <f>IF(ISERROR((VLOOKUP($A145,'SegEnds_NonXtal_BW#'!$A:$Z,24,FALSE)+VLOOKUP($A145,A:AL,34,FALSE)-50)),"-",(VLOOKUP($A145,'SegEnds_NonXtal_BW#'!$A:$Z,24,FALSE)+VLOOKUP($A145,A:AL,34,FALSE)-50))</f>
        <v>347</v>
      </c>
      <c r="AJ145" s="3">
        <f>IF(ISERROR(VLOOKUP($A145,'SegEnds_NonXtal_BW#'!$A:$Z,25,FALSE)+VLOOKUP($A145,A:AL,37,FALSE)-50),"-",(VLOOKUP($A145,'SegEnds_NonXtal_BW#'!$A:$Z,25,FALSE)+VLOOKUP($A145,A:AL,37,FALSE)-50))</f>
        <v>348</v>
      </c>
      <c r="AK145" s="3">
        <v>351</v>
      </c>
      <c r="AL145" s="3">
        <f>IF(ISERROR((VLOOKUP($A145,'SegEnds_NonXtal_BW#'!$A:$Z,26,FALSE)+VLOOKUP($A145,A:AL,37,FALSE)-50)),"-",(VLOOKUP($A145,'SegEnds_NonXtal_BW#'!$A:$Z,26,FALSE)+VLOOKUP($A145,A:AL,37,FALSE)-50))</f>
        <v>363</v>
      </c>
      <c r="AM145" s="28" t="str">
        <f>VLOOKUP(A145,Classification!A:B,2,FALSE)</f>
        <v>A</v>
      </c>
      <c r="AN145" s="28" t="b">
        <f t="shared" si="121"/>
        <v>1</v>
      </c>
      <c r="AO145" s="3" t="str">
        <f>IF(ISERROR(MATCH(A145,'SegEnds_Xtal_Prot#'!B:B, 0)), "NoXtal", "Xtal")</f>
        <v>NoXtal</v>
      </c>
      <c r="AP145" s="3" t="str">
        <f t="shared" si="104"/>
        <v>-</v>
      </c>
      <c r="AQ145" s="3" t="str">
        <f t="shared" si="105"/>
        <v>-</v>
      </c>
      <c r="AR145" s="3" t="str">
        <f t="shared" si="106"/>
        <v>-</v>
      </c>
      <c r="AS145" s="3" t="str">
        <f t="shared" si="107"/>
        <v>-</v>
      </c>
      <c r="AT145" s="3">
        <f t="shared" si="108"/>
        <v>1</v>
      </c>
      <c r="AU145" s="3">
        <f t="shared" si="109"/>
        <v>1</v>
      </c>
      <c r="AV145" s="3">
        <f t="shared" si="110"/>
        <v>36</v>
      </c>
      <c r="AW145" s="3">
        <f t="shared" si="111"/>
        <v>4</v>
      </c>
      <c r="AX145" s="3">
        <f t="shared" si="112"/>
        <v>15</v>
      </c>
      <c r="AY145" s="3">
        <f t="shared" si="113"/>
        <v>6</v>
      </c>
      <c r="AZ145" s="3">
        <f t="shared" si="114"/>
        <v>1</v>
      </c>
      <c r="BA145" s="3">
        <f>IF(ISERROR(LEN(VLOOKUP(A145,Seqs!A:E,2,FALSE))-AL145),"-",LEN(VLOOKUP(A145,Seqs!A:E,2,FALSE))-AL145)</f>
        <v>90</v>
      </c>
      <c r="BB145" s="16">
        <f t="shared" si="115"/>
        <v>31</v>
      </c>
      <c r="BC145" s="9">
        <f t="shared" si="116"/>
        <v>20</v>
      </c>
      <c r="BD145" s="3">
        <f t="shared" si="117"/>
        <v>31</v>
      </c>
      <c r="BE145" s="3">
        <f t="shared" si="118"/>
        <v>67</v>
      </c>
    </row>
    <row r="146" spans="1:58" s="3" customFormat="1" x14ac:dyDescent="0.2">
      <c r="A146" s="3" t="s">
        <v>256</v>
      </c>
      <c r="B146" s="3" t="str">
        <f>LOWER(VLOOKUP(A146,Xtal_Templ!A:B,2,FALSE))</f>
        <v>ptafr_human</v>
      </c>
      <c r="C146" s="3">
        <f>VLOOKUP($A146,'SegEnds_NonXtal_BW#'!$A:$Z,3,FALSE)+D146-50</f>
        <v>12</v>
      </c>
      <c r="D146" s="3">
        <v>35</v>
      </c>
      <c r="E146" s="3">
        <f>IF(ISERROR(VLOOKUP($A146,'SegEnds_NonXtal_BW#'!$A:$Z,4,FALSE)+VLOOKUP($A146,A:AL,4,FALSE)-50),"-",(VLOOKUP($A146,'SegEnds_NonXtal_BW#'!$A:$Z,4,FALSE)+VLOOKUP($A146,A:AL,4,FALSE)-50))</f>
        <v>46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50</v>
      </c>
      <c r="J146" s="3">
        <v>63</v>
      </c>
      <c r="K146" s="3">
        <f>VLOOKUP($A146,'SegEnds_NonXtal_BW#'!$A:$Z,8,FALSE)+VLOOKUP($A146,A:AL,10,FALSE)-50</f>
        <v>80</v>
      </c>
      <c r="L146" s="3">
        <f>M146-1</f>
        <v>82</v>
      </c>
      <c r="M146" s="3">
        <v>83</v>
      </c>
      <c r="N146" s="3">
        <f>M146+2</f>
        <v>85</v>
      </c>
      <c r="O146" s="3">
        <f>N146+1</f>
        <v>86</v>
      </c>
      <c r="P146" s="3">
        <v>115</v>
      </c>
      <c r="Q146" s="3">
        <f>VLOOKUP($A146,'SegEnds_NonXtal_BW#'!$A:$Z,12,FALSE)+VLOOKUP($A146,A:AL,16,FALSE)-50</f>
        <v>121</v>
      </c>
      <c r="R146" s="3">
        <f>IF(ISERROR(VLOOKUP($A146,'SegEnds_NonXtal_BW#'!$A:$Z,13,FALSE)+VLOOKUP($A146,A:AL,19,FALSE)-50),"-",VLOOKUP($A146,'SegEnds_NonXtal_BW#'!$A:$Z,13,FALSE)+VLOOKUP($A146,A:AL,19,FALSE)-50)</f>
        <v>122</v>
      </c>
      <c r="S146" s="3">
        <v>122</v>
      </c>
      <c r="T146" s="100">
        <f>IF(ISERROR(VLOOKUP($A146,'SegEnds_NonXtal_BW#'!$A:$Z,14,FALSE)+VLOOKUP($A146,A:AL,19,FALSE)-50),"-",(VLOOKUP($A146,'SegEnds_NonXtal_BW#'!$A:$Z,14,FALSE)+VLOOKUP($A146,A:AL,19,FALSE)-50))</f>
        <v>129</v>
      </c>
      <c r="U146" s="9">
        <f>IF(ISERROR(VLOOKUP($A146,'SegEnds_NonXtal_BW#'!$A:$Z,15,FALSE)+VLOOKUP($A146,A:AL,22,FALSE)-50),"-",VLOOKUP($A146,'SegEnds_NonXtal_BW#'!$A:$Z,15,FALSE)+VLOOKUP($A146,A:AL,22,FALSE)-50)</f>
        <v>130</v>
      </c>
      <c r="V146" s="3">
        <v>142</v>
      </c>
      <c r="W146" s="3">
        <f>IF(ISERROR(VLOOKUP($A146,'SegEnds_NonXtal_BW#'!$A:$Z,16,FALSE)+VLOOKUP($A146,A:AL,22,FALSE)-50),"-",(VLOOKUP($A146,'SegEnds_NonXtal_BW#'!$A:$Z,16,FALSE)+VLOOKUP($A146,A:AL,22,FALSE)-50))</f>
        <v>155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 t="shared" si="122"/>
        <v>170</v>
      </c>
      <c r="AA146" s="3">
        <f>IF(ISERROR(VLOOKUP($A146,'SegEnds_NonXtal_BW#'!$A:$Z,19,FALSE)+VLOOKUP($A146,A:AL,28,FALSE)-50),"-",(VLOOKUP($A146,'SegEnds_NonXtal_BW#'!$A:$Z,19,FALSE)+VLOOKUP($A146,A:AL,28,FALSE)-50))</f>
        <v>176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210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239</v>
      </c>
      <c r="AF146" s="3">
        <f>IF(ISERROR((VLOOKUP($A146,'SegEnds_NonXtal_BW#'!$A:$Z,22,FALSE)+VLOOKUP($A146,A:AL,31,FALSE)-50)),"-",(VLOOKUP($A146,'SegEnds_NonXtal_BW#'!$A:$Z,22,FALSE)+VLOOKUP($A146,A:AL,31,FALSE)-50))</f>
        <v>253</v>
      </c>
      <c r="AG146" s="3">
        <f>IF(ISERROR(VLOOKUP($A146,'SegEnds_NonXtal_BW#'!$A:$Z,23,FALSE)+VLOOKUP($A146,A:AL,34,FALSE)-50),"-",(VLOOKUP($A146,'SegEnds_NonXtal_BW#'!$A:$Z,23,FALSE)+VLOOKUP($A146,A:AL,34,FALSE)-50))</f>
        <v>257</v>
      </c>
      <c r="AH146" s="3">
        <v>283</v>
      </c>
      <c r="AI146" s="3">
        <f>IF(ISERROR((VLOOKUP($A146,'SegEnds_NonXtal_BW#'!$A:$Z,24,FALSE)+VLOOKUP($A146,A:AL,34,FALSE)-50)),"-",(VLOOKUP($A146,'SegEnds_NonXtal_BW#'!$A:$Z,24,FALSE)+VLOOKUP($A146,A:AL,34,FALSE)-50))</f>
        <v>292</v>
      </c>
      <c r="AJ146" s="3">
        <f>IF(ISERROR(VLOOKUP($A146,'SegEnds_NonXtal_BW#'!$A:$Z,25,FALSE)+VLOOKUP($A146,A:AL,37,FALSE)-50),"-",(VLOOKUP($A146,'SegEnds_NonXtal_BW#'!$A:$Z,25,FALSE)+VLOOKUP($A146,A:AL,37,FALSE)-50))</f>
        <v>293</v>
      </c>
      <c r="AK146" s="3">
        <v>293</v>
      </c>
      <c r="AL146" s="3">
        <f>IF(ISERROR((VLOOKUP($A146,'SegEnds_NonXtal_BW#'!$A:$Z,26,FALSE)+VLOOKUP($A146,A:AL,37,FALSE)-50)),"-",(VLOOKUP($A146,'SegEnds_NonXtal_BW#'!$A:$Z,26,FALSE)+VLOOKUP($A146,A:AL,37,FALSE)-50))</f>
        <v>306</v>
      </c>
      <c r="AM146" s="28" t="str">
        <f>VLOOKUP(A146,Classification!A:B,2,FALSE)</f>
        <v>A</v>
      </c>
      <c r="AN146" s="28" t="b">
        <f t="shared" si="121"/>
        <v>1</v>
      </c>
      <c r="AO146" s="3" t="str">
        <f>IF(ISERROR(MATCH(A146,'SegEnds_Xtal_Prot#'!B:B, 0)), "NoXtal", "Xtal")</f>
        <v>NoXtal</v>
      </c>
      <c r="AP146" s="3" t="str">
        <f t="shared" si="104"/>
        <v>-</v>
      </c>
      <c r="AQ146" s="3" t="str">
        <f t="shared" si="105"/>
        <v>-</v>
      </c>
      <c r="AR146" s="3">
        <f t="shared" si="106"/>
        <v>2</v>
      </c>
      <c r="AS146" s="3">
        <f t="shared" si="107"/>
        <v>1</v>
      </c>
      <c r="AT146" s="3">
        <f t="shared" si="108"/>
        <v>1</v>
      </c>
      <c r="AU146" s="3">
        <f t="shared" si="109"/>
        <v>1</v>
      </c>
      <c r="AV146" s="3">
        <f t="shared" si="110"/>
        <v>13</v>
      </c>
      <c r="AW146" s="3">
        <f t="shared" si="111"/>
        <v>6</v>
      </c>
      <c r="AX146" s="3">
        <f t="shared" si="112"/>
        <v>5</v>
      </c>
      <c r="AY146" s="3">
        <f t="shared" si="113"/>
        <v>4</v>
      </c>
      <c r="AZ146" s="3">
        <f t="shared" si="114"/>
        <v>1</v>
      </c>
      <c r="BA146" s="3">
        <f>IF(ISERROR(LEN(VLOOKUP(A146,Seqs!A:E,2,FALSE))-AL146),"-",LEN(VLOOKUP(A146,Seqs!A:E,2,FALSE))-AL146)</f>
        <v>56</v>
      </c>
      <c r="BB146" s="16">
        <f t="shared" si="115"/>
        <v>28</v>
      </c>
      <c r="BC146" s="9">
        <f t="shared" si="116"/>
        <v>20</v>
      </c>
      <c r="BD146" s="3">
        <f t="shared" si="117"/>
        <v>28</v>
      </c>
      <c r="BE146" s="3">
        <f t="shared" si="118"/>
        <v>46</v>
      </c>
    </row>
    <row r="147" spans="1:58" s="3" customFormat="1" x14ac:dyDescent="0.2">
      <c r="A147" s="3" t="s">
        <v>257</v>
      </c>
      <c r="B147" s="3" t="str">
        <f>LOWER(VLOOKUP(A147,Xtal_Templ!A:B,2,FALSE))</f>
        <v>par1_human</v>
      </c>
      <c r="C147" s="3">
        <f>VLOOKUP($A147,'SegEnds_NonXtal_BW#'!$A:$Z,3,FALSE)+D147-50</f>
        <v>11</v>
      </c>
      <c r="D147" s="3">
        <v>32</v>
      </c>
      <c r="E147" s="3">
        <f>IF(ISERROR(VLOOKUP($A147,'SegEnds_NonXtal_BW#'!$A:$Z,4,FALSE)+VLOOKUP($A147,A:AL,4,FALSE)-50),"-",(VLOOKUP($A147,'SegEnds_NonXtal_BW#'!$A:$Z,4,FALSE)+VLOOKUP($A147,A:AL,4,FALSE)-50))</f>
        <v>42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48</v>
      </c>
      <c r="J147" s="3">
        <v>61</v>
      </c>
      <c r="K147" s="3">
        <f>VLOOKUP($A147,'SegEnds_NonXtal_BW#'!$A:$Z,8,FALSE)+VLOOKUP($A147,A:AL,10,FALSE)-50</f>
        <v>77</v>
      </c>
      <c r="L147" s="3">
        <f>M147-1</f>
        <v>80</v>
      </c>
      <c r="M147" s="3">
        <v>81</v>
      </c>
      <c r="N147" s="3">
        <f>M147+2</f>
        <v>83</v>
      </c>
      <c r="O147" s="3">
        <f>N147+1</f>
        <v>84</v>
      </c>
      <c r="P147" s="3">
        <v>113</v>
      </c>
      <c r="Q147" s="3">
        <f>VLOOKUP($A147,'SegEnds_NonXtal_BW#'!$A:$Z,12,FALSE)+VLOOKUP($A147,A:AL,16,FALSE)-50</f>
        <v>119</v>
      </c>
      <c r="R147" s="3">
        <f>IF(ISERROR(VLOOKUP($A147,'SegEnds_NonXtal_BW#'!$A:$Z,13,FALSE)+VLOOKUP($A147,A:AL,19,FALSE)-50),"-",VLOOKUP($A147,'SegEnds_NonXtal_BW#'!$A:$Z,13,FALSE)+VLOOKUP($A147,A:AL,19,FALSE)-50)</f>
        <v>120</v>
      </c>
      <c r="S147" s="3">
        <v>120</v>
      </c>
      <c r="T147" s="100">
        <f>IF(ISERROR(VLOOKUP($A147,'SegEnds_NonXtal_BW#'!$A:$Z,14,FALSE)+VLOOKUP($A147,A:AL,19,FALSE)-50),"-",(VLOOKUP($A147,'SegEnds_NonXtal_BW#'!$A:$Z,14,FALSE)+VLOOKUP($A147,A:AL,19,FALSE)-50))</f>
        <v>127</v>
      </c>
      <c r="U147" s="9">
        <f>IF(ISERROR(VLOOKUP($A147,'SegEnds_NonXtal_BW#'!$A:$Z,15,FALSE)+VLOOKUP($A147,A:AL,22,FALSE)-50),"-",VLOOKUP($A147,'SegEnds_NonXtal_BW#'!$A:$Z,15,FALSE)+VLOOKUP($A147,A:AL,22,FALSE)-50)</f>
        <v>128</v>
      </c>
      <c r="V147" s="3">
        <v>140</v>
      </c>
      <c r="W147" s="3">
        <f>IF(ISERROR(VLOOKUP($A147,'SegEnds_NonXtal_BW#'!$A:$Z,16,FALSE)+VLOOKUP($A147,A:AL,22,FALSE)-50),"-",(VLOOKUP($A147,'SegEnds_NonXtal_BW#'!$A:$Z,16,FALSE)+VLOOKUP($A147,A:AL,22,FALSE)-50))</f>
        <v>153</v>
      </c>
      <c r="X147" s="3">
        <f>IF(ISERROR(VLOOKUP($A147,'SegEnds_NonXtal_BW#'!$A:$Z,17,FALSE)+VLOOKUP($A147,A:AL,25,FALSE)-50),"-",(VLOOKUP($A147,'SegEnds_NonXtal_BW#'!$A:$Z,17,FALSE)+VLOOKUP($A147,A:AL,25,FALSE)-50))</f>
        <v>169</v>
      </c>
      <c r="Y147" s="3">
        <v>169</v>
      </c>
      <c r="Z147" s="3">
        <f t="shared" si="122"/>
        <v>171</v>
      </c>
      <c r="AA147" s="3">
        <f>IF(ISERROR(VLOOKUP($A147,'SegEnds_NonXtal_BW#'!$A:$Z,19,FALSE)+VLOOKUP($A147,A:AL,28,FALSE)-50),"-",(VLOOKUP($A147,'SegEnds_NonXtal_BW#'!$A:$Z,19,FALSE)+VLOOKUP($A147,A:AL,28,FALSE)-50))</f>
        <v>178</v>
      </c>
      <c r="AB147" s="3">
        <v>196</v>
      </c>
      <c r="AC147" s="3">
        <f>IF(ISERROR((VLOOKUP($A147,'SegEnds_NonXtal_BW#'!$A:$Z,20,FALSE)+VLOOKUP($A147,A:AL,28,FALSE)-50)),"-",(VLOOKUP($A147,'SegEnds_NonXtal_BW#'!$A:$Z,20,FALSE)+VLOOKUP($A147,A:AL,28,FALSE)-50))</f>
        <v>214</v>
      </c>
      <c r="AD147" s="3">
        <f>IF(ISERROR(VLOOKUP($A147,'SegEnds_NonXtal_BW#'!$A:$Z,21,FALSE)+VLOOKUP($A147,A:AL,31,FALSE)-50),"-",(VLOOKUP($A147,'SegEnds_NonXtal_BW#'!$A:$Z,21,FALSE)+VLOOKUP($A147,A:AL,31,FALSE)-50))</f>
        <v>218</v>
      </c>
      <c r="AE147" s="3">
        <v>240</v>
      </c>
      <c r="AF147" s="3">
        <f>IF(ISERROR((VLOOKUP($A147,'SegEnds_NonXtal_BW#'!$A:$Z,22,FALSE)+VLOOKUP($A147,A:AL,31,FALSE)-50)),"-",(VLOOKUP($A147,'SegEnds_NonXtal_BW#'!$A:$Z,22,FALSE)+VLOOKUP($A147,A:AL,31,FALSE)-50))</f>
        <v>251</v>
      </c>
      <c r="AG147" s="3">
        <f>IF(ISERROR(VLOOKUP($A147,'SegEnds_NonXtal_BW#'!$A:$Z,23,FALSE)+VLOOKUP($A147,A:AL,34,FALSE)-50),"-",(VLOOKUP($A147,'SegEnds_NonXtal_BW#'!$A:$Z,23,FALSE)+VLOOKUP($A147,A:AL,34,FALSE)-50))</f>
        <v>256</v>
      </c>
      <c r="AH147" s="3">
        <v>273</v>
      </c>
      <c r="AI147" s="3">
        <f>IF(ISERROR((VLOOKUP($A147,'SegEnds_NonXtal_BW#'!$A:$Z,24,FALSE)+VLOOKUP($A147,A:AL,34,FALSE)-50)),"-",(VLOOKUP($A147,'SegEnds_NonXtal_BW#'!$A:$Z,24,FALSE)+VLOOKUP($A147,A:AL,34,FALSE)-50))</f>
        <v>279</v>
      </c>
      <c r="AJ147" s="3">
        <f>IF(ISERROR(VLOOKUP($A147,'SegEnds_NonXtal_BW#'!$A:$Z,25,FALSE)+VLOOKUP($A147,A:AL,37,FALSE)-50),"-",(VLOOKUP($A147,'SegEnds_NonXtal_BW#'!$A:$Z,25,FALSE)+VLOOKUP($A147,A:AL,37,FALSE)-50))</f>
        <v>280</v>
      </c>
      <c r="AK147" s="3">
        <v>283</v>
      </c>
      <c r="AL147" s="3">
        <f>IF(ISERROR((VLOOKUP($A147,'SegEnds_NonXtal_BW#'!$A:$Z,26,FALSE)+VLOOKUP($A147,A:AL,37,FALSE)-50)),"-",(VLOOKUP($A147,'SegEnds_NonXtal_BW#'!$A:$Z,26,FALSE)+VLOOKUP($A147,A:AL,37,FALSE)-50))</f>
        <v>294</v>
      </c>
      <c r="AM147" s="28" t="str">
        <f>VLOOKUP(A147,Classification!A:B,2,FALSE)</f>
        <v>A</v>
      </c>
      <c r="AN147" s="28" t="b">
        <f t="shared" si="121"/>
        <v>1</v>
      </c>
      <c r="AO147" s="3" t="str">
        <f>IF(ISERROR(MATCH(A147,'SegEnds_Xtal_Prot#'!B:B, 0)), "NoXtal", "Xtal")</f>
        <v>NoXtal</v>
      </c>
      <c r="AP147" s="3" t="str">
        <f t="shared" si="104"/>
        <v>-</v>
      </c>
      <c r="AQ147" s="3" t="str">
        <f t="shared" si="105"/>
        <v>-</v>
      </c>
      <c r="AR147" s="3">
        <f t="shared" si="106"/>
        <v>3</v>
      </c>
      <c r="AS147" s="3">
        <f t="shared" si="107"/>
        <v>1</v>
      </c>
      <c r="AT147" s="3">
        <f t="shared" si="108"/>
        <v>1</v>
      </c>
      <c r="AU147" s="3">
        <f t="shared" si="109"/>
        <v>1</v>
      </c>
      <c r="AV147" s="3">
        <f t="shared" si="110"/>
        <v>16</v>
      </c>
      <c r="AW147" s="3">
        <f t="shared" si="111"/>
        <v>7</v>
      </c>
      <c r="AX147" s="3">
        <f t="shared" si="112"/>
        <v>4</v>
      </c>
      <c r="AY147" s="3">
        <f t="shared" si="113"/>
        <v>5</v>
      </c>
      <c r="AZ147" s="3">
        <f t="shared" si="114"/>
        <v>1</v>
      </c>
      <c r="BA147" s="3">
        <f>IF(ISERROR(LEN(VLOOKUP(A147,Seqs!A:E,2,FALSE))-AL147),"-",LEN(VLOOKUP(A147,Seqs!A:E,2,FALSE))-AL147)</f>
        <v>52</v>
      </c>
      <c r="BB147" s="16">
        <f t="shared" si="115"/>
        <v>29</v>
      </c>
      <c r="BC147" s="9">
        <f t="shared" si="116"/>
        <v>20</v>
      </c>
      <c r="BD147" s="3">
        <f t="shared" si="117"/>
        <v>29</v>
      </c>
      <c r="BE147" s="3">
        <f t="shared" si="118"/>
        <v>44</v>
      </c>
    </row>
    <row r="148" spans="1:58" s="3" customFormat="1" x14ac:dyDescent="0.2">
      <c r="A148" s="3" t="s">
        <v>259</v>
      </c>
      <c r="B148" s="3" t="str">
        <f>LOWER(VLOOKUP(A148,Xtal_Templ!A:B,2,FALSE))</f>
        <v>gpr52_human</v>
      </c>
      <c r="C148" s="3">
        <f>VLOOKUP($A148,'SegEnds_NonXtal_BW#'!$A:$Z,3,FALSE)+D148-50</f>
        <v>40</v>
      </c>
      <c r="D148" s="3">
        <v>58</v>
      </c>
      <c r="E148" s="3">
        <f>IF(ISERROR(VLOOKUP($A148,'SegEnds_NonXtal_BW#'!$A:$Z,4,FALSE)+VLOOKUP($A148,A:AL,4,FALSE)-50),"-",(VLOOKUP($A148,'SegEnds_NonXtal_BW#'!$A:$Z,4,FALSE)+VLOOKUP($A148,A:AL,4,FALSE)-50))</f>
        <v>68</v>
      </c>
      <c r="F148" s="3">
        <f>G148-2</f>
        <v>69</v>
      </c>
      <c r="G148" s="3">
        <v>71</v>
      </c>
      <c r="H148" s="3">
        <f>G148+1</f>
        <v>72</v>
      </c>
      <c r="I148" s="3">
        <f>H148+1</f>
        <v>73</v>
      </c>
      <c r="J148" s="3">
        <v>87</v>
      </c>
      <c r="K148" s="3">
        <f>VLOOKUP($A148,'SegEnds_NonXtal_BW#'!$A:$Z,8,FALSE)+VLOOKUP($A148,A:AL,10,FALSE)-50</f>
        <v>104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110</v>
      </c>
      <c r="P148" s="3">
        <v>139</v>
      </c>
      <c r="Q148" s="3">
        <f>VLOOKUP($A148,'SegEnds_NonXtal_BW#'!$A:$Z,12,FALSE)+VLOOKUP($A148,A:AL,16,FALSE)-50</f>
        <v>145</v>
      </c>
      <c r="R148" s="3">
        <f>IF(ISERROR(VLOOKUP($A148,'SegEnds_NonXtal_BW#'!$A:$Z,13,FALSE)+VLOOKUP($A148,A:AL,19,FALSE)-50),"-",VLOOKUP($A148,'SegEnds_NonXtal_BW#'!$A:$Z,13,FALSE)+VLOOKUP($A148,A:AL,19,FALSE)-50)</f>
        <v>146</v>
      </c>
      <c r="S148" s="3">
        <v>146</v>
      </c>
      <c r="T148" s="100">
        <f>IF(ISERROR(VLOOKUP($A148,'SegEnds_NonXtal_BW#'!$A:$Z,14,FALSE)+VLOOKUP($A148,A:AL,19,FALSE)-50),"-",(VLOOKUP($A148,'SegEnds_NonXtal_BW#'!$A:$Z,14,FALSE)+VLOOKUP($A148,A:AL,19,FALSE)-50))</f>
        <v>153</v>
      </c>
      <c r="U148" s="9">
        <f>IF(ISERROR(VLOOKUP($A148,'SegEnds_NonXtal_BW#'!$A:$Z,15,FALSE)+VLOOKUP($A148,A:AL,22,FALSE)-50),"-",VLOOKUP($A148,'SegEnds_NonXtal_BW#'!$A:$Z,15,FALSE)+VLOOKUP($A148,A:AL,22,FALSE)-50)</f>
        <v>154</v>
      </c>
      <c r="V148" s="3">
        <v>166</v>
      </c>
      <c r="W148" s="3">
        <f>IF(ISERROR(VLOOKUP($A148,'SegEnds_NonXtal_BW#'!$A:$Z,16,FALSE)+VLOOKUP($A148,A:AL,22,FALSE)-50),"-",(VLOOKUP($A148,'SegEnds_NonXtal_BW#'!$A:$Z,16,FALSE)+VLOOKUP($A148,A:AL,22,FALSE)-50))</f>
        <v>178</v>
      </c>
      <c r="X148" s="3">
        <f>IF(ISERROR(VLOOKUP($A148,'SegEnds_NonXtal_BW#'!$A:$Z,17,FALSE)+VLOOKUP($A148,A:AL,25,FALSE)-50),"-",(VLOOKUP($A148,'SegEnds_NonXtal_BW#'!$A:$Z,17,FALSE)+VLOOKUP($A148,A:AL,25,FALSE)-50))</f>
        <v>193</v>
      </c>
      <c r="Y148" s="3">
        <v>193</v>
      </c>
      <c r="Z148" s="3">
        <f t="shared" si="122"/>
        <v>195</v>
      </c>
      <c r="AA148" s="3">
        <f>IF(ISERROR(VLOOKUP($A148,'SegEnds_NonXtal_BW#'!$A:$Z,19,FALSE)+VLOOKUP($A148,A:AL,28,FALSE)-50),"-",(VLOOKUP($A148,'SegEnds_NonXtal_BW#'!$A:$Z,19,FALSE)+VLOOKUP($A148,A:AL,28,FALSE)-50))</f>
        <v>200</v>
      </c>
      <c r="AB148" s="3">
        <v>214</v>
      </c>
      <c r="AC148" s="3">
        <f>IF(ISERROR((VLOOKUP($A148,'SegEnds_NonXtal_BW#'!$A:$Z,20,FALSE)+VLOOKUP($A148,A:AL,28,FALSE)-50)),"-",(VLOOKUP($A148,'SegEnds_NonXtal_BW#'!$A:$Z,20,FALSE)+VLOOKUP($A148,A:AL,28,FALSE)-50))</f>
        <v>238</v>
      </c>
      <c r="AD148" s="3">
        <f>IF(ISERROR(VLOOKUP($A148,'SegEnds_NonXtal_BW#'!$A:$Z,21,FALSE)+VLOOKUP($A148,A:AL,31,FALSE)-50),"-",(VLOOKUP($A148,'SegEnds_NonXtal_BW#'!$A:$Z,21,FALSE)+VLOOKUP($A148,A:AL,31,FALSE)-50))</f>
        <v>251</v>
      </c>
      <c r="AE148" s="3">
        <v>280</v>
      </c>
      <c r="AF148" s="3">
        <f>IF(ISERROR((VLOOKUP($A148,'SegEnds_NonXtal_BW#'!$A:$Z,22,FALSE)+VLOOKUP($A148,A:AL,31,FALSE)-50)),"-",(VLOOKUP($A148,'SegEnds_NonXtal_BW#'!$A:$Z,22,FALSE)+VLOOKUP($A148,A:AL,31,FALSE)-50))</f>
        <v>291</v>
      </c>
      <c r="AG148" s="3">
        <f>IF(ISERROR(VLOOKUP($A148,'SegEnds_NonXtal_BW#'!$A:$Z,23,FALSE)+VLOOKUP($A148,A:AL,34,FALSE)-50),"-",(VLOOKUP($A148,'SegEnds_NonXtal_BW#'!$A:$Z,23,FALSE)+VLOOKUP($A148,A:AL,34,FALSE)-50))</f>
        <v>295</v>
      </c>
      <c r="AH148" s="3">
        <v>314</v>
      </c>
      <c r="AI148" s="3">
        <f>IF(ISERROR((VLOOKUP($A148,'SegEnds_NonXtal_BW#'!$A:$Z,24,FALSE)+VLOOKUP($A148,A:AL,34,FALSE)-50)),"-",(VLOOKUP($A148,'SegEnds_NonXtal_BW#'!$A:$Z,24,FALSE)+VLOOKUP($A148,A:AL,34,FALSE)-50))</f>
        <v>320</v>
      </c>
      <c r="AJ148" s="3">
        <f>IF(ISERROR(VLOOKUP($A148,'SegEnds_NonXtal_BW#'!$A:$Z,25,FALSE)+VLOOKUP($A148,A:AL,37,FALSE)-50),"-",(VLOOKUP($A148,'SegEnds_NonXtal_BW#'!$A:$Z,25,FALSE)+VLOOKUP($A148,A:AL,37,FALSE)-50))</f>
        <v>321</v>
      </c>
      <c r="AK148" s="3">
        <v>324</v>
      </c>
      <c r="AL148" s="3">
        <f>IF(ISERROR((VLOOKUP($A148,'SegEnds_NonXtal_BW#'!$A:$Z,26,FALSE)+VLOOKUP($A148,A:AL,37,FALSE)-50)),"-",(VLOOKUP($A148,'SegEnds_NonXtal_BW#'!$A:$Z,26,FALSE)+VLOOKUP($A148,A:AL,37,FALSE)-50))</f>
        <v>341</v>
      </c>
      <c r="AM148" s="28" t="str">
        <f>VLOOKUP(A148,Classification!A:B,2,FALSE)</f>
        <v>A</v>
      </c>
      <c r="AN148" s="28" t="b">
        <f t="shared" si="121"/>
        <v>1</v>
      </c>
      <c r="AO148" s="3" t="str">
        <f>IF(ISERROR(MATCH(A148,'SegEnds_Xtal_Prot#'!B:B, 0)), "NoXtal", "Xtal")</f>
        <v>Xtal</v>
      </c>
      <c r="AP148" s="3">
        <f t="shared" si="104"/>
        <v>1</v>
      </c>
      <c r="AQ148" s="3">
        <f t="shared" si="105"/>
        <v>1</v>
      </c>
      <c r="AR148" s="3" t="str">
        <f t="shared" si="106"/>
        <v>-</v>
      </c>
      <c r="AS148" s="3" t="str">
        <f t="shared" si="107"/>
        <v>-</v>
      </c>
      <c r="AT148" s="3">
        <f t="shared" si="108"/>
        <v>1</v>
      </c>
      <c r="AU148" s="3">
        <f t="shared" si="109"/>
        <v>1</v>
      </c>
      <c r="AV148" s="3">
        <f t="shared" si="110"/>
        <v>15</v>
      </c>
      <c r="AW148" s="3">
        <f t="shared" si="111"/>
        <v>5</v>
      </c>
      <c r="AX148" s="3">
        <f t="shared" si="112"/>
        <v>13</v>
      </c>
      <c r="AY148" s="3">
        <f t="shared" si="113"/>
        <v>4</v>
      </c>
      <c r="AZ148" s="3">
        <f t="shared" si="114"/>
        <v>1</v>
      </c>
      <c r="BA148" s="3">
        <f>IF(ISERROR(LEN(VLOOKUP(A148,Seqs!A:E,2,FALSE))-AL148),"-",LEN(VLOOKUP(A148,Seqs!A:E,2,FALSE))-AL148)</f>
        <v>20</v>
      </c>
      <c r="BB148" s="16">
        <f t="shared" si="115"/>
        <v>29</v>
      </c>
      <c r="BC148" s="9">
        <f t="shared" si="116"/>
        <v>20</v>
      </c>
      <c r="BD148" s="3">
        <f t="shared" si="117"/>
        <v>29</v>
      </c>
      <c r="BE148" s="3">
        <f t="shared" si="118"/>
        <v>66</v>
      </c>
      <c r="BF148" s="3">
        <f>AH148-AE148</f>
        <v>34</v>
      </c>
    </row>
    <row r="149" spans="1:58" s="3" customFormat="1" x14ac:dyDescent="0.2">
      <c r="A149" s="3" t="s">
        <v>260</v>
      </c>
      <c r="B149" s="3" t="str">
        <f>LOWER(VLOOKUP(A149,Xtal_Templ!A:B,2,FALSE))</f>
        <v>oprk_human</v>
      </c>
      <c r="C149" s="3">
        <f>VLOOKUP($A149,'SegEnds_NonXtal_BW#'!$A:$Z,3,FALSE)+D149-50</f>
        <v>18</v>
      </c>
      <c r="D149" s="3">
        <v>38</v>
      </c>
      <c r="E149" s="3">
        <f>IF(ISERROR(VLOOKUP($A149,'SegEnds_NonXtal_BW#'!$A:$Z,4,FALSE)+VLOOKUP($A149,A:AL,4,FALSE)-50),"-",(VLOOKUP($A149,'SegEnds_NonXtal_BW#'!$A:$Z,4,FALSE)+VLOOKUP($A149,A:AL,4,FALSE)-50))</f>
        <v>48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57</v>
      </c>
      <c r="J149" s="3">
        <v>70</v>
      </c>
      <c r="K149" s="3">
        <f>VLOOKUP($A149,'SegEnds_NonXtal_BW#'!$A:$Z,8,FALSE)+VLOOKUP($A149,A:AL,10,FALSE)-50</f>
        <v>86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93</v>
      </c>
      <c r="P149" s="3">
        <v>119</v>
      </c>
      <c r="Q149" s="3">
        <f>VLOOKUP($A149,'SegEnds_NonXtal_BW#'!$A:$Z,12,FALSE)+VLOOKUP($A149,A:AL,16,FALSE)-50</f>
        <v>125</v>
      </c>
      <c r="R149" s="3">
        <f>IF(ISERROR(VLOOKUP($A149,'SegEnds_NonXtal_BW#'!$A:$Z,13,FALSE)+VLOOKUP($A149,A:AL,19,FALSE)-50),"-",VLOOKUP($A149,'SegEnds_NonXtal_BW#'!$A:$Z,13,FALSE)+VLOOKUP($A149,A:AL,19,FALSE)-50)</f>
        <v>126</v>
      </c>
      <c r="S149" s="3">
        <v>126</v>
      </c>
      <c r="T149" s="100">
        <f>IF(ISERROR(VLOOKUP($A149,'SegEnds_NonXtal_BW#'!$A:$Z,14,FALSE)+VLOOKUP($A149,A:AL,19,FALSE)-50),"-",(VLOOKUP($A149,'SegEnds_NonXtal_BW#'!$A:$Z,14,FALSE)+VLOOKUP($A149,A:AL,19,FALSE)-50))</f>
        <v>133</v>
      </c>
      <c r="U149" s="9">
        <f>IF(ISERROR(VLOOKUP($A149,'SegEnds_NonXtal_BW#'!$A:$Z,15,FALSE)+VLOOKUP($A149,A:AL,22,FALSE)-50),"-",VLOOKUP($A149,'SegEnds_NonXtal_BW#'!$A:$Z,15,FALSE)+VLOOKUP($A149,A:AL,22,FALSE)-50)</f>
        <v>134</v>
      </c>
      <c r="V149" s="3">
        <v>146</v>
      </c>
      <c r="W149" s="3">
        <f>IF(ISERROR(VLOOKUP($A149,'SegEnds_NonXtal_BW#'!$A:$Z,16,FALSE)+VLOOKUP($A149,A:AL,22,FALSE)-50),"-",(VLOOKUP($A149,'SegEnds_NonXtal_BW#'!$A:$Z,16,FALSE)+VLOOKUP($A149,A:AL,22,FALSE)-50))</f>
        <v>160</v>
      </c>
      <c r="X149" s="3">
        <f>IF(ISERROR(VLOOKUP($A149,'SegEnds_NonXtal_BW#'!$A:$Z,17,FALSE)+VLOOKUP($A149,A:AL,25,FALSE)-50),"-",(VLOOKUP($A149,'SegEnds_NonXtal_BW#'!$A:$Z,17,FALSE)+VLOOKUP($A149,A:AL,25,FALSE)-50))</f>
        <v>168</v>
      </c>
      <c r="Y149" s="3">
        <v>168</v>
      </c>
      <c r="Z149" s="3">
        <f t="shared" si="122"/>
        <v>170</v>
      </c>
      <c r="AA149" s="3">
        <f>IF(ISERROR(VLOOKUP($A149,'SegEnds_NonXtal_BW#'!$A:$Z,19,FALSE)+VLOOKUP($A149,A:AL,28,FALSE)-50),"-",(VLOOKUP($A149,'SegEnds_NonXtal_BW#'!$A:$Z,19,FALSE)+VLOOKUP($A149,A:AL,28,FALSE)-50))</f>
        <v>173</v>
      </c>
      <c r="AB149" s="3">
        <v>193</v>
      </c>
      <c r="AC149" s="3">
        <f>IF(ISERROR((VLOOKUP($A149,'SegEnds_NonXtal_BW#'!$A:$Z,20,FALSE)+VLOOKUP($A149,A:AL,28,FALSE)-50)),"-",(VLOOKUP($A149,'SegEnds_NonXtal_BW#'!$A:$Z,20,FALSE)+VLOOKUP($A149,A:AL,28,FALSE)-50))</f>
        <v>211</v>
      </c>
      <c r="AD149" s="3">
        <f>IF(ISERROR(VLOOKUP($A149,'SegEnds_NonXtal_BW#'!$A:$Z,21,FALSE)+VLOOKUP($A149,A:AL,31,FALSE)-50),"-",(VLOOKUP($A149,'SegEnds_NonXtal_BW#'!$A:$Z,21,FALSE)+VLOOKUP($A149,A:AL,31,FALSE)-50))</f>
        <v>215</v>
      </c>
      <c r="AE149" s="3">
        <v>241</v>
      </c>
      <c r="AF149" s="3">
        <f>IF(ISERROR((VLOOKUP($A149,'SegEnds_NonXtal_BW#'!$A:$Z,22,FALSE)+VLOOKUP($A149,A:AL,31,FALSE)-50)),"-",(VLOOKUP($A149,'SegEnds_NonXtal_BW#'!$A:$Z,22,FALSE)+VLOOKUP($A149,A:AL,31,FALSE)-50))</f>
        <v>255</v>
      </c>
      <c r="AG149" s="3">
        <f>IF(ISERROR(VLOOKUP($A149,'SegEnds_NonXtal_BW#'!$A:$Z,23,FALSE)+VLOOKUP($A149,A:AL,34,FALSE)-50),"-",(VLOOKUP($A149,'SegEnds_NonXtal_BW#'!$A:$Z,23,FALSE)+VLOOKUP($A149,A:AL,34,FALSE)-50))</f>
        <v>259</v>
      </c>
      <c r="AH149" s="3">
        <v>285</v>
      </c>
      <c r="AI149" s="3">
        <f>IF(ISERROR((VLOOKUP($A149,'SegEnds_NonXtal_BW#'!$A:$Z,24,FALSE)+VLOOKUP($A149,A:AL,34,FALSE)-50)),"-",(VLOOKUP($A149,'SegEnds_NonXtal_BW#'!$A:$Z,24,FALSE)+VLOOKUP($A149,A:AL,34,FALSE)-50))</f>
        <v>291</v>
      </c>
      <c r="AJ149" s="3">
        <f>IF(ISERROR(VLOOKUP($A149,'SegEnds_NonXtal_BW#'!$A:$Z,25,FALSE)+VLOOKUP($A149,A:AL,37,FALSE)-50),"-",(VLOOKUP($A149,'SegEnds_NonXtal_BW#'!$A:$Z,25,FALSE)+VLOOKUP($A149,A:AL,37,FALSE)-50))</f>
        <v>292</v>
      </c>
      <c r="AK149" s="3">
        <v>295</v>
      </c>
      <c r="AL149" s="3">
        <f>IF(ISERROR((VLOOKUP($A149,'SegEnds_NonXtal_BW#'!$A:$Z,26,FALSE)+VLOOKUP($A149,A:AL,37,FALSE)-50)),"-",(VLOOKUP($A149,'SegEnds_NonXtal_BW#'!$A:$Z,26,FALSE)+VLOOKUP($A149,A:AL,37,FALSE)-50))</f>
        <v>304</v>
      </c>
      <c r="AM149" s="28" t="str">
        <f>VLOOKUP(A149,Classification!A:B,2,FALSE)</f>
        <v>A</v>
      </c>
      <c r="AN149" s="28" t="b">
        <f t="shared" si="121"/>
        <v>1</v>
      </c>
      <c r="AO149" s="3" t="str">
        <f>IF(ISERROR(MATCH(A149,'SegEnds_Xtal_Prot#'!B:B, 0)), "NoXtal", "Xtal")</f>
        <v>NoXtal</v>
      </c>
      <c r="AP149" s="3" t="str">
        <f t="shared" si="104"/>
        <v>-</v>
      </c>
      <c r="AQ149" s="3" t="str">
        <f t="shared" si="105"/>
        <v>-</v>
      </c>
      <c r="AR149" s="3" t="str">
        <f t="shared" si="106"/>
        <v>-</v>
      </c>
      <c r="AS149" s="3" t="str">
        <f t="shared" si="107"/>
        <v>-</v>
      </c>
      <c r="AT149" s="3">
        <f t="shared" si="108"/>
        <v>1</v>
      </c>
      <c r="AU149" s="3">
        <f t="shared" si="109"/>
        <v>1</v>
      </c>
      <c r="AV149" s="3">
        <f t="shared" si="110"/>
        <v>8</v>
      </c>
      <c r="AW149" s="3">
        <f t="shared" si="111"/>
        <v>3</v>
      </c>
      <c r="AX149" s="3">
        <f t="shared" si="112"/>
        <v>4</v>
      </c>
      <c r="AY149" s="3">
        <f t="shared" si="113"/>
        <v>4</v>
      </c>
      <c r="AZ149" s="3">
        <f t="shared" si="114"/>
        <v>1</v>
      </c>
      <c r="BA149" s="3">
        <f>IF(ISERROR(LEN(VLOOKUP(A149,Seqs!A:E,2,FALSE))-AL149),"-",LEN(VLOOKUP(A149,Seqs!A:E,2,FALSE))-AL149)</f>
        <v>15</v>
      </c>
      <c r="BB149" s="16">
        <f t="shared" si="115"/>
        <v>32</v>
      </c>
      <c r="BC149" s="9">
        <f t="shared" si="116"/>
        <v>20</v>
      </c>
      <c r="BD149" s="3">
        <f t="shared" si="117"/>
        <v>32</v>
      </c>
      <c r="BE149" s="3">
        <f t="shared" si="118"/>
        <v>48</v>
      </c>
      <c r="BF149" s="3">
        <f>AH149-AE149</f>
        <v>44</v>
      </c>
    </row>
    <row r="150" spans="1:58" s="3" customFormat="1" x14ac:dyDescent="0.2">
      <c r="A150" s="3" t="s">
        <v>261</v>
      </c>
      <c r="B150" s="3" t="str">
        <f>LOWER(VLOOKUP(A150,Xtal_Templ!A:B,2,FALSE))</f>
        <v>mc4r_human</v>
      </c>
      <c r="C150" s="3">
        <f>VLOOKUP($A150,'SegEnds_NonXtal_BW#'!$A:$Z,3,FALSE)+D150-50</f>
        <v>75</v>
      </c>
      <c r="D150" s="3">
        <v>90</v>
      </c>
      <c r="E150" s="3">
        <f>IF(ISERROR(VLOOKUP($A150,'SegEnds_NonXtal_BW#'!$A:$Z,4,FALSE)+VLOOKUP($A150,A:AL,4,FALSE)-50),"-",(VLOOKUP($A150,'SegEnds_NonXtal_BW#'!$A:$Z,4,FALSE)+VLOOKUP($A150,A:AL,4,FALSE)-50))</f>
        <v>100</v>
      </c>
      <c r="F150" s="3">
        <f>G150-2</f>
        <v>101</v>
      </c>
      <c r="G150" s="3">
        <v>103</v>
      </c>
      <c r="H150" s="3">
        <f>G150+1</f>
        <v>104</v>
      </c>
      <c r="I150" s="3">
        <f>H150+1</f>
        <v>105</v>
      </c>
      <c r="J150" s="3">
        <v>118</v>
      </c>
      <c r="K150" s="3">
        <f>VLOOKUP($A150,'SegEnds_NonXtal_BW#'!$A:$Z,8,FALSE)+VLOOKUP($A150,A:AL,10,FALSE)-50</f>
        <v>130</v>
      </c>
      <c r="L150" s="3">
        <f>M150-1</f>
        <v>132</v>
      </c>
      <c r="M150" s="3">
        <v>133</v>
      </c>
      <c r="N150" s="3">
        <f>M150+2</f>
        <v>135</v>
      </c>
      <c r="O150" s="3">
        <f>N150+1</f>
        <v>136</v>
      </c>
      <c r="P150" s="3">
        <v>166</v>
      </c>
      <c r="Q150" s="3">
        <f>VLOOKUP($A150,'SegEnds_NonXtal_BW#'!$A:$Z,12,FALSE)+VLOOKUP($A150,A:AL,16,FALSE)-50</f>
        <v>172</v>
      </c>
      <c r="R150" s="3">
        <f>S150</f>
        <v>173</v>
      </c>
      <c r="S150" s="3">
        <v>173</v>
      </c>
      <c r="T150" s="100">
        <f>S150+7</f>
        <v>180</v>
      </c>
      <c r="U150" s="9">
        <f>IF(ISERROR(VLOOKUP($A150,'SegEnds_NonXtal_BW#'!$A:$Z,15,FALSE)+VLOOKUP($A150,A:AL,22,FALSE)-50),"-",VLOOKUP($A150,'SegEnds_NonXtal_BW#'!$A:$Z,15,FALSE)+VLOOKUP($A150,A:AL,22,FALSE)-50)</f>
        <v>181</v>
      </c>
      <c r="V150" s="3">
        <v>193</v>
      </c>
      <c r="W150" s="3">
        <f>IF(ISERROR(VLOOKUP($A150,'SegEnds_NonXtal_BW#'!$A:$Z,16,FALSE)+VLOOKUP($A150,A:AL,22,FALSE)-50),"-",(VLOOKUP($A150,'SegEnds_NonXtal_BW#'!$A:$Z,16,FALSE)+VLOOKUP($A150,A:AL,22,FALSE)-50))</f>
        <v>207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223</v>
      </c>
      <c r="AB150" s="3">
        <v>237</v>
      </c>
      <c r="AC150" s="3">
        <f>IF(ISERROR((VLOOKUP($A150,'SegEnds_NonXtal_BW#'!$A:$Z,20,FALSE)+VLOOKUP($A150,A:AL,28,FALSE)-50)),"-",(VLOOKUP($A150,'SegEnds_NonXtal_BW#'!$A:$Z,20,FALSE)+VLOOKUP($A150,A:AL,28,FALSE)-50))</f>
        <v>260</v>
      </c>
      <c r="AD150" s="3">
        <f>IF(ISERROR(VLOOKUP($A150,'SegEnds_NonXtal_BW#'!$A:$Z,21,FALSE)+VLOOKUP($A150,A:AL,31,FALSE)-50),"-",(VLOOKUP($A150,'SegEnds_NonXtal_BW#'!$A:$Z,21,FALSE)+VLOOKUP($A150,A:AL,31,FALSE)-50))</f>
        <v>266</v>
      </c>
      <c r="AE150" s="3">
        <v>294</v>
      </c>
      <c r="AF150" s="3">
        <f>IF(ISERROR((VLOOKUP($A150,'SegEnds_NonXtal_BW#'!$A:$Z,22,FALSE)+VLOOKUP($A150,A:AL,31,FALSE)-50)),"-",(VLOOKUP($A150,'SegEnds_NonXtal_BW#'!$A:$Z,22,FALSE)+VLOOKUP($A150,A:AL,31,FALSE)-50))</f>
        <v>305</v>
      </c>
      <c r="AG150" s="3">
        <f>IF(ISERROR(VLOOKUP($A150,'SegEnds_NonXtal_BW#'!$A:$Z,23,FALSE)+VLOOKUP($A150,A:AL,34,FALSE)-50),"-",(VLOOKUP($A150,'SegEnds_NonXtal_BW#'!$A:$Z,23,FALSE)+VLOOKUP($A150,A:AL,34,FALSE)-50))</f>
        <v>310</v>
      </c>
      <c r="AH150" s="3">
        <v>326</v>
      </c>
      <c r="AI150" s="3">
        <f>IF(ISERROR((VLOOKUP($A150,'SegEnds_NonXtal_BW#'!$A:$Z,24,FALSE)+VLOOKUP($A150,A:AL,34,FALSE)-50)),"-",(VLOOKUP($A150,'SegEnds_NonXtal_BW#'!$A:$Z,24,FALSE)+VLOOKUP($A150,A:AL,34,FALSE)-50))</f>
        <v>332</v>
      </c>
      <c r="AJ150" s="3">
        <f>IF(ISERROR(VLOOKUP($A150,'SegEnds_NonXtal_BW#'!$A:$Z,25,FALSE)+VLOOKUP($A150,A:AL,37,FALSE)-50),"-",(VLOOKUP($A150,'SegEnds_NonXtal_BW#'!$A:$Z,25,FALSE)+VLOOKUP($A150,A:AL,37,FALSE)-50))</f>
        <v>333</v>
      </c>
      <c r="AK150" s="3">
        <v>336</v>
      </c>
      <c r="AL150" s="3">
        <f>IF(ISERROR((VLOOKUP($A150,'SegEnds_NonXtal_BW#'!$A:$Z,26,FALSE)+VLOOKUP($A150,A:AL,37,FALSE)-50)),"-",(VLOOKUP($A150,'SegEnds_NonXtal_BW#'!$A:$Z,26,FALSE)+VLOOKUP($A150,A:AL,37,FALSE)-50))</f>
        <v>347</v>
      </c>
      <c r="AM150" s="28" t="str">
        <f>VLOOKUP(A150,Classification!A:B,2,FALSE)</f>
        <v>A</v>
      </c>
      <c r="AN150" s="28" t="b">
        <f t="shared" si="121"/>
        <v>1</v>
      </c>
      <c r="AO150" s="3" t="str">
        <f>IF(ISERROR(MATCH(A150,'SegEnds_Xtal_Prot#'!B:B, 0)), "NoXtal", "Xtal")</f>
        <v>NoXtal</v>
      </c>
      <c r="AP150" s="3">
        <f t="shared" si="104"/>
        <v>1</v>
      </c>
      <c r="AQ150" s="3">
        <f t="shared" si="105"/>
        <v>1</v>
      </c>
      <c r="AR150" s="3">
        <f t="shared" si="106"/>
        <v>2</v>
      </c>
      <c r="AS150" s="3">
        <f t="shared" si="107"/>
        <v>1</v>
      </c>
      <c r="AT150" s="3">
        <f t="shared" si="108"/>
        <v>1</v>
      </c>
      <c r="AU150" s="3">
        <f t="shared" si="109"/>
        <v>1</v>
      </c>
      <c r="AV150" s="3" t="str">
        <f t="shared" si="110"/>
        <v>-</v>
      </c>
      <c r="AW150" s="3" t="str">
        <f t="shared" si="111"/>
        <v>-</v>
      </c>
      <c r="AX150" s="3">
        <f t="shared" si="112"/>
        <v>6</v>
      </c>
      <c r="AY150" s="3">
        <f t="shared" si="113"/>
        <v>5</v>
      </c>
      <c r="AZ150" s="3">
        <f t="shared" si="114"/>
        <v>1</v>
      </c>
      <c r="BA150" s="3">
        <f>IF(ISERROR(LEN(VLOOKUP(A150,Seqs!A:E,2,FALSE))-AL150),"-",LEN(VLOOKUP(A150,Seqs!A:E,2,FALSE))-AL150)</f>
        <v>15</v>
      </c>
      <c r="BB150" s="16">
        <f t="shared" si="115"/>
        <v>28</v>
      </c>
      <c r="BC150" s="9">
        <f t="shared" si="116"/>
        <v>20</v>
      </c>
      <c r="BD150" s="3">
        <f t="shared" si="117"/>
        <v>28</v>
      </c>
      <c r="BE150" s="3">
        <f t="shared" si="118"/>
        <v>57</v>
      </c>
      <c r="BF150" s="3">
        <f>AH150-AE150</f>
        <v>32</v>
      </c>
    </row>
    <row r="151" spans="1:58" s="3" customFormat="1" x14ac:dyDescent="0.2">
      <c r="A151" s="3" t="s">
        <v>262</v>
      </c>
      <c r="B151" s="3" t="str">
        <f>LOWER(VLOOKUP(A151,Xtal_Templ!A:B,2,FALSE))</f>
        <v>5ht2c_human</v>
      </c>
      <c r="C151" s="3">
        <f>VLOOKUP($A151,'SegEnds_NonXtal_BW#'!$A:$Z,3,FALSE)+D151-50</f>
        <v>43</v>
      </c>
      <c r="D151" s="3">
        <v>60</v>
      </c>
      <c r="E151" s="3">
        <f>IF(ISERROR(VLOOKUP($A151,'SegEnds_NonXtal_BW#'!$A:$Z,4,FALSE)+VLOOKUP($A151,A:AL,4,FALSE)-50),"-",(VLOOKUP($A151,'SegEnds_NonXtal_BW#'!$A:$Z,4,FALSE)+VLOOKUP($A151,A:AL,4,FALSE)-50))</f>
        <v>70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73</v>
      </c>
      <c r="J151" s="3">
        <v>86</v>
      </c>
      <c r="K151" s="3">
        <f>VLOOKUP($A151,'SegEnds_NonXtal_BW#'!$A:$Z,8,FALSE)+VLOOKUP($A151,A:AL,10,FALSE)-50</f>
        <v>104</v>
      </c>
      <c r="L151" s="3">
        <f>M151-1</f>
        <v>106</v>
      </c>
      <c r="M151" s="3">
        <v>107</v>
      </c>
      <c r="N151" s="3">
        <f>M151+2</f>
        <v>109</v>
      </c>
      <c r="O151" s="3">
        <f>N151+1</f>
        <v>110</v>
      </c>
      <c r="P151" s="3">
        <v>140</v>
      </c>
      <c r="Q151" s="3">
        <f>VLOOKUP($A151,'SegEnds_NonXtal_BW#'!$A:$Z,12,FALSE)+VLOOKUP($A151,A:AL,16,FALSE)-50</f>
        <v>146</v>
      </c>
      <c r="R151" s="3">
        <f>IF(ISERROR(VLOOKUP($A151,'SegEnds_NonXtal_BW#'!$A:$Z,13,FALSE)+VLOOKUP($A151,A:AL,19,FALSE)-50),"-",VLOOKUP($A151,'SegEnds_NonXtal_BW#'!$A:$Z,13,FALSE)+VLOOKUP($A151,A:AL,19,FALSE)-50)</f>
        <v>147</v>
      </c>
      <c r="S151" s="3">
        <v>147</v>
      </c>
      <c r="T151" s="100">
        <f>IF(ISERROR(VLOOKUP($A151,'SegEnds_NonXtal_BW#'!$A:$Z,14,FALSE)+VLOOKUP($A151,A:AL,19,FALSE)-50),"-",(VLOOKUP($A151,'SegEnds_NonXtal_BW#'!$A:$Z,14,FALSE)+VLOOKUP($A151,A:AL,19,FALSE)-50))</f>
        <v>154</v>
      </c>
      <c r="U151" s="9">
        <f>IF(ISERROR(VLOOKUP($A151,'SegEnds_NonXtal_BW#'!$A:$Z,15,FALSE)+VLOOKUP($A151,A:AL,22,FALSE)-50),"-",VLOOKUP($A151,'SegEnds_NonXtal_BW#'!$A:$Z,15,FALSE)+VLOOKUP($A151,A:AL,22,FALSE)-50)</f>
        <v>155</v>
      </c>
      <c r="V151" s="3">
        <v>167</v>
      </c>
      <c r="W151" s="3">
        <f>IF(ISERROR(VLOOKUP($A151,'SegEnds_NonXtal_BW#'!$A:$Z,16,FALSE)+VLOOKUP($A151,A:AL,22,FALSE)-50),"-",(VLOOKUP($A151,'SegEnds_NonXtal_BW#'!$A:$Z,16,FALSE)+VLOOKUP($A151,A:AL,22,FALSE)-50))</f>
        <v>184</v>
      </c>
      <c r="X151" s="3">
        <f>IF(ISERROR(VLOOKUP($A151,'SegEnds_NonXtal_BW#'!$A:$Z,17,FALSE)+VLOOKUP($A151,A:AL,25,FALSE)-50),"-",(VLOOKUP($A151,'SegEnds_NonXtal_BW#'!$A:$Z,17,FALSE)+VLOOKUP($A151,A:AL,25,FALSE)-50))</f>
        <v>195</v>
      </c>
      <c r="Y151" s="3">
        <v>195</v>
      </c>
      <c r="Z151" s="3">
        <f>Y151+2</f>
        <v>197</v>
      </c>
      <c r="AA151" s="3">
        <f>IF(ISERROR(VLOOKUP($A151,'SegEnds_NonXtal_BW#'!$A:$Z,19,FALSE)+VLOOKUP($A151,A:AL,28,FALSE)-50),"-",(VLOOKUP($A151,'SegEnds_NonXtal_BW#'!$A:$Z,19,FALSE)+VLOOKUP($A151,A:AL,28,FALSE)-50))</f>
        <v>205</v>
      </c>
      <c r="AB151" s="3">
        <v>220</v>
      </c>
      <c r="AC151" s="3">
        <f>IF(ISERROR((VLOOKUP($A151,'SegEnds_NonXtal_BW#'!$A:$Z,20,FALSE)+VLOOKUP($A151,A:AL,28,FALSE)-50)),"-",(VLOOKUP($A151,'SegEnds_NonXtal_BW#'!$A:$Z,20,FALSE)+VLOOKUP($A151,A:AL,28,FALSE)-50))</f>
        <v>246</v>
      </c>
      <c r="AD151" s="3">
        <f>IF(ISERROR(VLOOKUP($A151,'SegEnds_NonXtal_BW#'!$A:$Z,21,FALSE)+VLOOKUP($A151,A:AL,31,FALSE)-50),"-",(VLOOKUP($A151,'SegEnds_NonXtal_BW#'!$A:$Z,21,FALSE)+VLOOKUP($A151,A:AL,31,FALSE)-50))</f>
        <v>276</v>
      </c>
      <c r="AE151" s="3">
        <v>302</v>
      </c>
      <c r="AF151" s="3">
        <f>IF(ISERROR((VLOOKUP($A151,'SegEnds_NonXtal_BW#'!$A:$Z,22,FALSE)+VLOOKUP($A151,A:AL,31,FALSE)-50)),"-",(VLOOKUP($A151,'SegEnds_NonXtal_BW#'!$A:$Z,22,FALSE)+VLOOKUP($A151,A:AL,31,FALSE)-50))</f>
        <v>313</v>
      </c>
      <c r="AG151" s="3">
        <f>IF(ISERROR(VLOOKUP($A151,'SegEnds_NonXtal_BW#'!$A:$Z,23,FALSE)+VLOOKUP($A151,A:AL,34,FALSE)-50),"-",(VLOOKUP($A151,'SegEnds_NonXtal_BW#'!$A:$Z,23,FALSE)+VLOOKUP($A151,A:AL,34,FALSE)-50))</f>
        <v>319</v>
      </c>
      <c r="AH151" s="3">
        <v>338</v>
      </c>
      <c r="AI151" s="3">
        <f>IF(ISERROR((VLOOKUP($A151,'SegEnds_NonXtal_BW#'!$A:$Z,24,FALSE)+VLOOKUP($A151,A:AL,34,FALSE)-50)),"-",(VLOOKUP($A151,'SegEnds_NonXtal_BW#'!$A:$Z,24,FALSE)+VLOOKUP($A151,A:AL,34,FALSE)-50))</f>
        <v>344</v>
      </c>
      <c r="AJ151" s="3">
        <f>IF(ISERROR(VLOOKUP($A151,'SegEnds_NonXtal_BW#'!$A:$Z,25,FALSE)+VLOOKUP($A151,A:AL,37,FALSE)-50),"-",(VLOOKUP($A151,'SegEnds_NonXtal_BW#'!$A:$Z,25,FALSE)+VLOOKUP($A151,A:AL,37,FALSE)-50))</f>
        <v>345</v>
      </c>
      <c r="AK151" s="3">
        <v>348</v>
      </c>
      <c r="AL151" s="3">
        <f>IF(ISERROR((VLOOKUP($A151,'SegEnds_NonXtal_BW#'!$A:$Z,26,FALSE)+VLOOKUP($A151,A:AL,37,FALSE)-50)),"-",(VLOOKUP($A151,'SegEnds_NonXtal_BW#'!$A:$Z,26,FALSE)+VLOOKUP($A151,A:AL,37,FALSE)-50))</f>
        <v>358</v>
      </c>
      <c r="AM151" s="28" t="str">
        <f>VLOOKUP(A151,Classification!A:B,2,FALSE)</f>
        <v>A</v>
      </c>
      <c r="AN151" s="28" t="b">
        <f t="shared" si="121"/>
        <v>1</v>
      </c>
      <c r="AO151" s="3" t="str">
        <f>IF(ISERROR(MATCH(A151,'SegEnds_Xtal_Prot#'!B:B, 0)), "NoXtal", "Xtal")</f>
        <v>NoXtal</v>
      </c>
      <c r="AP151" s="3" t="str">
        <f t="shared" si="104"/>
        <v>-</v>
      </c>
      <c r="AQ151" s="3" t="str">
        <f t="shared" si="105"/>
        <v>-</v>
      </c>
      <c r="AR151" s="3">
        <f t="shared" si="106"/>
        <v>2</v>
      </c>
      <c r="AS151" s="3">
        <f t="shared" si="107"/>
        <v>1</v>
      </c>
      <c r="AT151" s="3">
        <f t="shared" si="108"/>
        <v>1</v>
      </c>
      <c r="AU151" s="3">
        <f t="shared" si="109"/>
        <v>1</v>
      </c>
      <c r="AV151" s="3">
        <f t="shared" si="110"/>
        <v>11</v>
      </c>
      <c r="AW151" s="3">
        <f t="shared" si="111"/>
        <v>8</v>
      </c>
      <c r="AX151" s="3">
        <f t="shared" si="112"/>
        <v>30</v>
      </c>
      <c r="AY151" s="3">
        <f t="shared" si="113"/>
        <v>6</v>
      </c>
      <c r="AZ151" s="3">
        <f t="shared" si="114"/>
        <v>1</v>
      </c>
      <c r="BA151" s="3">
        <f>IF(ISERROR(LEN(VLOOKUP(A151,Seqs!A:E,2,FALSE))-AL151),"-",LEN(VLOOKUP(A151,Seqs!A:E,2,FALSE))-AL151)</f>
        <v>93</v>
      </c>
      <c r="BB151" s="16">
        <f t="shared" si="115"/>
        <v>26</v>
      </c>
      <c r="BC151" s="9">
        <f t="shared" si="116"/>
        <v>20</v>
      </c>
      <c r="BD151" s="3">
        <f t="shared" si="117"/>
        <v>26</v>
      </c>
      <c r="BE151" s="3">
        <f t="shared" si="118"/>
        <v>82</v>
      </c>
    </row>
    <row r="152" spans="1:58" s="3" customFormat="1" x14ac:dyDescent="0.2">
      <c r="A152" s="3" t="s">
        <v>266</v>
      </c>
      <c r="B152" s="3" t="str">
        <f>LOWER(VLOOKUP(A152,Xtal_Templ!A:B,2,FALSE))</f>
        <v>drd2_human</v>
      </c>
      <c r="C152" s="3">
        <f>VLOOKUP($A152,'SegEnds_NonXtal_BW#'!$A:$Z,3,FALSE)+D152-50</f>
        <v>2</v>
      </c>
      <c r="D152" s="3">
        <v>23</v>
      </c>
      <c r="E152" s="3">
        <f>IF(ISERROR(VLOOKUP($A152,'SegEnds_NonXtal_BW#'!$A:$Z,4,FALSE)+VLOOKUP($A152,A:AL,4,FALSE)-50),"-",(VLOOKUP($A152,'SegEnds_NonXtal_BW#'!$A:$Z,4,FALSE)+VLOOKUP($A152,A:AL,4,FALSE)-50))</f>
        <v>33</v>
      </c>
      <c r="F152" s="3">
        <f>G152-2</f>
        <v>34</v>
      </c>
      <c r="G152" s="3">
        <v>36</v>
      </c>
      <c r="H152" s="3">
        <f>G152+1</f>
        <v>37</v>
      </c>
      <c r="I152" s="3">
        <f>H152+1</f>
        <v>38</v>
      </c>
      <c r="J152" s="3">
        <v>52</v>
      </c>
      <c r="K152" s="3">
        <f>VLOOKUP($A152,'SegEnds_NonXtal_BW#'!$A:$Z,8,FALSE)+VLOOKUP($A152,A:AL,10,FALSE)-50</f>
        <v>70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75</v>
      </c>
      <c r="P152" s="3">
        <v>104</v>
      </c>
      <c r="Q152" s="3">
        <f>VLOOKUP($A152,'SegEnds_NonXtal_BW#'!$A:$Z,12,FALSE)+VLOOKUP($A152,A:AL,16,FALSE)-50</f>
        <v>110</v>
      </c>
      <c r="R152" s="3">
        <f>IF(ISERROR(VLOOKUP($A152,'SegEnds_NonXtal_BW#'!$A:$Z,13,FALSE)+VLOOKUP($A152,A:AL,19,FALSE)-50),"-",VLOOKUP($A152,'SegEnds_NonXtal_BW#'!$A:$Z,13,FALSE)+VLOOKUP($A152,A:AL,19,FALSE)-50)</f>
        <v>111</v>
      </c>
      <c r="S152" s="3">
        <v>111</v>
      </c>
      <c r="T152" s="100">
        <f>IF(ISERROR(VLOOKUP($A152,'SegEnds_NonXtal_BW#'!$A:$Z,14,FALSE)+VLOOKUP($A152,A:AL,19,FALSE)-50),"-",(VLOOKUP($A152,'SegEnds_NonXtal_BW#'!$A:$Z,14,FALSE)+VLOOKUP($A152,A:AL,19,FALSE)-50))</f>
        <v>118</v>
      </c>
      <c r="U152" s="9">
        <f>IF(ISERROR(VLOOKUP($A152,'SegEnds_NonXtal_BW#'!$A:$Z,15,FALSE)+VLOOKUP($A152,A:AL,22,FALSE)-50),"-",VLOOKUP($A152,'SegEnds_NonXtal_BW#'!$A:$Z,15,FALSE)+VLOOKUP($A152,A:AL,22,FALSE)-50)</f>
        <v>119</v>
      </c>
      <c r="V152" s="3">
        <v>131</v>
      </c>
      <c r="W152" s="3">
        <f>IF(ISERROR(VLOOKUP($A152,'SegEnds_NonXtal_BW#'!$A:$Z,16,FALSE)+VLOOKUP($A152,A:AL,22,FALSE)-50),"-",(VLOOKUP($A152,'SegEnds_NonXtal_BW#'!$A:$Z,16,FALSE)+VLOOKUP($A152,A:AL,22,FALSE)-50))</f>
        <v>143</v>
      </c>
      <c r="X152" s="3">
        <f>IF(ISERROR(VLOOKUP($A152,'SegEnds_NonXtal_BW#'!$A:$Z,17,FALSE)+VLOOKUP($A152,A:AL,25,FALSE)-50),"-",(VLOOKUP($A152,'SegEnds_NonXtal_BW#'!$A:$Z,17,FALSE)+VLOOKUP($A152,A:AL,25,FALSE)-50))</f>
        <v>156</v>
      </c>
      <c r="Y152" s="3">
        <v>156</v>
      </c>
      <c r="Z152" s="3">
        <f>Y152+2</f>
        <v>158</v>
      </c>
      <c r="AA152" s="3">
        <f>IF(ISERROR(VLOOKUP($A152,'SegEnds_NonXtal_BW#'!$A:$Z,19,FALSE)+VLOOKUP($A152,A:AL,28,FALSE)-50),"-",(VLOOKUP($A152,'SegEnds_NonXtal_BW#'!$A:$Z,19,FALSE)+VLOOKUP($A152,A:AL,28,FALSE)-50))</f>
        <v>169</v>
      </c>
      <c r="AB152" s="3">
        <v>184</v>
      </c>
      <c r="AC152" s="3">
        <f>IF(ISERROR((VLOOKUP($A152,'SegEnds_NonXtal_BW#'!$A:$Z,20,FALSE)+VLOOKUP($A152,A:AL,28,FALSE)-50)),"-",(VLOOKUP($A152,'SegEnds_NonXtal_BW#'!$A:$Z,20,FALSE)+VLOOKUP($A152,A:AL,28,FALSE)-50))</f>
        <v>210</v>
      </c>
      <c r="AD152" s="3">
        <f>IF(ISERROR(VLOOKUP($A152,'SegEnds_NonXtal_BW#'!$A:$Z,21,FALSE)+VLOOKUP($A152,A:AL,31,FALSE)-50),"-",(VLOOKUP($A152,'SegEnds_NonXtal_BW#'!$A:$Z,21,FALSE)+VLOOKUP($A152,A:AL,31,FALSE)-50))</f>
        <v>230</v>
      </c>
      <c r="AE152" s="3">
        <v>256</v>
      </c>
      <c r="AF152" s="3">
        <f>IF(ISERROR((VLOOKUP($A152,'SegEnds_NonXtal_BW#'!$A:$Z,22,FALSE)+VLOOKUP($A152,A:AL,31,FALSE)-50)),"-",(VLOOKUP($A152,'SegEnds_NonXtal_BW#'!$A:$Z,22,FALSE)+VLOOKUP($A152,A:AL,31,FALSE)-50))</f>
        <v>267</v>
      </c>
      <c r="AG152" s="3">
        <f>IF(ISERROR(VLOOKUP($A152,'SegEnds_NonXtal_BW#'!$A:$Z,23,FALSE)+VLOOKUP($A152,A:AL,34,FALSE)-50),"-",(VLOOKUP($A152,'SegEnds_NonXtal_BW#'!$A:$Z,23,FALSE)+VLOOKUP($A152,A:AL,34,FALSE)-50))</f>
        <v>272</v>
      </c>
      <c r="AH152" s="3">
        <v>291</v>
      </c>
      <c r="AI152" s="3">
        <f>IF(ISERROR((VLOOKUP($A152,'SegEnds_NonXtal_BW#'!$A:$Z,24,FALSE)+VLOOKUP($A152,A:AL,34,FALSE)-50)),"-",(VLOOKUP($A152,'SegEnds_NonXtal_BW#'!$A:$Z,24,FALSE)+VLOOKUP($A152,A:AL,34,FALSE)-50))</f>
        <v>297</v>
      </c>
      <c r="AJ152" s="3">
        <f>IF(ISERROR(VLOOKUP($A152,'SegEnds_NonXtal_BW#'!$A:$Z,25,FALSE)+VLOOKUP($A152,A:AL,37,FALSE)-50),"-",(VLOOKUP($A152,'SegEnds_NonXtal_BW#'!$A:$Z,25,FALSE)+VLOOKUP($A152,A:AL,37,FALSE)-50))</f>
        <v>298</v>
      </c>
      <c r="AK152" s="3">
        <v>301</v>
      </c>
      <c r="AL152" s="3">
        <f>IF(ISERROR((VLOOKUP($A152,'SegEnds_NonXtal_BW#'!$A:$Z,26,FALSE)+VLOOKUP($A152,A:AL,37,FALSE)-50)),"-",(VLOOKUP($A152,'SegEnds_NonXtal_BW#'!$A:$Z,26,FALSE)+VLOOKUP($A152,A:AL,37,FALSE)-50))</f>
        <v>310</v>
      </c>
      <c r="AM152" s="28" t="str">
        <f>VLOOKUP(A152,Classification!A:B,2,FALSE)</f>
        <v>A</v>
      </c>
      <c r="AN152" s="28" t="b">
        <f t="shared" si="121"/>
        <v>1</v>
      </c>
      <c r="AO152" s="3" t="str">
        <f>IF(ISERROR(MATCH(A152,'SegEnds_Xtal_Prot#'!B:B, 0)), "NoXtal", "Xtal")</f>
        <v>NoXtal</v>
      </c>
      <c r="AP152" s="3">
        <f t="shared" si="104"/>
        <v>1</v>
      </c>
      <c r="AQ152" s="3">
        <f t="shared" si="105"/>
        <v>1</v>
      </c>
      <c r="AR152" s="3" t="str">
        <f t="shared" si="106"/>
        <v>-</v>
      </c>
      <c r="AS152" s="3" t="str">
        <f t="shared" si="107"/>
        <v>-</v>
      </c>
      <c r="AT152" s="3">
        <f t="shared" si="108"/>
        <v>1</v>
      </c>
      <c r="AU152" s="3">
        <f t="shared" si="109"/>
        <v>1</v>
      </c>
      <c r="AV152" s="3">
        <f t="shared" si="110"/>
        <v>13</v>
      </c>
      <c r="AW152" s="3">
        <f t="shared" si="111"/>
        <v>11</v>
      </c>
      <c r="AX152" s="3">
        <f t="shared" si="112"/>
        <v>20</v>
      </c>
      <c r="AY152" s="3">
        <f t="shared" si="113"/>
        <v>5</v>
      </c>
      <c r="AZ152" s="3">
        <f t="shared" si="114"/>
        <v>1</v>
      </c>
      <c r="BA152" s="3">
        <f>IF(ISERROR(LEN(VLOOKUP(A152,Seqs!A:E,2,FALSE))-AL152),"-",LEN(VLOOKUP(A152,Seqs!A:E,2,FALSE))-AL152)</f>
        <v>53</v>
      </c>
      <c r="BB152" s="16">
        <f t="shared" si="115"/>
        <v>29</v>
      </c>
      <c r="BC152" s="9">
        <f t="shared" si="116"/>
        <v>20</v>
      </c>
      <c r="BD152" s="3">
        <f t="shared" si="117"/>
        <v>29</v>
      </c>
      <c r="BE152" s="3">
        <f t="shared" si="118"/>
        <v>72</v>
      </c>
    </row>
    <row r="153" spans="1:58" s="3" customFormat="1" x14ac:dyDescent="0.2">
      <c r="A153" s="3" t="s">
        <v>267</v>
      </c>
      <c r="B153" s="3" t="str">
        <f>LOWER(VLOOKUP(A153,Xtal_Templ!A:B,2,FALSE))</f>
        <v>oprm_mouse</v>
      </c>
      <c r="C153" s="3">
        <f>VLOOKUP($A153,'SegEnds_NonXtal_BW#'!$A:$Z,3,FALSE)+D153-50</f>
        <v>12</v>
      </c>
      <c r="D153" s="3">
        <v>33</v>
      </c>
      <c r="E153" s="3">
        <f>IF(ISERROR(VLOOKUP($A153,'SegEnds_NonXtal_BW#'!$A:$Z,4,FALSE)+VLOOKUP($A153,A:AL,4,FALSE)-50),"-",(VLOOKUP($A153,'SegEnds_NonXtal_BW#'!$A:$Z,4,FALSE)+VLOOKUP($A153,A:AL,4,FALSE)-50))</f>
        <v>43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48</v>
      </c>
      <c r="J153" s="3">
        <v>61</v>
      </c>
      <c r="K153" s="3">
        <f>VLOOKUP($A153,'SegEnds_NonXtal_BW#'!$A:$Z,8,FALSE)+VLOOKUP($A153,A:AL,10,FALSE)-50</f>
        <v>78</v>
      </c>
      <c r="L153" s="3">
        <f>M153-1</f>
        <v>80</v>
      </c>
      <c r="M153" s="3">
        <v>81</v>
      </c>
      <c r="N153" s="3">
        <f>M153+2</f>
        <v>83</v>
      </c>
      <c r="O153" s="3">
        <f>N153+1</f>
        <v>84</v>
      </c>
      <c r="P153" s="3">
        <v>117</v>
      </c>
      <c r="Q153" s="3">
        <f>VLOOKUP($A153,'SegEnds_NonXtal_BW#'!$A:$Z,12,FALSE)+VLOOKUP($A153,A:AL,16,FALSE)-50</f>
        <v>123</v>
      </c>
      <c r="R153" s="3">
        <f>IF(ISERROR(VLOOKUP($A153,'SegEnds_NonXtal_BW#'!$A:$Z,13,FALSE)+VLOOKUP($A153,A:AL,19,FALSE)-50),"-",VLOOKUP($A153,'SegEnds_NonXtal_BW#'!$A:$Z,13,FALSE)+VLOOKUP($A153,A:AL,19,FALSE)-50)</f>
        <v>140</v>
      </c>
      <c r="S153" s="3">
        <v>140</v>
      </c>
      <c r="T153" s="100">
        <f>IF(ISERROR(VLOOKUP($A153,'SegEnds_NonXtal_BW#'!$A:$Z,14,FALSE)+VLOOKUP($A153,A:AL,19,FALSE)-50),"-",(VLOOKUP($A153,'SegEnds_NonXtal_BW#'!$A:$Z,14,FALSE)+VLOOKUP($A153,A:AL,19,FALSE)-50))</f>
        <v>147</v>
      </c>
      <c r="U153" s="9">
        <f>IF(ISERROR(VLOOKUP($A153,'SegEnds_NonXtal_BW#'!$A:$Z,15,FALSE)+VLOOKUP($A153,A:AL,22,FALSE)-50),"-",VLOOKUP($A153,'SegEnds_NonXtal_BW#'!$A:$Z,15,FALSE)+VLOOKUP($A153,A:AL,22,FALSE)-50)</f>
        <v>148</v>
      </c>
      <c r="V153" s="3">
        <v>160</v>
      </c>
      <c r="W153" s="3">
        <f>IF(ISERROR(VLOOKUP($A153,'SegEnds_NonXtal_BW#'!$A:$Z,16,FALSE)+VLOOKUP($A153,A:AL,22,FALSE)-50),"-",(VLOOKUP($A153,'SegEnds_NonXtal_BW#'!$A:$Z,16,FALSE)+VLOOKUP($A153,A:AL,22,FALSE)-50))</f>
        <v>174</v>
      </c>
      <c r="X153" s="3" t="str">
        <f>IF(ISERROR(VLOOKUP($A153,'SegEnds_NonXtal_BW#'!$A:$Z,17,FALSE)+VLOOKUP($A153,A:AL,25,FALSE)-50),"-",(VLOOKUP($A153,'SegEnds_NonXtal_BW#'!$A:$Z,17,FALSE)+VLOOKUP($A153,A:AL,25,FALSE)-50))</f>
        <v>-</v>
      </c>
      <c r="Y153" s="3" t="s">
        <v>23</v>
      </c>
      <c r="Z153" s="3" t="str">
        <f>IF(ISERROR(VLOOKUP($A153,'SegEnds_NonXtal_BW#'!$A:$Z,18,FALSE)+VLOOKUP($A153,A:AL,25,FALSE)-50),"-",(VLOOKUP($A153,'SegEnds_NonXtal_BW#'!$A:$Z,18,FALSE)+VLOOKUP($A153,A:AL,25,FALSE)-50))</f>
        <v>-</v>
      </c>
      <c r="AA153" s="3">
        <f>IF(ISERROR(VLOOKUP($A153,'SegEnds_NonXtal_BW#'!$A:$Z,19,FALSE)+VLOOKUP($A153,A:AL,28,FALSE)-50),"-",(VLOOKUP($A153,'SegEnds_NonXtal_BW#'!$A:$Z,19,FALSE)+VLOOKUP($A153,A:AL,28,FALSE)-50))</f>
        <v>194</v>
      </c>
      <c r="AB153" s="3">
        <v>213</v>
      </c>
      <c r="AC153" s="3">
        <f>IF(ISERROR((VLOOKUP($A153,'SegEnds_NonXtal_BW#'!$A:$Z,20,FALSE)+VLOOKUP($A153,A:AL,28,FALSE)-50)),"-",(VLOOKUP($A153,'SegEnds_NonXtal_BW#'!$A:$Z,20,FALSE)+VLOOKUP($A153,A:AL,28,FALSE)-50))</f>
        <v>231</v>
      </c>
      <c r="AD153" s="3">
        <f>IF(ISERROR(VLOOKUP($A153,'SegEnds_NonXtal_BW#'!$A:$Z,21,FALSE)+VLOOKUP($A153,A:AL,31,FALSE)-50),"-",(VLOOKUP($A153,'SegEnds_NonXtal_BW#'!$A:$Z,21,FALSE)+VLOOKUP($A153,A:AL,31,FALSE)-50))</f>
        <v>237</v>
      </c>
      <c r="AE153" s="3">
        <v>264</v>
      </c>
      <c r="AF153" s="3">
        <f>IF(ISERROR((VLOOKUP($A153,'SegEnds_NonXtal_BW#'!$A:$Z,22,FALSE)+VLOOKUP($A153,A:AL,31,FALSE)-50)),"-",(VLOOKUP($A153,'SegEnds_NonXtal_BW#'!$A:$Z,22,FALSE)+VLOOKUP($A153,A:AL,31,FALSE)-50))</f>
        <v>275</v>
      </c>
      <c r="AG153" s="3">
        <f>IF(ISERROR(VLOOKUP($A153,'SegEnds_NonXtal_BW#'!$A:$Z,23,FALSE)+VLOOKUP($A153,A:AL,34,FALSE)-50),"-",(VLOOKUP($A153,'SegEnds_NonXtal_BW#'!$A:$Z,23,FALSE)+VLOOKUP($A153,A:AL,34,FALSE)-50))</f>
        <v>284</v>
      </c>
      <c r="AH153" s="3">
        <v>306</v>
      </c>
      <c r="AI153" s="3">
        <f>IF(ISERROR((VLOOKUP($A153,'SegEnds_NonXtal_BW#'!$A:$Z,24,FALSE)+VLOOKUP($A153,A:AL,34,FALSE)-50)),"-",(VLOOKUP($A153,'SegEnds_NonXtal_BW#'!$A:$Z,24,FALSE)+VLOOKUP($A153,A:AL,34,FALSE)-50))</f>
        <v>312</v>
      </c>
      <c r="AJ153" s="3">
        <f>IF(ISERROR(VLOOKUP($A153,'SegEnds_NonXtal_BW#'!$A:$Z,25,FALSE)+VLOOKUP($A153,A:AL,37,FALSE)-50),"-",(VLOOKUP($A153,'SegEnds_NonXtal_BW#'!$A:$Z,25,FALSE)+VLOOKUP($A153,A:AL,37,FALSE)-50))</f>
        <v>313</v>
      </c>
      <c r="AK153" s="3">
        <v>316</v>
      </c>
      <c r="AL153" s="3">
        <f>IF(ISERROR((VLOOKUP($A153,'SegEnds_NonXtal_BW#'!$A:$Z,26,FALSE)+VLOOKUP($A153,A:AL,37,FALSE)-50)),"-",(VLOOKUP($A153,'SegEnds_NonXtal_BW#'!$A:$Z,26,FALSE)+VLOOKUP($A153,A:AL,37,FALSE)-50))</f>
        <v>325</v>
      </c>
      <c r="AM153" s="28" t="str">
        <f>VLOOKUP(A153,Classification!A:B,2,FALSE)</f>
        <v>A</v>
      </c>
      <c r="AN153" s="28" t="b">
        <f t="shared" si="121"/>
        <v>1</v>
      </c>
      <c r="AO153" s="3" t="str">
        <f>IF(ISERROR(MATCH(A153,'SegEnds_Xtal_Prot#'!B:B, 0)), "NoXtal", "Xtal")</f>
        <v>NoXtal</v>
      </c>
      <c r="AP153" s="3" t="str">
        <f t="shared" si="104"/>
        <v>-</v>
      </c>
      <c r="AQ153" s="3" t="str">
        <f t="shared" si="105"/>
        <v>-</v>
      </c>
      <c r="AR153" s="3">
        <f t="shared" si="106"/>
        <v>2</v>
      </c>
      <c r="AS153" s="3">
        <f t="shared" si="107"/>
        <v>1</v>
      </c>
      <c r="AT153" s="3">
        <f t="shared" si="108"/>
        <v>17</v>
      </c>
      <c r="AU153" s="3">
        <f t="shared" si="109"/>
        <v>1</v>
      </c>
      <c r="AV153" s="3" t="str">
        <f t="shared" si="110"/>
        <v>-</v>
      </c>
      <c r="AW153" s="3" t="str">
        <f t="shared" si="111"/>
        <v>-</v>
      </c>
      <c r="AX153" s="3">
        <f t="shared" si="112"/>
        <v>6</v>
      </c>
      <c r="AY153" s="3">
        <f t="shared" si="113"/>
        <v>9</v>
      </c>
      <c r="AZ153" s="3">
        <f t="shared" si="114"/>
        <v>1</v>
      </c>
      <c r="BA153" s="3">
        <f>IF(ISERROR(LEN(VLOOKUP(A153,Seqs!A:E,2,FALSE))-AL153),"-",LEN(VLOOKUP(A153,Seqs!A:E,2,FALSE))-AL153)</f>
        <v>11</v>
      </c>
      <c r="BB153" s="16">
        <f t="shared" si="115"/>
        <v>28</v>
      </c>
      <c r="BC153" s="9">
        <f t="shared" si="116"/>
        <v>20</v>
      </c>
      <c r="BD153" s="3">
        <f t="shared" si="117"/>
        <v>28</v>
      </c>
      <c r="BE153" s="3">
        <f t="shared" si="118"/>
        <v>51</v>
      </c>
      <c r="BF153" s="3">
        <f>AH153-AE153</f>
        <v>42</v>
      </c>
    </row>
    <row r="154" spans="1:58" s="3" customFormat="1" x14ac:dyDescent="0.2">
      <c r="A154" s="3" t="s">
        <v>269</v>
      </c>
      <c r="B154" s="3" t="str">
        <f>LOWER(VLOOKUP(A154,Xtal_Templ!A:B,2,FALSE))</f>
        <v>5ht2a_human</v>
      </c>
      <c r="C154" s="3">
        <f>VLOOKUP($A154,'SegEnds_NonXtal_BW#'!$A:$Z,3,FALSE)+D154-50</f>
        <v>15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89</v>
      </c>
      <c r="P154" s="3">
        <v>118</v>
      </c>
      <c r="Q154" s="3">
        <f>VLOOKUP($A154,'SegEnds_NonXtal_BW#'!$A:$Z,12,FALSE)+VLOOKUP($A154,A:AL,16,FALSE)-50</f>
        <v>124</v>
      </c>
      <c r="R154" s="3">
        <f>IF(ISERROR(VLOOKUP($A154,'SegEnds_NonXtal_BW#'!$A:$Z,13,FALSE)+VLOOKUP($A154,A:AL,19,FALSE)-50),"-",VLOOKUP($A154,'SegEnds_NonXtal_BW#'!$A:$Z,13,FALSE)+VLOOKUP($A154,A:AL,19,FALSE)-50)</f>
        <v>125</v>
      </c>
      <c r="S154" s="3">
        <v>125</v>
      </c>
      <c r="T154" s="100">
        <f>IF(ISERROR(VLOOKUP($A154,'SegEnds_NonXtal_BW#'!$A:$Z,14,FALSE)+VLOOKUP($A154,A:AL,19,FALSE)-50),"-",(VLOOKUP($A154,'SegEnds_NonXtal_BW#'!$A:$Z,14,FALSE)+VLOOKUP($A154,A:AL,19,FALSE)-50))</f>
        <v>132</v>
      </c>
      <c r="U154" s="9">
        <f>IF(ISERROR(VLOOKUP($A154,'SegEnds_NonXtal_BW#'!$A:$Z,15,FALSE)+VLOOKUP($A154,A:AL,22,FALSE)-50),"-",VLOOKUP($A154,'SegEnds_NonXtal_BW#'!$A:$Z,15,FALSE)+VLOOKUP($A154,A:AL,22,FALSE)-50)</f>
        <v>133</v>
      </c>
      <c r="V154" s="3">
        <v>145</v>
      </c>
      <c r="W154" s="3">
        <f>IF(ISERROR(VLOOKUP($A154,'SegEnds_NonXtal_BW#'!$A:$Z,16,FALSE)+VLOOKUP($A154,A:AL,22,FALSE)-50),"-",(VLOOKUP($A154,'SegEnds_NonXtal_BW#'!$A:$Z,16,FALSE)+VLOOKUP($A154,A:AL,22,FALSE)-50))</f>
        <v>162</v>
      </c>
      <c r="X154" s="3">
        <f>IF(ISERROR(VLOOKUP($A154,'SegEnds_NonXtal_BW#'!$A:$Z,17,FALSE)+VLOOKUP($A154,A:AL,25,FALSE)-50),"-",(VLOOKUP($A154,'SegEnds_NonXtal_BW#'!$A:$Z,17,FALSE)+VLOOKUP($A154,A:AL,25,FALSE)-50))</f>
        <v>168</v>
      </c>
      <c r="Y154" s="3">
        <v>168</v>
      </c>
      <c r="Z154" s="3">
        <f>Y154+2</f>
        <v>170</v>
      </c>
      <c r="AA154" s="3">
        <f>IF(ISERROR(VLOOKUP($A154,'SegEnds_NonXtal_BW#'!$A:$Z,19,FALSE)+VLOOKUP($A154,A:AL,28,FALSE)-50),"-",(VLOOKUP($A154,'SegEnds_NonXtal_BW#'!$A:$Z,19,FALSE)+VLOOKUP($A154,A:AL,28,FALSE)-50))</f>
        <v>220</v>
      </c>
      <c r="AB154" s="3">
        <v>235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308</v>
      </c>
      <c r="AE154" s="3">
        <v>334</v>
      </c>
      <c r="AF154" s="3">
        <f>IF(ISERROR((VLOOKUP($A154,'SegEnds_NonXtal_BW#'!$A:$Z,22,FALSE)+VLOOKUP($A154,A:AL,31,FALSE)-50)),"-",(VLOOKUP($A154,'SegEnds_NonXtal_BW#'!$A:$Z,22,FALSE)+VLOOKUP($A154,A:AL,31,FALSE)-50))</f>
        <v>345</v>
      </c>
      <c r="AG154" s="3">
        <f>IF(ISERROR(VLOOKUP($A154,'SegEnds_NonXtal_BW#'!$A:$Z,23,FALSE)+VLOOKUP($A154,A:AL,34,FALSE)-50),"-",(VLOOKUP($A154,'SegEnds_NonXtal_BW#'!$A:$Z,23,FALSE)+VLOOKUP($A154,A:AL,34,FALSE)-50))</f>
        <v>350</v>
      </c>
      <c r="AH154" s="3">
        <v>367</v>
      </c>
      <c r="AI154" s="3">
        <f>IF(ISERROR((VLOOKUP($A154,'SegEnds_NonXtal_BW#'!$A:$Z,24,FALSE)+VLOOKUP($A154,A:AL,34,FALSE)-50)),"-",(VLOOKUP($A154,'SegEnds_NonXtal_BW#'!$A:$Z,24,FALSE)+VLOOKUP($A154,A:AL,34,FALSE)-50))</f>
        <v>373</v>
      </c>
      <c r="AJ154" s="3">
        <f>IF(ISERROR(VLOOKUP($A154,'SegEnds_NonXtal_BW#'!$A:$Z,25,FALSE)+VLOOKUP($A154,A:AL,37,FALSE)-50),"-",(VLOOKUP($A154,'SegEnds_NonXtal_BW#'!$A:$Z,25,FALSE)+VLOOKUP($A154,A:AL,37,FALSE)-50))</f>
        <v>374</v>
      </c>
      <c r="AK154" s="3">
        <v>377</v>
      </c>
      <c r="AL154" s="3">
        <f>IF(ISERROR((VLOOKUP($A154,'SegEnds_NonXtal_BW#'!$A:$Z,26,FALSE)+VLOOKUP($A154,A:AL,37,FALSE)-50)),"-",(VLOOKUP($A154,'SegEnds_NonXtal_BW#'!$A:$Z,26,FALSE)+VLOOKUP($A154,A:AL,37,FALSE)-50))</f>
        <v>387</v>
      </c>
      <c r="AM154" s="28" t="str">
        <f>VLOOKUP(A154,Classification!A:B,2,FALSE)</f>
        <v>A</v>
      </c>
      <c r="AN154" s="28" t="b">
        <f t="shared" si="121"/>
        <v>1</v>
      </c>
      <c r="AO154" s="3" t="str">
        <f>IF(ISERROR(MATCH(A154,'SegEnds_Xtal_Prot#'!B:B, 0)), "NoXtal", "Xtal")</f>
        <v>NoXtal</v>
      </c>
      <c r="AP154" s="3">
        <f t="shared" si="104"/>
        <v>1</v>
      </c>
      <c r="AQ154" s="3">
        <f t="shared" si="105"/>
        <v>1</v>
      </c>
      <c r="AR154" s="3" t="str">
        <f t="shared" si="106"/>
        <v>-</v>
      </c>
      <c r="AS154" s="3" t="str">
        <f t="shared" si="107"/>
        <v>-</v>
      </c>
      <c r="AT154" s="3">
        <f t="shared" si="108"/>
        <v>1</v>
      </c>
      <c r="AU154" s="3">
        <f t="shared" si="109"/>
        <v>1</v>
      </c>
      <c r="AV154" s="3">
        <f t="shared" si="110"/>
        <v>6</v>
      </c>
      <c r="AW154" s="3">
        <f t="shared" si="111"/>
        <v>50</v>
      </c>
      <c r="AX154" s="3">
        <f t="shared" si="112"/>
        <v>49</v>
      </c>
      <c r="AY154" s="3">
        <f t="shared" si="113"/>
        <v>5</v>
      </c>
      <c r="AZ154" s="3">
        <f t="shared" si="114"/>
        <v>1</v>
      </c>
      <c r="BA154" s="3">
        <f>IF(ISERROR(LEN(VLOOKUP(A154,Seqs!A:E,2,FALSE))-AL154),"-",LEN(VLOOKUP(A154,Seqs!A:E,2,FALSE))-AL154)</f>
        <v>9</v>
      </c>
      <c r="BB154" s="16">
        <f t="shared" si="115"/>
        <v>28</v>
      </c>
      <c r="BC154" s="9">
        <f t="shared" si="116"/>
        <v>20</v>
      </c>
      <c r="BD154" s="3">
        <f t="shared" si="117"/>
        <v>28</v>
      </c>
      <c r="BE154" s="3">
        <f t="shared" si="118"/>
        <v>99</v>
      </c>
      <c r="BF154" s="3">
        <f>AH154-AE154</f>
        <v>33</v>
      </c>
    </row>
    <row r="155" spans="1:58" s="3" customFormat="1" x14ac:dyDescent="0.2">
      <c r="A155" s="3" t="s">
        <v>270</v>
      </c>
      <c r="B155" s="3" t="str">
        <f>LOWER(VLOOKUP(A155,Xtal_Templ!A:B,2,FALSE))</f>
        <v>5ht2c_human</v>
      </c>
      <c r="C155" s="3">
        <f>VLOOKUP($A155,'SegEnds_NonXtal_BW#'!$A:$Z,3,FALSE)+D155-50</f>
        <v>21</v>
      </c>
      <c r="D155" s="3">
        <v>38</v>
      </c>
      <c r="E155" s="3">
        <f>IF(ISERROR(VLOOKUP($A155,'SegEnds_NonXtal_BW#'!$A:$Z,4,FALSE)+VLOOKUP($A155,A:AL,4,FALSE)-50),"-",(VLOOKUP($A155,'SegEnds_NonXtal_BW#'!$A:$Z,4,FALSE)+VLOOKUP($A155,A:AL,4,FALSE)-50))</f>
        <v>48</v>
      </c>
      <c r="F155" s="3">
        <f>G155-2</f>
        <v>49</v>
      </c>
      <c r="G155" s="3">
        <v>51</v>
      </c>
      <c r="H155" s="3">
        <f>G155+1</f>
        <v>52</v>
      </c>
      <c r="I155" s="3">
        <f>H155+1</f>
        <v>53</v>
      </c>
      <c r="J155" s="3">
        <v>66</v>
      </c>
      <c r="K155" s="3">
        <f>VLOOKUP($A155,'SegEnds_NonXtal_BW#'!$A:$Z,8,FALSE)+VLOOKUP($A155,A:AL,10,FALSE)-50</f>
        <v>84</v>
      </c>
      <c r="L155" s="3">
        <f>M155-1</f>
        <v>86</v>
      </c>
      <c r="M155" s="3">
        <v>87</v>
      </c>
      <c r="N155" s="3">
        <f>M155+2</f>
        <v>89</v>
      </c>
      <c r="O155" s="3">
        <f>N155+1</f>
        <v>90</v>
      </c>
      <c r="P155" s="3">
        <v>119</v>
      </c>
      <c r="Q155" s="3">
        <f>VLOOKUP($A155,'SegEnds_NonXtal_BW#'!$A:$Z,12,FALSE)+VLOOKUP($A155,A:AL,16,FALSE)-50</f>
        <v>125</v>
      </c>
      <c r="R155" s="3">
        <f>IF(ISERROR(VLOOKUP($A155,'SegEnds_NonXtal_BW#'!$A:$Z,13,FALSE)+VLOOKUP($A155,A:AL,19,FALSE)-50),"-",VLOOKUP($A155,'SegEnds_NonXtal_BW#'!$A:$Z,13,FALSE)+VLOOKUP($A155,A:AL,19,FALSE)-50)</f>
        <v>126</v>
      </c>
      <c r="S155" s="3">
        <v>126</v>
      </c>
      <c r="T155" s="100">
        <f>IF(ISERROR(VLOOKUP($A155,'SegEnds_NonXtal_BW#'!$A:$Z,14,FALSE)+VLOOKUP($A155,A:AL,19,FALSE)-50),"-",(VLOOKUP($A155,'SegEnds_NonXtal_BW#'!$A:$Z,14,FALSE)+VLOOKUP($A155,A:AL,19,FALSE)-50))</f>
        <v>133</v>
      </c>
      <c r="U155" s="9">
        <f>IF(ISERROR(VLOOKUP($A155,'SegEnds_NonXtal_BW#'!$A:$Z,15,FALSE)+VLOOKUP($A155,A:AL,22,FALSE)-50),"-",VLOOKUP($A155,'SegEnds_NonXtal_BW#'!$A:$Z,15,FALSE)+VLOOKUP($A155,A:AL,22,FALSE)-50)</f>
        <v>134</v>
      </c>
      <c r="V155" s="3">
        <v>146</v>
      </c>
      <c r="W155" s="3">
        <f>IF(ISERROR(VLOOKUP($A155,'SegEnds_NonXtal_BW#'!$A:$Z,16,FALSE)+VLOOKUP($A155,A:AL,22,FALSE)-50),"-",(VLOOKUP($A155,'SegEnds_NonXtal_BW#'!$A:$Z,16,FALSE)+VLOOKUP($A155,A:AL,22,FALSE)-50))</f>
        <v>163</v>
      </c>
      <c r="X155" s="3">
        <f>IF(ISERROR(VLOOKUP($A155,'SegEnds_NonXtal_BW#'!$A:$Z,17,FALSE)+VLOOKUP($A155,A:AL,25,FALSE)-50),"-",(VLOOKUP($A155,'SegEnds_NonXtal_BW#'!$A:$Z,17,FALSE)+VLOOKUP($A155,A:AL,25,FALSE)-50))</f>
        <v>172</v>
      </c>
      <c r="Y155" s="3">
        <v>172</v>
      </c>
      <c r="Z155" s="3">
        <f>Y155+2</f>
        <v>174</v>
      </c>
      <c r="AA155" s="3">
        <f>IF(ISERROR(VLOOKUP($A155,'SegEnds_NonXtal_BW#'!$A:$Z,19,FALSE)+VLOOKUP($A155,A:AL,28,FALSE)-50),"-",(VLOOKUP($A155,'SegEnds_NonXtal_BW#'!$A:$Z,19,FALSE)+VLOOKUP($A155,A:AL,28,FALSE)-50))</f>
        <v>218</v>
      </c>
      <c r="AB155" s="3">
        <v>233</v>
      </c>
      <c r="AC155" s="3">
        <f>IF(ISERROR((VLOOKUP($A155,'SegEnds_NonXtal_BW#'!$A:$Z,20,FALSE)+VLOOKUP($A155,A:AL,28,FALSE)-50)),"-",(VLOOKUP($A155,'SegEnds_NonXtal_BW#'!$A:$Z,20,FALSE)+VLOOKUP($A155,A:AL,28,FALSE)-50))</f>
        <v>259</v>
      </c>
      <c r="AD155" s="3">
        <f>IF(ISERROR(VLOOKUP($A155,'SegEnds_NonXtal_BW#'!$A:$Z,21,FALSE)+VLOOKUP($A155,A:AL,31,FALSE)-50),"-",(VLOOKUP($A155,'SegEnds_NonXtal_BW#'!$A:$Z,21,FALSE)+VLOOKUP($A155,A:AL,31,FALSE)-50))</f>
        <v>274</v>
      </c>
      <c r="AE155" s="3">
        <v>300</v>
      </c>
      <c r="AF155" s="3">
        <f>IF(ISERROR((VLOOKUP($A155,'SegEnds_NonXtal_BW#'!$A:$Z,22,FALSE)+VLOOKUP($A155,A:AL,31,FALSE)-50)),"-",(VLOOKUP($A155,'SegEnds_NonXtal_BW#'!$A:$Z,22,FALSE)+VLOOKUP($A155,A:AL,31,FALSE)-50))</f>
        <v>311</v>
      </c>
      <c r="AG155" s="3">
        <f>IF(ISERROR(VLOOKUP($A155,'SegEnds_NonXtal_BW#'!$A:$Z,23,FALSE)+VLOOKUP($A155,A:AL,34,FALSE)-50),"-",(VLOOKUP($A155,'SegEnds_NonXtal_BW#'!$A:$Z,23,FALSE)+VLOOKUP($A155,A:AL,34,FALSE)-50))</f>
        <v>317</v>
      </c>
      <c r="AH155" s="3">
        <v>336</v>
      </c>
      <c r="AI155" s="3">
        <f>IF(ISERROR((VLOOKUP($A155,'SegEnds_NonXtal_BW#'!$A:$Z,24,FALSE)+VLOOKUP($A155,A:AL,34,FALSE)-50)),"-",(VLOOKUP($A155,'SegEnds_NonXtal_BW#'!$A:$Z,24,FALSE)+VLOOKUP($A155,A:AL,34,FALSE)-50))</f>
        <v>342</v>
      </c>
      <c r="AJ155" s="3">
        <f>IF(ISERROR(VLOOKUP($A155,'SegEnds_NonXtal_BW#'!$A:$Z,25,FALSE)+VLOOKUP($A155,A:AL,37,FALSE)-50),"-",(VLOOKUP($A155,'SegEnds_NonXtal_BW#'!$A:$Z,25,FALSE)+VLOOKUP($A155,A:AL,37,FALSE)-50))</f>
        <v>343</v>
      </c>
      <c r="AK155" s="3">
        <v>346</v>
      </c>
      <c r="AL155" s="3">
        <f>IF(ISERROR((VLOOKUP($A155,'SegEnds_NonXtal_BW#'!$A:$Z,26,FALSE)+VLOOKUP($A155,A:AL,37,FALSE)-50)),"-",(VLOOKUP($A155,'SegEnds_NonXtal_BW#'!$A:$Z,26,FALSE)+VLOOKUP($A155,A:AL,37,FALSE)-50))</f>
        <v>356</v>
      </c>
      <c r="AM155" s="28" t="str">
        <f>VLOOKUP(A155,Classification!A:B,2,FALSE)</f>
        <v>A</v>
      </c>
      <c r="AN155" s="28" t="b">
        <f t="shared" si="121"/>
        <v>1</v>
      </c>
      <c r="AO155" s="3" t="str">
        <f>IF(ISERROR(MATCH(A155,'SegEnds_Xtal_Prot#'!B:B, 0)), "NoXtal", "Xtal")</f>
        <v>NoXtal</v>
      </c>
      <c r="AP155" s="3">
        <f t="shared" si="104"/>
        <v>1</v>
      </c>
      <c r="AQ155" s="3">
        <f t="shared" si="105"/>
        <v>1</v>
      </c>
      <c r="AR155" s="3">
        <f t="shared" si="106"/>
        <v>2</v>
      </c>
      <c r="AS155" s="3">
        <f t="shared" si="107"/>
        <v>1</v>
      </c>
      <c r="AT155" s="3">
        <f t="shared" si="108"/>
        <v>1</v>
      </c>
      <c r="AU155" s="3">
        <f t="shared" si="109"/>
        <v>1</v>
      </c>
      <c r="AV155" s="3">
        <f t="shared" si="110"/>
        <v>9</v>
      </c>
      <c r="AW155" s="3">
        <f t="shared" si="111"/>
        <v>44</v>
      </c>
      <c r="AX155" s="3">
        <f t="shared" si="112"/>
        <v>15</v>
      </c>
      <c r="AY155" s="3">
        <f t="shared" si="113"/>
        <v>6</v>
      </c>
      <c r="AZ155" s="3">
        <f t="shared" si="114"/>
        <v>1</v>
      </c>
      <c r="BA155" s="3">
        <f>IF(ISERROR(LEN(VLOOKUP(A155,Seqs!A:E,2,FALSE))-AL155),"-",LEN(VLOOKUP(A155,Seqs!A:E,2,FALSE))-AL155)</f>
        <v>14</v>
      </c>
      <c r="BB155" s="16">
        <f t="shared" si="115"/>
        <v>28</v>
      </c>
      <c r="BC155" s="9">
        <f t="shared" si="116"/>
        <v>20</v>
      </c>
      <c r="BD155" s="3">
        <f t="shared" si="117"/>
        <v>28</v>
      </c>
      <c r="BE155" s="3">
        <f t="shared" si="118"/>
        <v>67</v>
      </c>
      <c r="BF155" s="3">
        <f>AH155-AE155</f>
        <v>36</v>
      </c>
    </row>
    <row r="156" spans="1:58" s="3" customFormat="1" x14ac:dyDescent="0.2">
      <c r="A156" s="3" t="s">
        <v>271</v>
      </c>
      <c r="B156" s="3" t="str">
        <f>LOWER(VLOOKUP(A156,Xtal_Templ!A:B,2,FALSE))</f>
        <v>p2y12_human</v>
      </c>
      <c r="C156" s="3">
        <f>VLOOKUP($A156,'SegEnds_NonXtal_BW#'!$A:$Z,3,FALSE)+D156-50</f>
        <v>38</v>
      </c>
      <c r="D156" s="3">
        <v>60</v>
      </c>
      <c r="E156" s="3">
        <f>IF(ISERROR(VLOOKUP($A156,'SegEnds_NonXtal_BW#'!$A:$Z,4,FALSE)+VLOOKUP($A156,A:AL,4,FALSE)-50),"-",(VLOOKUP($A156,'SegEnds_NonXtal_BW#'!$A:$Z,4,FALSE)+VLOOKUP($A156,A:AL,4,FALSE)-50))</f>
        <v>70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74</v>
      </c>
      <c r="J156" s="3">
        <v>87</v>
      </c>
      <c r="K156" s="3">
        <f>VLOOKUP($A156,'SegEnds_NonXtal_BW#'!$A:$Z,8,FALSE)+VLOOKUP($A156,A:AL,10,FALSE)-50</f>
        <v>103</v>
      </c>
      <c r="L156" s="3">
        <f>M156-1</f>
        <v>106</v>
      </c>
      <c r="M156" s="3">
        <v>107</v>
      </c>
      <c r="N156" s="3">
        <f>M156+2</f>
        <v>109</v>
      </c>
      <c r="O156" s="3">
        <f>N156+1</f>
        <v>110</v>
      </c>
      <c r="P156" s="3">
        <v>139</v>
      </c>
      <c r="Q156" s="3">
        <f>VLOOKUP($A156,'SegEnds_NonXtal_BW#'!$A:$Z,12,FALSE)+VLOOKUP($A156,A:AL,16,FALSE)-50</f>
        <v>145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>
        <f>IF(ISERROR(VLOOKUP($A156,'SegEnds_NonXtal_BW#'!$A:$Z,17,FALSE)+VLOOKUP($A156,A:AL,25,FALSE)-50),"-",(VLOOKUP($A156,'SegEnds_NonXtal_BW#'!$A:$Z,17,FALSE)+VLOOKUP($A156,A:AL,25,FALSE)-50))</f>
        <v>192</v>
      </c>
      <c r="Y156" s="3">
        <v>192</v>
      </c>
      <c r="Z156" s="3">
        <f>Y156+2</f>
        <v>194</v>
      </c>
      <c r="AA156" s="3">
        <f>IF(ISERROR(VLOOKUP($A156,'SegEnds_NonXtal_BW#'!$A:$Z,19,FALSE)+VLOOKUP($A156,A:AL,28,FALSE)-50),"-",(VLOOKUP($A156,'SegEnds_NonXtal_BW#'!$A:$Z,19,FALSE)+VLOOKUP($A156,A:AL,28,FALSE)-50))</f>
        <v>198</v>
      </c>
      <c r="AB156" s="3">
        <v>218</v>
      </c>
      <c r="AC156" s="3">
        <f>IF(ISERROR((VLOOKUP($A156,'SegEnds_NonXtal_BW#'!$A:$Z,20,FALSE)+VLOOKUP($A156,A:AL,28,FALSE)-50)),"-",(VLOOKUP($A156,'SegEnds_NonXtal_BW#'!$A:$Z,20,FALSE)+VLOOKUP($A156,A:AL,28,FALSE)-50))</f>
        <v>236</v>
      </c>
      <c r="AD156" s="3">
        <f>IF(ISERROR(VLOOKUP($A156,'SegEnds_NonXtal_BW#'!$A:$Z,21,FALSE)+VLOOKUP($A156,A:AL,31,FALSE)-50),"-",(VLOOKUP($A156,'SegEnds_NonXtal_BW#'!$A:$Z,21,FALSE)+VLOOKUP($A156,A:AL,31,FALSE)-50))</f>
        <v>241</v>
      </c>
      <c r="AE156" s="3">
        <v>267</v>
      </c>
      <c r="AF156" s="3">
        <f>IF(ISERROR((VLOOKUP($A156,'SegEnds_NonXtal_BW#'!$A:$Z,22,FALSE)+VLOOKUP($A156,A:AL,31,FALSE)-50)),"-",(VLOOKUP($A156,'SegEnds_NonXtal_BW#'!$A:$Z,22,FALSE)+VLOOKUP($A156,A:AL,31,FALSE)-50))</f>
        <v>281</v>
      </c>
      <c r="AG156" s="3">
        <f>IF(ISERROR(VLOOKUP($A156,'SegEnds_NonXtal_BW#'!$A:$Z,23,FALSE)+VLOOKUP($A156,A:AL,34,FALSE)-50),"-",(VLOOKUP($A156,'SegEnds_NonXtal_BW#'!$A:$Z,23,FALSE)+VLOOKUP($A156,A:AL,34,FALSE)-50))</f>
        <v>285</v>
      </c>
      <c r="AH156" s="3">
        <v>311</v>
      </c>
      <c r="AI156" s="3">
        <f>IF(ISERROR((VLOOKUP($A156,'SegEnds_NonXtal_BW#'!$A:$Z,24,FALSE)+VLOOKUP($A156,A:AL,34,FALSE)-50)),"-",(VLOOKUP($A156,'SegEnds_NonXtal_BW#'!$A:$Z,24,FALSE)+VLOOKUP($A156,A:AL,34,FALSE)-50))</f>
        <v>317</v>
      </c>
      <c r="AJ156" s="3">
        <f>IF(ISERROR(VLOOKUP($A156,'SegEnds_NonXtal_BW#'!$A:$Z,25,FALSE)+VLOOKUP($A156,A:AL,37,FALSE)-50),"-",(VLOOKUP($A156,'SegEnds_NonXtal_BW#'!$A:$Z,25,FALSE)+VLOOKUP($A156,A:AL,37,FALSE)-50))</f>
        <v>318</v>
      </c>
      <c r="AK156" s="3">
        <v>321</v>
      </c>
      <c r="AL156" s="3">
        <f>IF(ISERROR((VLOOKUP($A156,'SegEnds_NonXtal_BW#'!$A:$Z,26,FALSE)+VLOOKUP($A156,A:AL,37,FALSE)-50)),"-",(VLOOKUP($A156,'SegEnds_NonXtal_BW#'!$A:$Z,26,FALSE)+VLOOKUP($A156,A:AL,37,FALSE)-50))</f>
        <v>328</v>
      </c>
      <c r="AM156" s="28" t="str">
        <f>VLOOKUP(A156,Classification!A:B,2,FALSE)</f>
        <v>A</v>
      </c>
      <c r="AN156" s="28" t="b">
        <f t="shared" si="121"/>
        <v>1</v>
      </c>
      <c r="AO156" s="3" t="str">
        <f>IF(ISERROR(MATCH(A156,'SegEnds_Xtal_Prot#'!B:B, 0)), "NoXtal", "Xtal")</f>
        <v>NoXtal</v>
      </c>
      <c r="AP156" s="3" t="str">
        <f t="shared" si="104"/>
        <v>-</v>
      </c>
      <c r="AQ156" s="3" t="str">
        <f t="shared" si="105"/>
        <v>-</v>
      </c>
      <c r="AR156" s="3">
        <f t="shared" si="106"/>
        <v>3</v>
      </c>
      <c r="AS156" s="3">
        <f t="shared" si="107"/>
        <v>1</v>
      </c>
      <c r="AT156" s="3">
        <f t="shared" si="108"/>
        <v>1</v>
      </c>
      <c r="AU156" s="3">
        <f t="shared" si="109"/>
        <v>1</v>
      </c>
      <c r="AV156" s="3">
        <f t="shared" si="110"/>
        <v>12</v>
      </c>
      <c r="AW156" s="3">
        <f t="shared" si="111"/>
        <v>4</v>
      </c>
      <c r="AX156" s="3">
        <f t="shared" si="112"/>
        <v>5</v>
      </c>
      <c r="AY156" s="3">
        <f t="shared" si="113"/>
        <v>4</v>
      </c>
      <c r="AZ156" s="3">
        <f t="shared" si="114"/>
        <v>1</v>
      </c>
      <c r="BA156" s="3">
        <f>IF(ISERROR(LEN(VLOOKUP(A156,Seqs!A:E,2,FALSE))-AL156),"-",LEN(VLOOKUP(A156,Seqs!A:E,2,FALSE))-AL156)</f>
        <v>30</v>
      </c>
      <c r="BB156" s="16">
        <f t="shared" si="115"/>
        <v>27</v>
      </c>
      <c r="BC156" s="9">
        <f t="shared" si="116"/>
        <v>20</v>
      </c>
      <c r="BD156" s="3">
        <f t="shared" si="117"/>
        <v>27</v>
      </c>
      <c r="BE156" s="3">
        <f t="shared" si="118"/>
        <v>49</v>
      </c>
    </row>
    <row r="157" spans="1:58" s="3" customFormat="1" x14ac:dyDescent="0.2">
      <c r="A157" s="3" t="s">
        <v>272</v>
      </c>
      <c r="B157" s="3" t="str">
        <f>LOWER(VLOOKUP(A157,Xtal_Templ!A:B,2,FALSE))</f>
        <v>ox1r_human</v>
      </c>
      <c r="C157" s="3">
        <f>VLOOKUP($A157,'SegEnds_NonXtal_BW#'!$A:$Z,3,FALSE)+D157-50</f>
        <v>31</v>
      </c>
      <c r="D157" s="3">
        <v>49</v>
      </c>
      <c r="E157" s="3">
        <f>IF(ISERROR(VLOOKUP($A157,'SegEnds_NonXtal_BW#'!$A:$Z,4,FALSE)+VLOOKUP($A157,A:AL,4,FALSE)-50),"-",(VLOOKUP($A157,'SegEnds_NonXtal_BW#'!$A:$Z,4,FALSE)+VLOOKUP($A157,A:AL,4,FALSE)-50))</f>
        <v>59</v>
      </c>
      <c r="F157" s="3">
        <f>G157-2</f>
        <v>60</v>
      </c>
      <c r="G157" s="3">
        <v>62</v>
      </c>
      <c r="H157" s="3">
        <f>G157+1</f>
        <v>63</v>
      </c>
      <c r="I157" s="3">
        <f>H157+1</f>
        <v>64</v>
      </c>
      <c r="J157" s="3">
        <v>77</v>
      </c>
      <c r="K157" s="3">
        <f>VLOOKUP($A157,'SegEnds_NonXtal_BW#'!$A:$Z,8,FALSE)+VLOOKUP($A157,A:AL,10,FALSE)-50</f>
        <v>95</v>
      </c>
      <c r="L157" s="3" t="str">
        <f>IF(ISERROR(VLOOKUP($A157,'SegEnds_NonXtal_BW#'!$A:$Z,9,FALSE)+VLOOKUP($A157,A:AL,13,FALSE)-50),"-",(VLOOKUP($A157,'SegEnds_NonXtal_BW#'!$A:$Z,9,FALSE)+VLOOKUP($A157,A:AL,13,FALSE)-50))</f>
        <v>-</v>
      </c>
      <c r="M157" s="3" t="s">
        <v>23</v>
      </c>
      <c r="N157" s="3" t="str">
        <f>IF(ISERROR(VLOOKUP($A157,'SegEnds_NonXtal_BW#'!$A:$Z,10,FALSE)+VLOOKUP($A157,A:AL,13,FALSE)-50),"-",(VLOOKUP($A157,'SegEnds_NonXtal_BW#'!$A:$Z,10,FALSE)+VLOOKUP($A157,A:AL,13,FALSE)-50))</f>
        <v>-</v>
      </c>
      <c r="O157" s="3">
        <f>VLOOKUP($A157,'SegEnds_NonXtal_BW#'!$A:$Z,11,FALSE)+VLOOKUP($A157,A:AL,16,FALSE)-50</f>
        <v>106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146</v>
      </c>
      <c r="S157" s="3">
        <v>146</v>
      </c>
      <c r="T157" s="100">
        <f>IF(ISERROR(VLOOKUP($A157,'SegEnds_NonXtal_BW#'!$A:$Z,14,FALSE)+VLOOKUP($A157,A:AL,19,FALSE)-50),"-",(VLOOKUP($A157,'SegEnds_NonXtal_BW#'!$A:$Z,14,FALSE)+VLOOKUP($A157,A:AL,19,FALSE)-50))</f>
        <v>153</v>
      </c>
      <c r="U157" s="9">
        <f>IF(ISERROR(VLOOKUP($A157,'SegEnds_NonXtal_BW#'!$A:$Z,15,FALSE)+VLOOKUP($A157,A:AL,22,FALSE)-50),"-",VLOOKUP($A157,'SegEnds_NonXtal_BW#'!$A:$Z,15,FALSE)+VLOOKUP($A157,A:AL,22,FALSE)-50)</f>
        <v>154</v>
      </c>
      <c r="V157" s="3">
        <v>166</v>
      </c>
      <c r="W157" s="3">
        <f>IF(ISERROR(VLOOKUP($A157,'SegEnds_NonXtal_BW#'!$A:$Z,16,FALSE)+VLOOKUP($A157,A:AL,22,FALSE)-50),"-",(VLOOKUP($A157,'SegEnds_NonXtal_BW#'!$A:$Z,16,FALSE)+VLOOKUP($A157,A:AL,22,FALSE)-50))</f>
        <v>180</v>
      </c>
      <c r="X157" s="3" t="str">
        <f>IF(ISERROR(VLOOKUP($A157,'SegEnds_NonXtal_BW#'!$A:$Z,17,FALSE)+VLOOKUP($A157,A:AL,25,FALSE)-50),"-",(VLOOKUP($A157,'SegEnds_NonXtal_BW#'!$A:$Z,17,FALSE)+VLOOKUP($A157,A:AL,25,FALSE)-50))</f>
        <v>-</v>
      </c>
      <c r="Y157" s="3" t="s">
        <v>23</v>
      </c>
      <c r="Z157" s="3" t="str">
        <f>IF(ISERROR(VLOOKUP($A157,'SegEnds_NonXtal_BW#'!$A:$Z,18,FALSE)+VLOOKUP($A157,A:AL,25,FALSE)-50),"-",(VLOOKUP($A157,'SegEnds_NonXtal_BW#'!$A:$Z,18,FALSE)+VLOOKUP($A157,A:AL,25,FALSE)-50))</f>
        <v>-</v>
      </c>
      <c r="AA157" s="3">
        <f>IF(ISERROR(VLOOKUP($A157,'SegEnds_NonXtal_BW#'!$A:$Z,19,FALSE)+VLOOKUP($A157,A:AL,28,FALSE)-50),"-",(VLOOKUP($A157,'SegEnds_NonXtal_BW#'!$A:$Z,19,FALSE)+VLOOKUP($A157,A:AL,28,FALSE)-50))</f>
        <v>223</v>
      </c>
      <c r="AB157" s="3">
        <v>238</v>
      </c>
      <c r="AC157" s="3">
        <f>IF(ISERROR((VLOOKUP($A157,'SegEnds_NonXtal_BW#'!$A:$Z,20,FALSE)+VLOOKUP($A157,A:AL,28,FALSE)-50)),"-",(VLOOKUP($A157,'SegEnds_NonXtal_BW#'!$A:$Z,20,FALSE)+VLOOKUP($A157,A:AL,28,FALSE)-50))</f>
        <v>262</v>
      </c>
      <c r="AD157" s="3">
        <f>IF(ISERROR(VLOOKUP($A157,'SegEnds_NonXtal_BW#'!$A:$Z,21,FALSE)+VLOOKUP($A157,A:AL,31,FALSE)-50),"-",(VLOOKUP($A157,'SegEnds_NonXtal_BW#'!$A:$Z,21,FALSE)+VLOOKUP($A157,A:AL,31,FALSE)-50))</f>
        <v>270</v>
      </c>
      <c r="AE157" s="3">
        <v>299</v>
      </c>
      <c r="AF157" s="3">
        <f>IF(ISERROR((VLOOKUP($A157,'SegEnds_NonXtal_BW#'!$A:$Z,22,FALSE)+VLOOKUP($A157,A:AL,31,FALSE)-50)),"-",(VLOOKUP($A157,'SegEnds_NonXtal_BW#'!$A:$Z,22,FALSE)+VLOOKUP($A157,A:AL,31,FALSE)-50))</f>
        <v>310</v>
      </c>
      <c r="AG157" s="3">
        <f>IF(ISERROR(VLOOKUP($A157,'SegEnds_NonXtal_BW#'!$A:$Z,23,FALSE)+VLOOKUP($A157,A:AL,34,FALSE)-50),"-",(VLOOKUP($A157,'SegEnds_NonXtal_BW#'!$A:$Z,23,FALSE)+VLOOKUP($A157,A:AL,34,FALSE)-50))</f>
        <v>315</v>
      </c>
      <c r="AH157" s="3">
        <v>333</v>
      </c>
      <c r="AI157" s="3">
        <f>IF(ISERROR((VLOOKUP($A157,'SegEnds_NonXtal_BW#'!$A:$Z,24,FALSE)+VLOOKUP($A157,A:AL,34,FALSE)-50)),"-",(VLOOKUP($A157,'SegEnds_NonXtal_BW#'!$A:$Z,24,FALSE)+VLOOKUP($A157,A:AL,34,FALSE)-50))</f>
        <v>339</v>
      </c>
      <c r="AJ157" s="3">
        <f>IF(ISERROR(VLOOKUP($A157,'SegEnds_NonXtal_BW#'!$A:$Z,25,FALSE)+VLOOKUP($A157,A:AL,37,FALSE)-50),"-",(VLOOKUP($A157,'SegEnds_NonXtal_BW#'!$A:$Z,25,FALSE)+VLOOKUP($A157,A:AL,37,FALSE)-50))</f>
        <v>340</v>
      </c>
      <c r="AK157" s="3">
        <v>343</v>
      </c>
      <c r="AL157" s="3">
        <f>IF(ISERROR((VLOOKUP($A157,'SegEnds_NonXtal_BW#'!$A:$Z,26,FALSE)+VLOOKUP($A157,A:AL,37,FALSE)-50)),"-",(VLOOKUP($A157,'SegEnds_NonXtal_BW#'!$A:$Z,26,FALSE)+VLOOKUP($A157,A:AL,37,FALSE)-50))</f>
        <v>356</v>
      </c>
      <c r="AM157" s="28" t="str">
        <f>VLOOKUP(A157,Classification!A:B,2,FALSE)</f>
        <v>A</v>
      </c>
      <c r="AN157" s="28" t="b">
        <f t="shared" si="121"/>
        <v>1</v>
      </c>
      <c r="AO157" s="3" t="str">
        <f>IF(ISERROR(MATCH(A157,'SegEnds_Xtal_Prot#'!B:B, 0)), "NoXtal", "Xtal")</f>
        <v>NoXtal</v>
      </c>
      <c r="AP157" s="3">
        <f t="shared" si="104"/>
        <v>1</v>
      </c>
      <c r="AQ157" s="3">
        <f t="shared" si="105"/>
        <v>1</v>
      </c>
      <c r="AR157" s="3" t="str">
        <f t="shared" si="106"/>
        <v>-</v>
      </c>
      <c r="AS157" s="3" t="str">
        <f t="shared" si="107"/>
        <v>-</v>
      </c>
      <c r="AT157" s="3">
        <f t="shared" si="108"/>
        <v>2</v>
      </c>
      <c r="AU157" s="3">
        <f t="shared" si="109"/>
        <v>1</v>
      </c>
      <c r="AV157" s="3" t="str">
        <f t="shared" si="110"/>
        <v>-</v>
      </c>
      <c r="AW157" s="3" t="str">
        <f t="shared" si="111"/>
        <v>-</v>
      </c>
      <c r="AX157" s="3">
        <f t="shared" si="112"/>
        <v>8</v>
      </c>
      <c r="AY157" s="3">
        <f t="shared" si="113"/>
        <v>5</v>
      </c>
      <c r="AZ157" s="3">
        <f t="shared" si="114"/>
        <v>1</v>
      </c>
      <c r="BA157" s="3">
        <f>IF(ISERROR(LEN(VLOOKUP(A157,Seqs!A:E,2,FALSE))-AL157),"-",LEN(VLOOKUP(A157,Seqs!A:E,2,FALSE))-AL157)</f>
        <v>28</v>
      </c>
      <c r="BB157" s="16">
        <f t="shared" si="115"/>
        <v>28</v>
      </c>
      <c r="BC157" s="9">
        <f t="shared" si="116"/>
        <v>20</v>
      </c>
      <c r="BD157" s="3">
        <f t="shared" si="117"/>
        <v>28</v>
      </c>
      <c r="BE157" s="3">
        <f t="shared" si="118"/>
        <v>61</v>
      </c>
    </row>
    <row r="158" spans="1:58" s="3" customFormat="1" x14ac:dyDescent="0.2">
      <c r="A158" s="3" t="s">
        <v>273</v>
      </c>
      <c r="B158" s="3" t="str">
        <f>LOWER(VLOOKUP(A158,Xtal_Templ!A:B,2,FALSE))</f>
        <v>ednrb_human</v>
      </c>
      <c r="C158" s="3">
        <f>VLOOKUP($A158,'SegEnds_NonXtal_BW#'!$A:$Z,3,FALSE)+D158-50</f>
        <v>30</v>
      </c>
      <c r="D158" s="3">
        <v>58</v>
      </c>
      <c r="E158" s="3">
        <f>IF(ISERROR(VLOOKUP($A158,'SegEnds_NonXtal_BW#'!$A:$Z,4,FALSE)+VLOOKUP($A158,A:AL,4,FALSE)-50),"-",(VLOOKUP($A158,'SegEnds_NonXtal_BW#'!$A:$Z,4,FALSE)+VLOOKUP($A158,A:AL,4,FALSE)-50))</f>
        <v>68</v>
      </c>
      <c r="F158" s="3">
        <f>G158-2</f>
        <v>69</v>
      </c>
      <c r="G158" s="3">
        <v>71</v>
      </c>
      <c r="H158" s="3">
        <f>G158+1</f>
        <v>72</v>
      </c>
      <c r="I158" s="3">
        <f>H158+1</f>
        <v>73</v>
      </c>
      <c r="J158" s="3">
        <v>86</v>
      </c>
      <c r="K158" s="3">
        <f>VLOOKUP($A158,'SegEnds_NonXtal_BW#'!$A:$Z,8,FALSE)+VLOOKUP($A158,A:AL,10,FALSE)-50</f>
        <v>103</v>
      </c>
      <c r="L158" s="3">
        <f t="shared" ref="L158:L164" si="123">M158-1</f>
        <v>105</v>
      </c>
      <c r="M158" s="3">
        <v>106</v>
      </c>
      <c r="N158" s="3">
        <f t="shared" ref="N158:N164" si="124">M158+2</f>
        <v>108</v>
      </c>
      <c r="O158" s="3">
        <f t="shared" ref="O158:O164" si="125">N158+1</f>
        <v>109</v>
      </c>
      <c r="P158" s="3">
        <v>138</v>
      </c>
      <c r="Q158" s="3">
        <f>VLOOKUP($A158,'SegEnds_NonXtal_BW#'!$A:$Z,12,FALSE)+VLOOKUP($A158,A:AL,16,FALSE)-50</f>
        <v>144</v>
      </c>
      <c r="R158" s="3">
        <f>IF(ISERROR(VLOOKUP($A158,'SegEnds_NonXtal_BW#'!$A:$Z,13,FALSE)+VLOOKUP($A158,A:AL,19,FALSE)-50),"-",VLOOKUP($A158,'SegEnds_NonXtal_BW#'!$A:$Z,13,FALSE)+VLOOKUP($A158,A:AL,19,FALSE)-50)</f>
        <v>145</v>
      </c>
      <c r="S158" s="3">
        <v>145</v>
      </c>
      <c r="T158" s="100">
        <f>IF(ISERROR(VLOOKUP($A158,'SegEnds_NonXtal_BW#'!$A:$Z,14,FALSE)+VLOOKUP($A158,A:AL,19,FALSE)-50),"-",(VLOOKUP($A158,'SegEnds_NonXtal_BW#'!$A:$Z,14,FALSE)+VLOOKUP($A158,A:AL,19,FALSE)-50))</f>
        <v>152</v>
      </c>
      <c r="U158" s="9">
        <f>IF(ISERROR(VLOOKUP($A158,'SegEnds_NonXtal_BW#'!$A:$Z,15,FALSE)+VLOOKUP($A158,A:AL,22,FALSE)-50),"-",VLOOKUP($A158,'SegEnds_NonXtal_BW#'!$A:$Z,15,FALSE)+VLOOKUP($A158,A:AL,22,FALSE)-50)</f>
        <v>153</v>
      </c>
      <c r="V158" s="3">
        <v>165</v>
      </c>
      <c r="W158" s="3">
        <f>IF(ISERROR(VLOOKUP($A158,'SegEnds_NonXtal_BW#'!$A:$Z,16,FALSE)+VLOOKUP($A158,A:AL,22,FALSE)-50),"-",(VLOOKUP($A158,'SegEnds_NonXtal_BW#'!$A:$Z,16,FALSE)+VLOOKUP($A158,A:AL,22,FALSE)-50))</f>
        <v>179</v>
      </c>
      <c r="X158" s="3">
        <f>IF(ISERROR(VLOOKUP($A158,'SegEnds_NonXtal_BW#'!$A:$Z,17,FALSE)+VLOOKUP($A158,A:AL,25,FALSE)-50),"-",(VLOOKUP($A158,'SegEnds_NonXtal_BW#'!$A:$Z,17,FALSE)+VLOOKUP($A158,A:AL,25,FALSE)-50))</f>
        <v>196</v>
      </c>
      <c r="Y158" s="3">
        <v>196</v>
      </c>
      <c r="Z158" s="3">
        <f t="shared" ref="Z158:Z173" si="126">Y158+2</f>
        <v>198</v>
      </c>
      <c r="AA158" s="3">
        <f>IF(ISERROR(VLOOKUP($A158,'SegEnds_NonXtal_BW#'!$A:$Z,19,FALSE)+VLOOKUP($A158,A:AL,28,FALSE)-50),"-",(VLOOKUP($A158,'SegEnds_NonXtal_BW#'!$A:$Z,19,FALSE)+VLOOKUP($A158,A:AL,28,FALSE)-50))</f>
        <v>200</v>
      </c>
      <c r="AB158" s="3">
        <v>222</v>
      </c>
      <c r="AC158" s="3">
        <f>IF(ISERROR((VLOOKUP($A158,'SegEnds_NonXtal_BW#'!$A:$Z,20,FALSE)+VLOOKUP($A158,A:AL,28,FALSE)-50)),"-",(VLOOKUP($A158,'SegEnds_NonXtal_BW#'!$A:$Z,20,FALSE)+VLOOKUP($A158,A:AL,28,FALSE)-50))</f>
        <v>245</v>
      </c>
      <c r="AD158" s="3">
        <f>IF(ISERROR(VLOOKUP($A158,'SegEnds_NonXtal_BW#'!$A:$Z,21,FALSE)+VLOOKUP($A158,A:AL,31,FALSE)-50),"-",(VLOOKUP($A158,'SegEnds_NonXtal_BW#'!$A:$Z,21,FALSE)+VLOOKUP($A158,A:AL,31,FALSE)-50))</f>
        <v>251</v>
      </c>
      <c r="AE158" s="3">
        <v>279</v>
      </c>
      <c r="AF158" s="3">
        <f>IF(ISERROR((VLOOKUP($A158,'SegEnds_NonXtal_BW#'!$A:$Z,22,FALSE)+VLOOKUP($A158,A:AL,31,FALSE)-50)),"-",(VLOOKUP($A158,'SegEnds_NonXtal_BW#'!$A:$Z,22,FALSE)+VLOOKUP($A158,A:AL,31,FALSE)-50))</f>
        <v>290</v>
      </c>
      <c r="AG158" s="3">
        <f>IF(ISERROR(VLOOKUP($A158,'SegEnds_NonXtal_BW#'!$A:$Z,23,FALSE)+VLOOKUP($A158,A:AL,34,FALSE)-50),"-",(VLOOKUP($A158,'SegEnds_NonXtal_BW#'!$A:$Z,23,FALSE)+VLOOKUP($A158,A:AL,34,FALSE)-50))</f>
        <v>297</v>
      </c>
      <c r="AH158" s="3">
        <v>319</v>
      </c>
      <c r="AI158" s="3">
        <f>IF(ISERROR((VLOOKUP($A158,'SegEnds_NonXtal_BW#'!$A:$Z,24,FALSE)+VLOOKUP($A158,A:AL,34,FALSE)-50)),"-",(VLOOKUP($A158,'SegEnds_NonXtal_BW#'!$A:$Z,24,FALSE)+VLOOKUP($A158,A:AL,34,FALSE)-50))</f>
        <v>325</v>
      </c>
      <c r="AJ158" s="3">
        <f>IF(ISERROR(VLOOKUP($A158,'SegEnds_NonXtal_BW#'!$A:$Z,25,FALSE)+VLOOKUP($A158,A:AL,37,FALSE)-50),"-",(VLOOKUP($A158,'SegEnds_NonXtal_BW#'!$A:$Z,25,FALSE)+VLOOKUP($A158,A:AL,37,FALSE)-50))</f>
        <v>326</v>
      </c>
      <c r="AK158" s="3">
        <v>329</v>
      </c>
      <c r="AL158" s="3">
        <f>IF(ISERROR((VLOOKUP($A158,'SegEnds_NonXtal_BW#'!$A:$Z,26,FALSE)+VLOOKUP($A158,A:AL,37,FALSE)-50)),"-",(VLOOKUP($A158,'SegEnds_NonXtal_BW#'!$A:$Z,26,FALSE)+VLOOKUP($A158,A:AL,37,FALSE)-50))</f>
        <v>339</v>
      </c>
      <c r="AM158" s="28" t="str">
        <f>VLOOKUP(A158,Classification!A:B,2,FALSE)</f>
        <v>A</v>
      </c>
      <c r="AN158" s="28" t="b">
        <f t="shared" si="121"/>
        <v>1</v>
      </c>
      <c r="AO158" s="3" t="str">
        <f>IF(ISERROR(MATCH(A158,'SegEnds_Xtal_Prot#'!B:B, 0)), "NoXtal", "Xtal")</f>
        <v>NoXtal</v>
      </c>
      <c r="AP158" s="3">
        <f t="shared" si="104"/>
        <v>1</v>
      </c>
      <c r="AQ158" s="3">
        <f t="shared" si="105"/>
        <v>1</v>
      </c>
      <c r="AR158" s="3">
        <f t="shared" si="106"/>
        <v>2</v>
      </c>
      <c r="AS158" s="3">
        <f t="shared" si="107"/>
        <v>1</v>
      </c>
      <c r="AT158" s="3">
        <f t="shared" si="108"/>
        <v>1</v>
      </c>
      <c r="AU158" s="3">
        <f t="shared" si="109"/>
        <v>1</v>
      </c>
      <c r="AV158" s="3">
        <f t="shared" si="110"/>
        <v>17</v>
      </c>
      <c r="AW158" s="3">
        <f t="shared" si="111"/>
        <v>2</v>
      </c>
      <c r="AX158" s="3">
        <f t="shared" si="112"/>
        <v>6</v>
      </c>
      <c r="AY158" s="3">
        <f t="shared" si="113"/>
        <v>7</v>
      </c>
      <c r="AZ158" s="3">
        <f t="shared" si="114"/>
        <v>1</v>
      </c>
      <c r="BA158" s="3">
        <f>IF(ISERROR(LEN(VLOOKUP(A158,Seqs!A:E,2,FALSE))-AL158),"-",LEN(VLOOKUP(A158,Seqs!A:E,2,FALSE))-AL158)</f>
        <v>45</v>
      </c>
      <c r="BB158" s="16">
        <f t="shared" si="115"/>
        <v>28</v>
      </c>
      <c r="BC158" s="9">
        <f t="shared" si="116"/>
        <v>20</v>
      </c>
      <c r="BD158" s="3">
        <f t="shared" si="117"/>
        <v>28</v>
      </c>
      <c r="BE158" s="3">
        <f t="shared" si="118"/>
        <v>57</v>
      </c>
    </row>
    <row r="159" spans="1:58" s="3" customFormat="1" x14ac:dyDescent="0.2">
      <c r="A159" s="3" t="s">
        <v>274</v>
      </c>
      <c r="B159" s="3" t="str">
        <f>LOWER(VLOOKUP(A159,Xtal_Templ!A:B,2,FALSE))</f>
        <v>p2ry1_human</v>
      </c>
      <c r="C159" s="3">
        <f>VLOOKUP($A159,'SegEnds_NonXtal_BW#'!$A:$Z,3,FALSE)+D159-50</f>
        <v>13</v>
      </c>
      <c r="D159" s="3">
        <v>33</v>
      </c>
      <c r="E159" s="3">
        <f>IF(ISERROR(VLOOKUP($A159,'SegEnds_NonXtal_BW#'!$A:$Z,4,FALSE)+VLOOKUP($A159,A:AL,4,FALSE)-50),"-",(VLOOKUP($A159,'SegEnds_NonXtal_BW#'!$A:$Z,4,FALSE)+VLOOKUP($A159,A:AL,4,FALSE)-50))</f>
        <v>43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48</v>
      </c>
      <c r="J159" s="3">
        <v>61</v>
      </c>
      <c r="K159" s="3">
        <f>VLOOKUP($A159,'SegEnds_NonXtal_BW#'!$A:$Z,8,FALSE)+VLOOKUP($A159,A:AL,10,FALSE)-50</f>
        <v>77</v>
      </c>
      <c r="L159" s="3">
        <f t="shared" si="123"/>
        <v>80</v>
      </c>
      <c r="M159" s="3">
        <v>81</v>
      </c>
      <c r="N159" s="3">
        <f t="shared" si="124"/>
        <v>83</v>
      </c>
      <c r="O159" s="3">
        <f t="shared" si="125"/>
        <v>84</v>
      </c>
      <c r="P159" s="3">
        <v>113</v>
      </c>
      <c r="Q159" s="3">
        <f>VLOOKUP($A159,'SegEnds_NonXtal_BW#'!$A:$Z,12,FALSE)+VLOOKUP($A159,A:AL,16,FALSE)-50</f>
        <v>119</v>
      </c>
      <c r="R159" s="3">
        <f>IF(ISERROR(VLOOKUP($A159,'SegEnds_NonXtal_BW#'!$A:$Z,13,FALSE)+VLOOKUP($A159,A:AL,19,FALSE)-50),"-",VLOOKUP($A159,'SegEnds_NonXtal_BW#'!$A:$Z,13,FALSE)+VLOOKUP($A159,A:AL,19,FALSE)-50)</f>
        <v>120</v>
      </c>
      <c r="S159" s="3">
        <v>120</v>
      </c>
      <c r="T159" s="100">
        <f>IF(ISERROR(VLOOKUP($A159,'SegEnds_NonXtal_BW#'!$A:$Z,14,FALSE)+VLOOKUP($A159,A:AL,19,FALSE)-50),"-",(VLOOKUP($A159,'SegEnds_NonXtal_BW#'!$A:$Z,14,FALSE)+VLOOKUP($A159,A:AL,19,FALSE)-50))</f>
        <v>127</v>
      </c>
      <c r="U159" s="9">
        <f>IF(ISERROR(VLOOKUP($A159,'SegEnds_NonXtal_BW#'!$A:$Z,15,FALSE)+VLOOKUP($A159,A:AL,22,FALSE)-50),"-",VLOOKUP($A159,'SegEnds_NonXtal_BW#'!$A:$Z,15,FALSE)+VLOOKUP($A159,A:AL,22,FALSE)-50)</f>
        <v>128</v>
      </c>
      <c r="V159" s="3">
        <v>140</v>
      </c>
      <c r="W159" s="3">
        <f>IF(ISERROR(VLOOKUP($A159,'SegEnds_NonXtal_BW#'!$A:$Z,16,FALSE)+VLOOKUP($A159,A:AL,22,FALSE)-50),"-",(VLOOKUP($A159,'SegEnds_NonXtal_BW#'!$A:$Z,16,FALSE)+VLOOKUP($A159,A:AL,22,FALSE)-50))</f>
        <v>154</v>
      </c>
      <c r="X159" s="3">
        <f>IF(ISERROR(VLOOKUP($A159,'SegEnds_NonXtal_BW#'!$A:$Z,17,FALSE)+VLOOKUP($A159,A:AL,25,FALSE)-50),"-",(VLOOKUP($A159,'SegEnds_NonXtal_BW#'!$A:$Z,17,FALSE)+VLOOKUP($A159,A:AL,25,FALSE)-50))</f>
        <v>165</v>
      </c>
      <c r="Y159" s="3">
        <v>165</v>
      </c>
      <c r="Z159" s="3">
        <f t="shared" si="126"/>
        <v>167</v>
      </c>
      <c r="AA159" s="3">
        <f>IF(ISERROR(VLOOKUP($A159,'SegEnds_NonXtal_BW#'!$A:$Z,19,FALSE)+VLOOKUP($A159,A:AL,28,FALSE)-50),"-",(VLOOKUP($A159,'SegEnds_NonXtal_BW#'!$A:$Z,19,FALSE)+VLOOKUP($A159,A:AL,28,FALSE)-50))</f>
        <v>170</v>
      </c>
      <c r="AB159" s="3">
        <v>188</v>
      </c>
      <c r="AC159" s="3">
        <f>IF(ISERROR((VLOOKUP($A159,'SegEnds_NonXtal_BW#'!$A:$Z,20,FALSE)+VLOOKUP($A159,A:AL,28,FALSE)-50)),"-",(VLOOKUP($A159,'SegEnds_NonXtal_BW#'!$A:$Z,20,FALSE)+VLOOKUP($A159,A:AL,28,FALSE)-50))</f>
        <v>205</v>
      </c>
      <c r="AD159" s="3">
        <f>IF(ISERROR(VLOOKUP($A159,'SegEnds_NonXtal_BW#'!$A:$Z,21,FALSE)+VLOOKUP($A159,A:AL,31,FALSE)-50),"-",(VLOOKUP($A159,'SegEnds_NonXtal_BW#'!$A:$Z,21,FALSE)+VLOOKUP($A159,A:AL,31,FALSE)-50))</f>
        <v>211</v>
      </c>
      <c r="AE159" s="3">
        <v>235</v>
      </c>
      <c r="AF159" s="3">
        <f>IF(ISERROR((VLOOKUP($A159,'SegEnds_NonXtal_BW#'!$A:$Z,22,FALSE)+VLOOKUP($A159,A:AL,31,FALSE)-50)),"-",(VLOOKUP($A159,'SegEnds_NonXtal_BW#'!$A:$Z,22,FALSE)+VLOOKUP($A159,A:AL,31,FALSE)-50))</f>
        <v>246</v>
      </c>
      <c r="AG159" s="3">
        <f>IF(ISERROR(VLOOKUP($A159,'SegEnds_NonXtal_BW#'!$A:$Z,23,FALSE)+VLOOKUP($A159,A:AL,34,FALSE)-50),"-",(VLOOKUP($A159,'SegEnds_NonXtal_BW#'!$A:$Z,23,FALSE)+VLOOKUP($A159,A:AL,34,FALSE)-50))</f>
        <v>253</v>
      </c>
      <c r="AH159" s="3">
        <v>275</v>
      </c>
      <c r="AI159" s="3">
        <f>IF(ISERROR((VLOOKUP($A159,'SegEnds_NonXtal_BW#'!$A:$Z,24,FALSE)+VLOOKUP($A159,A:AL,34,FALSE)-50)),"-",(VLOOKUP($A159,'SegEnds_NonXtal_BW#'!$A:$Z,24,FALSE)+VLOOKUP($A159,A:AL,34,FALSE)-50))</f>
        <v>281</v>
      </c>
      <c r="AJ159" s="3">
        <f>IF(ISERROR(VLOOKUP($A159,'SegEnds_NonXtal_BW#'!$A:$Z,25,FALSE)+VLOOKUP($A159,A:AL,37,FALSE)-50),"-",(VLOOKUP($A159,'SegEnds_NonXtal_BW#'!$A:$Z,25,FALSE)+VLOOKUP($A159,A:AL,37,FALSE)-50))</f>
        <v>282</v>
      </c>
      <c r="AK159" s="3">
        <v>285</v>
      </c>
      <c r="AL159" s="3">
        <f>IF(ISERROR((VLOOKUP($A159,'SegEnds_NonXtal_BW#'!$A:$Z,26,FALSE)+VLOOKUP($A159,A:AL,37,FALSE)-50)),"-",(VLOOKUP($A159,'SegEnds_NonXtal_BW#'!$A:$Z,26,FALSE)+VLOOKUP($A159,A:AL,37,FALSE)-50))</f>
        <v>294</v>
      </c>
      <c r="AM159" s="28" t="str">
        <f>VLOOKUP(A159,Classification!A:B,2,FALSE)</f>
        <v>A</v>
      </c>
      <c r="AN159" s="28" t="b">
        <f t="shared" si="121"/>
        <v>1</v>
      </c>
      <c r="AO159" s="3" t="str">
        <f>IF(ISERROR(MATCH(A159,'SegEnds_Xtal_Prot#'!B:B, 0)), "NoXtal", "Xtal")</f>
        <v>NoXtal</v>
      </c>
      <c r="AP159" s="3" t="str">
        <f t="shared" si="104"/>
        <v>-</v>
      </c>
      <c r="AQ159" s="3" t="str">
        <f t="shared" si="105"/>
        <v>-</v>
      </c>
      <c r="AR159" s="3">
        <f t="shared" si="106"/>
        <v>3</v>
      </c>
      <c r="AS159" s="3">
        <f t="shared" si="107"/>
        <v>1</v>
      </c>
      <c r="AT159" s="3">
        <f t="shared" si="108"/>
        <v>1</v>
      </c>
      <c r="AU159" s="3">
        <f t="shared" si="109"/>
        <v>1</v>
      </c>
      <c r="AV159" s="3">
        <f t="shared" si="110"/>
        <v>11</v>
      </c>
      <c r="AW159" s="3">
        <f t="shared" si="111"/>
        <v>3</v>
      </c>
      <c r="AX159" s="3">
        <f t="shared" si="112"/>
        <v>6</v>
      </c>
      <c r="AY159" s="3">
        <f t="shared" si="113"/>
        <v>7</v>
      </c>
      <c r="AZ159" s="3">
        <f t="shared" si="114"/>
        <v>1</v>
      </c>
      <c r="BA159" s="3">
        <f>IF(ISERROR(LEN(VLOOKUP(A159,Seqs!A:E,2,FALSE))-AL159),"-",LEN(VLOOKUP(A159,Seqs!A:E,2,FALSE))-AL159)</f>
        <v>52</v>
      </c>
      <c r="BB159" s="16">
        <f t="shared" si="115"/>
        <v>28</v>
      </c>
      <c r="BC159" s="9">
        <f t="shared" si="116"/>
        <v>20</v>
      </c>
      <c r="BD159" s="3">
        <f t="shared" si="117"/>
        <v>28</v>
      </c>
      <c r="BE159" s="3">
        <f t="shared" si="118"/>
        <v>47</v>
      </c>
    </row>
    <row r="160" spans="1:58" s="3" customFormat="1" x14ac:dyDescent="0.2">
      <c r="A160" s="3" t="s">
        <v>275</v>
      </c>
      <c r="B160" s="3" t="str">
        <f>LOWER(VLOOKUP(A160,Xtal_Templ!A:B,2,FALSE))</f>
        <v>cltr2_human</v>
      </c>
      <c r="C160" s="3">
        <f>VLOOKUP($A160,'SegEnds_NonXtal_BW#'!$A:$Z,3,FALSE)+D160-50</f>
        <v>20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90</v>
      </c>
      <c r="L160" s="3">
        <f t="shared" si="123"/>
        <v>92</v>
      </c>
      <c r="M160" s="3">
        <v>93</v>
      </c>
      <c r="N160" s="3">
        <f t="shared" si="124"/>
        <v>95</v>
      </c>
      <c r="O160" s="3">
        <f t="shared" si="125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165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26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311</v>
      </c>
      <c r="AM160" s="28" t="str">
        <f>VLOOKUP(A160,Classification!A:B,2,FALSE)</f>
        <v>A</v>
      </c>
      <c r="AN160" s="28" t="b">
        <f t="shared" si="121"/>
        <v>1</v>
      </c>
      <c r="AO160" s="3" t="str">
        <f>IF(ISERROR(MATCH(A160,'SegEnds_Xtal_Prot#'!B:B, 0)), "NoXtal", "Xtal")</f>
        <v>NoXtal</v>
      </c>
      <c r="AP160" s="3" t="str">
        <f t="shared" si="104"/>
        <v>-</v>
      </c>
      <c r="AQ160" s="3" t="str">
        <f t="shared" si="105"/>
        <v>-</v>
      </c>
      <c r="AR160" s="3">
        <f t="shared" si="106"/>
        <v>2</v>
      </c>
      <c r="AS160" s="3">
        <f t="shared" si="107"/>
        <v>1</v>
      </c>
      <c r="AT160" s="3">
        <f t="shared" si="108"/>
        <v>1</v>
      </c>
      <c r="AU160" s="3">
        <f t="shared" si="109"/>
        <v>1</v>
      </c>
      <c r="AV160" s="3">
        <f t="shared" si="110"/>
        <v>12</v>
      </c>
      <c r="AW160" s="3">
        <f t="shared" si="111"/>
        <v>3</v>
      </c>
      <c r="AX160" s="3">
        <f t="shared" si="112"/>
        <v>5</v>
      </c>
      <c r="AY160" s="3">
        <f t="shared" si="113"/>
        <v>5</v>
      </c>
      <c r="AZ160" s="3">
        <f t="shared" si="114"/>
        <v>1</v>
      </c>
      <c r="BA160" s="3">
        <f>IF(ISERROR(LEN(VLOOKUP(A160,Seqs!A:E,2,FALSE))-AL160),"-",LEN(VLOOKUP(A160,Seqs!A:E,2,FALSE))-AL160)</f>
        <v>52</v>
      </c>
      <c r="BB160" s="16">
        <f t="shared" si="115"/>
        <v>28</v>
      </c>
      <c r="BC160" s="9">
        <f t="shared" si="116"/>
        <v>20</v>
      </c>
      <c r="BD160" s="3">
        <f t="shared" si="117"/>
        <v>28</v>
      </c>
      <c r="BE160" s="3">
        <f t="shared" si="118"/>
        <v>46</v>
      </c>
    </row>
    <row r="161" spans="1:58" s="3" customFormat="1" x14ac:dyDescent="0.2">
      <c r="A161" s="3" t="s">
        <v>276</v>
      </c>
      <c r="B161" s="3" t="str">
        <f>LOWER(VLOOKUP(A161,Xtal_Templ!A:B,2,FALSE))</f>
        <v>p2ry1_human</v>
      </c>
      <c r="C161" s="3">
        <f>VLOOKUP($A161,'SegEnds_NonXtal_BW#'!$A:$Z,3,FALSE)+D161-50</f>
        <v>25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 t="str">
        <f>IF(ISERROR(VLOOKUP($A161,'SegEnds_NonXtal_BW#'!$A:$Z,5,FALSE)+VLOOKUP($A161,A:AL,7,FALSE)-50),"-",(VLOOKUP($A161,'SegEnds_NonXtal_BW#'!$A:$Z,5,FALSE)+VLOOKUP($A161,A:AL,7,FALSE)-50))</f>
        <v>-</v>
      </c>
      <c r="G161" s="3" t="s">
        <v>23</v>
      </c>
      <c r="H161" s="3" t="str">
        <f>IF(ISERROR(VLOOKUP($A161,'SegEnds_NonXtal_BW#'!$A:$Z,6,FALSE)+VLOOKUP($A161,A:AL,7,FALSE)-50),"-",(VLOOKUP($A161,'SegEnds_NonXtal_BW#'!$A:$Z,6,FALSE)+VLOOKUP($A161,A:AL,7,FALSE)-50))</f>
        <v>-</v>
      </c>
      <c r="I161" s="3">
        <f>VLOOKUP($A161,'SegEnds_NonXtal_BW#'!$A:$Z,7,FALSE)+J161-50</f>
        <v>60</v>
      </c>
      <c r="J161" s="3">
        <v>73</v>
      </c>
      <c r="K161" s="3">
        <f>VLOOKUP($A161,'SegEnds_NonXtal_BW#'!$A:$Z,8,FALSE)+VLOOKUP($A161,A:AL,10,FALSE)-50</f>
        <v>89</v>
      </c>
      <c r="L161" s="3">
        <f t="shared" si="123"/>
        <v>92</v>
      </c>
      <c r="M161" s="3">
        <v>93</v>
      </c>
      <c r="N161" s="3">
        <f t="shared" si="124"/>
        <v>95</v>
      </c>
      <c r="O161" s="3">
        <f t="shared" si="125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166</v>
      </c>
      <c r="X161" s="3">
        <f>IF(ISERROR(VLOOKUP($A161,'SegEnds_NonXtal_BW#'!$A:$Z,17,FALSE)+VLOOKUP($A161,A:AL,25,FALSE)-50),"-",(VLOOKUP($A161,'SegEnds_NonXtal_BW#'!$A:$Z,17,FALSE)+VLOOKUP($A161,A:AL,25,FALSE)-50))</f>
        <v>177</v>
      </c>
      <c r="Y161" s="3">
        <v>177</v>
      </c>
      <c r="Z161" s="3">
        <f t="shared" si="126"/>
        <v>179</v>
      </c>
      <c r="AA161" s="3">
        <f>IF(ISERROR(VLOOKUP($A161,'SegEnds_NonXtal_BW#'!$A:$Z,19,FALSE)+VLOOKUP($A161,A:AL,28,FALSE)-50),"-",(VLOOKUP($A161,'SegEnds_NonXtal_BW#'!$A:$Z,19,FALSE)+VLOOKUP($A161,A:AL,28,FALSE)-50))</f>
        <v>182</v>
      </c>
      <c r="AB161" s="3">
        <v>200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222</v>
      </c>
      <c r="AE161" s="3">
        <v>246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265</v>
      </c>
      <c r="AH161" s="3">
        <v>291</v>
      </c>
      <c r="AI161" s="3">
        <f>IF(ISERROR((VLOOKUP($A161,'SegEnds_NonXtal_BW#'!$A:$Z,24,FALSE)+VLOOKUP($A161,A:AL,34,FALSE)-50)),"-",(VLOOKUP($A161,'SegEnds_NonXtal_BW#'!$A:$Z,24,FALSE)+VLOOKUP($A161,A:AL,34,FALSE)-50))</f>
        <v>297</v>
      </c>
      <c r="AJ161" s="3">
        <f>IF(ISERROR(VLOOKUP($A161,'SegEnds_NonXtal_BW#'!$A:$Z,25,FALSE)+VLOOKUP($A161,A:AL,37,FALSE)-50),"-",(VLOOKUP($A161,'SegEnds_NonXtal_BW#'!$A:$Z,25,FALSE)+VLOOKUP($A161,A:AL,37,FALSE)-50))</f>
        <v>298</v>
      </c>
      <c r="AK161" s="3">
        <v>301</v>
      </c>
      <c r="AL161" s="3">
        <f>IF(ISERROR((VLOOKUP($A161,'SegEnds_NonXtal_BW#'!$A:$Z,26,FALSE)+VLOOKUP($A161,A:AL,37,FALSE)-50)),"-",(VLOOKUP($A161,'SegEnds_NonXtal_BW#'!$A:$Z,26,FALSE)+VLOOKUP($A161,A:AL,37,FALSE)-50))</f>
        <v>310</v>
      </c>
      <c r="AM161" s="28" t="str">
        <f>VLOOKUP(A161,Classification!A:B,2,FALSE)</f>
        <v>A</v>
      </c>
      <c r="AN161" s="28" t="b">
        <f t="shared" si="121"/>
        <v>1</v>
      </c>
      <c r="AO161" s="3" t="str">
        <f>IF(ISERROR(MATCH(A161,'SegEnds_Xtal_Prot#'!B:B, 0)), "NoXtal", "Xtal")</f>
        <v>NoXtal</v>
      </c>
      <c r="AP161" s="3" t="str">
        <f t="shared" si="104"/>
        <v>-</v>
      </c>
      <c r="AQ161" s="3" t="str">
        <f t="shared" si="105"/>
        <v>-</v>
      </c>
      <c r="AR161" s="3">
        <f t="shared" si="106"/>
        <v>3</v>
      </c>
      <c r="AS161" s="3">
        <f t="shared" si="107"/>
        <v>1</v>
      </c>
      <c r="AT161" s="3">
        <f t="shared" si="108"/>
        <v>1</v>
      </c>
      <c r="AU161" s="3">
        <f t="shared" si="109"/>
        <v>1</v>
      </c>
      <c r="AV161" s="3">
        <f t="shared" si="110"/>
        <v>11</v>
      </c>
      <c r="AW161" s="3">
        <f t="shared" si="111"/>
        <v>3</v>
      </c>
      <c r="AX161" s="3">
        <f t="shared" si="112"/>
        <v>5</v>
      </c>
      <c r="AY161" s="3">
        <f t="shared" si="113"/>
        <v>5</v>
      </c>
      <c r="AZ161" s="3">
        <f t="shared" si="114"/>
        <v>1</v>
      </c>
      <c r="BA161" s="3">
        <f>IF(ISERROR(LEN(VLOOKUP(A161,Seqs!A:E,2,FALSE))-AL161),"-",LEN(VLOOKUP(A161,Seqs!A:E,2,FALSE))-AL161)</f>
        <v>77</v>
      </c>
      <c r="BB161" s="16">
        <f t="shared" si="115"/>
        <v>28</v>
      </c>
      <c r="BC161" s="9">
        <f t="shared" si="116"/>
        <v>20</v>
      </c>
      <c r="BD161" s="3">
        <f t="shared" si="117"/>
        <v>28</v>
      </c>
      <c r="BE161" s="3">
        <f t="shared" si="118"/>
        <v>46</v>
      </c>
    </row>
    <row r="162" spans="1:58" s="3" customFormat="1" x14ac:dyDescent="0.2">
      <c r="A162" s="3" t="s">
        <v>277</v>
      </c>
      <c r="B162" s="3" t="str">
        <f>LOWER(VLOOKUP(A162,Xtal_Templ!A:B,2,FALSE))</f>
        <v>hrh1_human</v>
      </c>
      <c r="C162" s="3">
        <f>VLOOKUP($A162,'SegEnds_NonXtal_BW#'!$A:$Z,3,FALSE)+D162-50</f>
        <v>29</v>
      </c>
      <c r="D162" s="3">
        <v>45</v>
      </c>
      <c r="E162" s="3">
        <f>IF(ISERROR(VLOOKUP($A162,'SegEnds_NonXtal_BW#'!$A:$Z,4,FALSE)+VLOOKUP($A162,A:AL,4,FALSE)-50),"-",(VLOOKUP($A162,'SegEnds_NonXtal_BW#'!$A:$Z,4,FALSE)+VLOOKUP($A162,A:AL,4,FALSE)-50))</f>
        <v>55</v>
      </c>
      <c r="F162" s="3">
        <f>G162-2</f>
        <v>56</v>
      </c>
      <c r="G162" s="3">
        <v>58</v>
      </c>
      <c r="H162" s="3">
        <f t="shared" ref="H162:I164" si="127">G162+1</f>
        <v>59</v>
      </c>
      <c r="I162" s="3">
        <f t="shared" si="127"/>
        <v>60</v>
      </c>
      <c r="J162" s="3">
        <v>73</v>
      </c>
      <c r="K162" s="3">
        <f>VLOOKUP($A162,'SegEnds_NonXtal_BW#'!$A:$Z,8,FALSE)+VLOOKUP($A162,A:AL,10,FALSE)-50</f>
        <v>90</v>
      </c>
      <c r="L162" s="3">
        <f t="shared" si="123"/>
        <v>92</v>
      </c>
      <c r="M162" s="3">
        <v>93</v>
      </c>
      <c r="N162" s="3">
        <f t="shared" si="124"/>
        <v>95</v>
      </c>
      <c r="O162" s="3">
        <f t="shared" si="125"/>
        <v>96</v>
      </c>
      <c r="P162" s="3">
        <v>125</v>
      </c>
      <c r="Q162" s="3">
        <f>VLOOKUP($A162,'SegEnds_NonXtal_BW#'!$A:$Z,12,FALSE)+VLOOKUP($A162,A:AL,16,FALSE)-50</f>
        <v>131</v>
      </c>
      <c r="R162" s="3">
        <f>IF(ISERROR(VLOOKUP($A162,'SegEnds_NonXtal_BW#'!$A:$Z,13,FALSE)+VLOOKUP($A162,A:AL,19,FALSE)-50),"-",VLOOKUP($A162,'SegEnds_NonXtal_BW#'!$A:$Z,13,FALSE)+VLOOKUP($A162,A:AL,19,FALSE)-50)</f>
        <v>132</v>
      </c>
      <c r="S162" s="3">
        <v>132</v>
      </c>
      <c r="T162" s="100">
        <f>IF(ISERROR(VLOOKUP($A162,'SegEnds_NonXtal_BW#'!$A:$Z,14,FALSE)+VLOOKUP($A162,A:AL,19,FALSE)-50),"-",(VLOOKUP($A162,'SegEnds_NonXtal_BW#'!$A:$Z,14,FALSE)+VLOOKUP($A162,A:AL,19,FALSE)-50))</f>
        <v>139</v>
      </c>
      <c r="U162" s="9">
        <f>IF(ISERROR(VLOOKUP($A162,'SegEnds_NonXtal_BW#'!$A:$Z,15,FALSE)+VLOOKUP($A162,A:AL,22,FALSE)-50),"-",VLOOKUP($A162,'SegEnds_NonXtal_BW#'!$A:$Z,15,FALSE)+VLOOKUP($A162,A:AL,22,FALSE)-50)</f>
        <v>140</v>
      </c>
      <c r="V162" s="3">
        <v>152</v>
      </c>
      <c r="W162" s="3">
        <f>IF(ISERROR(VLOOKUP($A162,'SegEnds_NonXtal_BW#'!$A:$Z,16,FALSE)+VLOOKUP($A162,A:AL,22,FALSE)-50),"-",(VLOOKUP($A162,'SegEnds_NonXtal_BW#'!$A:$Z,16,FALSE)+VLOOKUP($A162,A:AL,22,FALSE)-50))</f>
        <v>164</v>
      </c>
      <c r="X162" s="3">
        <f>IF(ISERROR(VLOOKUP($A162,'SegEnds_NonXtal_BW#'!$A:$Z,17,FALSE)+VLOOKUP($A162,A:AL,25,FALSE)-50),"-",(VLOOKUP($A162,'SegEnds_NonXtal_BW#'!$A:$Z,17,FALSE)+VLOOKUP($A162,A:AL,25,FALSE)-50))</f>
        <v>180</v>
      </c>
      <c r="Y162" s="3">
        <v>180</v>
      </c>
      <c r="Z162" s="3">
        <f t="shared" si="126"/>
        <v>182</v>
      </c>
      <c r="AA162" s="3">
        <f>IF(ISERROR(VLOOKUP($A162,'SegEnds_NonXtal_BW#'!$A:$Z,19,FALSE)+VLOOKUP($A162,A:AL,28,FALSE)-50),"-",(VLOOKUP($A162,'SegEnds_NonXtal_BW#'!$A:$Z,19,FALSE)+VLOOKUP($A162,A:AL,28,FALSE)-50))</f>
        <v>187</v>
      </c>
      <c r="AB162" s="3">
        <v>202</v>
      </c>
      <c r="AC162" s="3">
        <f>IF(ISERROR((VLOOKUP($A162,'SegEnds_NonXtal_BW#'!$A:$Z,20,FALSE)+VLOOKUP($A162,A:AL,28,FALSE)-50)),"-",(VLOOKUP($A162,'SegEnds_NonXtal_BW#'!$A:$Z,20,FALSE)+VLOOKUP($A162,A:AL,28,FALSE)-50))</f>
        <v>228</v>
      </c>
      <c r="AD162" s="3">
        <f>IF(ISERROR(VLOOKUP($A162,'SegEnds_NonXtal_BW#'!$A:$Z,21,FALSE)+VLOOKUP($A162,A:AL,31,FALSE)-50),"-",(VLOOKUP($A162,'SegEnds_NonXtal_BW#'!$A:$Z,21,FALSE)+VLOOKUP($A162,A:AL,31,FALSE)-50))</f>
        <v>404</v>
      </c>
      <c r="AE162" s="3">
        <v>430</v>
      </c>
      <c r="AF162" s="3">
        <f>IF(ISERROR((VLOOKUP($A162,'SegEnds_NonXtal_BW#'!$A:$Z,22,FALSE)+VLOOKUP($A162,A:AL,31,FALSE)-50)),"-",(VLOOKUP($A162,'SegEnds_NonXtal_BW#'!$A:$Z,22,FALSE)+VLOOKUP($A162,A:AL,31,FALSE)-50))</f>
        <v>441</v>
      </c>
      <c r="AG162" s="3">
        <f>IF(ISERROR(VLOOKUP($A162,'SegEnds_NonXtal_BW#'!$A:$Z,23,FALSE)+VLOOKUP($A162,A:AL,34,FALSE)-50),"-",(VLOOKUP($A162,'SegEnds_NonXtal_BW#'!$A:$Z,23,FALSE)+VLOOKUP($A162,A:AL,34,FALSE)-50))</f>
        <v>446</v>
      </c>
      <c r="AH162" s="3">
        <v>465</v>
      </c>
      <c r="AI162" s="3">
        <f>IF(ISERROR((VLOOKUP($A162,'SegEnds_NonXtal_BW#'!$A:$Z,24,FALSE)+VLOOKUP($A162,A:AL,34,FALSE)-50)),"-",(VLOOKUP($A162,'SegEnds_NonXtal_BW#'!$A:$Z,24,FALSE)+VLOOKUP($A162,A:AL,34,FALSE)-50))</f>
        <v>471</v>
      </c>
      <c r="AJ162" s="3">
        <f>IF(ISERROR(VLOOKUP($A162,'SegEnds_NonXtal_BW#'!$A:$Z,25,FALSE)+VLOOKUP($A162,A:AL,37,FALSE)-50),"-",(VLOOKUP($A162,'SegEnds_NonXtal_BW#'!$A:$Z,25,FALSE)+VLOOKUP($A162,A:AL,37,FALSE)-50))</f>
        <v>472</v>
      </c>
      <c r="AK162" s="3">
        <v>475</v>
      </c>
      <c r="AL162" s="3">
        <f>IF(ISERROR((VLOOKUP($A162,'SegEnds_NonXtal_BW#'!$A:$Z,26,FALSE)+VLOOKUP($A162,A:AL,37,FALSE)-50)),"-",(VLOOKUP($A162,'SegEnds_NonXtal_BW#'!$A:$Z,26,FALSE)+VLOOKUP($A162,A:AL,37,FALSE)-50))</f>
        <v>484</v>
      </c>
      <c r="AM162" s="28" t="str">
        <f>VLOOKUP(A162,Classification!A:B,2,FALSE)</f>
        <v>A</v>
      </c>
      <c r="AN162" s="28" t="b">
        <f t="shared" si="121"/>
        <v>1</v>
      </c>
      <c r="AO162" s="3" t="str">
        <f>IF(ISERROR(MATCH(A162,'SegEnds_Xtal_Prot#'!B:B, 0)), "NoXtal", "Xtal")</f>
        <v>Xtal</v>
      </c>
      <c r="AP162" s="3">
        <f t="shared" si="104"/>
        <v>1</v>
      </c>
      <c r="AQ162" s="3">
        <f t="shared" si="105"/>
        <v>1</v>
      </c>
      <c r="AR162" s="3">
        <f t="shared" si="106"/>
        <v>2</v>
      </c>
      <c r="AS162" s="3">
        <f t="shared" si="107"/>
        <v>1</v>
      </c>
      <c r="AT162" s="3">
        <f t="shared" si="108"/>
        <v>1</v>
      </c>
      <c r="AU162" s="3">
        <f t="shared" si="109"/>
        <v>1</v>
      </c>
      <c r="AV162" s="3">
        <f t="shared" si="110"/>
        <v>16</v>
      </c>
      <c r="AW162" s="3">
        <f t="shared" si="111"/>
        <v>5</v>
      </c>
      <c r="AX162" s="3">
        <f t="shared" si="112"/>
        <v>176</v>
      </c>
      <c r="AY162" s="3">
        <f t="shared" si="113"/>
        <v>5</v>
      </c>
      <c r="AZ162" s="3">
        <f t="shared" si="114"/>
        <v>1</v>
      </c>
      <c r="BA162" s="3">
        <f>IF(ISERROR(LEN(VLOOKUP(A162,Seqs!A:E,2,FALSE))-AL162),"-",LEN(VLOOKUP(A162,Seqs!A:E,2,FALSE))-AL162)</f>
        <v>3</v>
      </c>
      <c r="BB162" s="16">
        <f t="shared" si="115"/>
        <v>28</v>
      </c>
      <c r="BC162" s="9">
        <f t="shared" si="116"/>
        <v>20</v>
      </c>
      <c r="BD162" s="3">
        <f t="shared" si="117"/>
        <v>28</v>
      </c>
      <c r="BE162" s="3">
        <f t="shared" si="118"/>
        <v>228</v>
      </c>
      <c r="BF162" s="3">
        <f>AH162-AE162</f>
        <v>35</v>
      </c>
    </row>
    <row r="163" spans="1:58" s="3" customFormat="1" x14ac:dyDescent="0.2">
      <c r="A163" s="3" t="s">
        <v>278</v>
      </c>
      <c r="B163" s="3" t="str">
        <f>LOWER(VLOOKUP(A163,Xtal_Templ!A:B,2,FALSE))</f>
        <v>ada2c_human</v>
      </c>
      <c r="C163" s="3">
        <f>VLOOKUP($A163,'SegEnds_NonXtal_BW#'!$A:$Z,3,FALSE)+D163-50</f>
        <v>14</v>
      </c>
      <c r="D163" s="3">
        <v>36</v>
      </c>
      <c r="E163" s="3">
        <f>IF(ISERROR(VLOOKUP($A163,'SegEnds_NonXtal_BW#'!$A:$Z,4,FALSE)+VLOOKUP($A163,A:AL,4,FALSE)-50),"-",(VLOOKUP($A163,'SegEnds_NonXtal_BW#'!$A:$Z,4,FALSE)+VLOOKUP($A163,A:AL,4,FALSE)-50))</f>
        <v>46</v>
      </c>
      <c r="F163" s="3">
        <f>G163-2</f>
        <v>47</v>
      </c>
      <c r="G163" s="3">
        <v>49</v>
      </c>
      <c r="H163" s="3">
        <f t="shared" si="127"/>
        <v>50</v>
      </c>
      <c r="I163" s="3">
        <f t="shared" si="127"/>
        <v>51</v>
      </c>
      <c r="J163" s="3">
        <v>64</v>
      </c>
      <c r="K163" s="3">
        <f>VLOOKUP($A163,'SegEnds_NonXtal_BW#'!$A:$Z,8,FALSE)+VLOOKUP($A163,A:AL,10,FALSE)-50</f>
        <v>82</v>
      </c>
      <c r="L163" s="3">
        <f t="shared" si="123"/>
        <v>83</v>
      </c>
      <c r="M163" s="3">
        <v>84</v>
      </c>
      <c r="N163" s="3">
        <f t="shared" si="124"/>
        <v>86</v>
      </c>
      <c r="O163" s="3">
        <f t="shared" si="125"/>
        <v>87</v>
      </c>
      <c r="P163" s="3">
        <v>116</v>
      </c>
      <c r="Q163" s="3">
        <f>VLOOKUP($A163,'SegEnds_NonXtal_BW#'!$A:$Z,12,FALSE)+VLOOKUP($A163,A:AL,16,FALSE)-50</f>
        <v>122</v>
      </c>
      <c r="R163" s="3">
        <f>IF(ISERROR(VLOOKUP($A163,'SegEnds_NonXtal_BW#'!$A:$Z,13,FALSE)+VLOOKUP($A163,A:AL,19,FALSE)-50),"-",VLOOKUP($A163,'SegEnds_NonXtal_BW#'!$A:$Z,13,FALSE)+VLOOKUP($A163,A:AL,19,FALSE)-50)</f>
        <v>123</v>
      </c>
      <c r="S163" s="3">
        <v>123</v>
      </c>
      <c r="T163" s="100">
        <f>IF(ISERROR(VLOOKUP($A163,'SegEnds_NonXtal_BW#'!$A:$Z,14,FALSE)+VLOOKUP($A163,A:AL,19,FALSE)-50),"-",(VLOOKUP($A163,'SegEnds_NonXtal_BW#'!$A:$Z,14,FALSE)+VLOOKUP($A163,A:AL,19,FALSE)-50))</f>
        <v>130</v>
      </c>
      <c r="U163" s="9">
        <f>IF(ISERROR(VLOOKUP($A163,'SegEnds_NonXtal_BW#'!$A:$Z,15,FALSE)+VLOOKUP($A163,A:AL,22,FALSE)-50),"-",VLOOKUP($A163,'SegEnds_NonXtal_BW#'!$A:$Z,15,FALSE)+VLOOKUP($A163,A:AL,22,FALSE)-50)</f>
        <v>131</v>
      </c>
      <c r="V163" s="3">
        <v>143</v>
      </c>
      <c r="W163" s="3">
        <f>IF(ISERROR(VLOOKUP($A163,'SegEnds_NonXtal_BW#'!$A:$Z,16,FALSE)+VLOOKUP($A163,A:AL,22,FALSE)-50),"-",(VLOOKUP($A163,'SegEnds_NonXtal_BW#'!$A:$Z,16,FALSE)+VLOOKUP($A163,A:AL,22,FALSE)-50))</f>
        <v>155</v>
      </c>
      <c r="X163" s="3">
        <f>IF(ISERROR(VLOOKUP($A163,'SegEnds_NonXtal_BW#'!$A:$Z,17,FALSE)+VLOOKUP($A163,A:AL,25,FALSE)-50),"-",(VLOOKUP($A163,'SegEnds_NonXtal_BW#'!$A:$Z,17,FALSE)+VLOOKUP($A163,A:AL,25,FALSE)-50))</f>
        <v>174</v>
      </c>
      <c r="Y163" s="3">
        <v>174</v>
      </c>
      <c r="Z163" s="3">
        <f t="shared" si="126"/>
        <v>176</v>
      </c>
      <c r="AA163" s="3">
        <f>IF(ISERROR(VLOOKUP($A163,'SegEnds_NonXtal_BW#'!$A:$Z,19,FALSE)+VLOOKUP($A163,A:AL,28,FALSE)-50),"-",(VLOOKUP($A163,'SegEnds_NonXtal_BW#'!$A:$Z,19,FALSE)+VLOOKUP($A163,A:AL,28,FALSE)-50))</f>
        <v>179</v>
      </c>
      <c r="AB163" s="3">
        <v>194</v>
      </c>
      <c r="AC163" s="3">
        <f>IF(ISERROR((VLOOKUP($A163,'SegEnds_NonXtal_BW#'!$A:$Z,20,FALSE)+VLOOKUP($A163,A:AL,28,FALSE)-50)),"-",(VLOOKUP($A163,'SegEnds_NonXtal_BW#'!$A:$Z,20,FALSE)+VLOOKUP($A163,A:AL,28,FALSE)-50))</f>
        <v>217</v>
      </c>
      <c r="AD163" s="3">
        <f>IF(ISERROR(VLOOKUP($A163,'SegEnds_NonXtal_BW#'!$A:$Z,21,FALSE)+VLOOKUP($A163,A:AL,31,FALSE)-50),"-",(VLOOKUP($A163,'SegEnds_NonXtal_BW#'!$A:$Z,21,FALSE)+VLOOKUP($A163,A:AL,31,FALSE)-50))</f>
        <v>221</v>
      </c>
      <c r="AE163" s="3">
        <v>249</v>
      </c>
      <c r="AF163" s="3">
        <f>IF(ISERROR((VLOOKUP($A163,'SegEnds_NonXtal_BW#'!$A:$Z,22,FALSE)+VLOOKUP($A163,A:AL,31,FALSE)-50)),"-",(VLOOKUP($A163,'SegEnds_NonXtal_BW#'!$A:$Z,22,FALSE)+VLOOKUP($A163,A:AL,31,FALSE)-50))</f>
        <v>260</v>
      </c>
      <c r="AG163" s="3">
        <f>IF(ISERROR(VLOOKUP($A163,'SegEnds_NonXtal_BW#'!$A:$Z,23,FALSE)+VLOOKUP($A163,A:AL,34,FALSE)-50),"-",(VLOOKUP($A163,'SegEnds_NonXtal_BW#'!$A:$Z,23,FALSE)+VLOOKUP($A163,A:AL,34,FALSE)-50))</f>
        <v>266</v>
      </c>
      <c r="AH163" s="3">
        <v>285</v>
      </c>
      <c r="AI163" s="3">
        <v>291</v>
      </c>
      <c r="AJ163" s="3">
        <f>IF(ISERROR(VLOOKUP($A163,'SegEnds_NonXtal_BW#'!$A:$Z,25,FALSE)+VLOOKUP($A163,A:AL,37,FALSE)-50),"-",(VLOOKUP($A163,'SegEnds_NonXtal_BW#'!$A:$Z,25,FALSE)+VLOOKUP($A163,A:AL,37,FALSE)-50))</f>
        <v>292</v>
      </c>
      <c r="AK163" s="3">
        <v>295</v>
      </c>
      <c r="AL163" s="3">
        <f>IF(ISERROR((VLOOKUP($A163,'SegEnds_NonXtal_BW#'!$A:$Z,26,FALSE)+VLOOKUP($A163,A:AL,37,FALSE)-50)),"-",(VLOOKUP($A163,'SegEnds_NonXtal_BW#'!$A:$Z,26,FALSE)+VLOOKUP($A163,A:AL,37,FALSE)-50))</f>
        <v>304</v>
      </c>
      <c r="AM163" s="28" t="str">
        <f>VLOOKUP(A163,Classification!A:B,2,FALSE)</f>
        <v>A</v>
      </c>
      <c r="AN163" s="28" t="b">
        <f t="shared" si="121"/>
        <v>1</v>
      </c>
      <c r="AO163" s="3" t="str">
        <f>IF(ISERROR(MATCH(A163,'SegEnds_Xtal_Prot#'!B:B, 0)), "NoXtal", "Xtal")</f>
        <v>NoXtal</v>
      </c>
      <c r="AP163" s="3">
        <f t="shared" si="104"/>
        <v>1</v>
      </c>
      <c r="AQ163" s="3">
        <f t="shared" si="105"/>
        <v>1</v>
      </c>
      <c r="AR163" s="3">
        <f t="shared" si="106"/>
        <v>1</v>
      </c>
      <c r="AS163" s="3">
        <f t="shared" si="107"/>
        <v>1</v>
      </c>
      <c r="AT163" s="3">
        <f t="shared" si="108"/>
        <v>1</v>
      </c>
      <c r="AU163" s="3">
        <f t="shared" si="109"/>
        <v>1</v>
      </c>
      <c r="AV163" s="3">
        <f t="shared" si="110"/>
        <v>19</v>
      </c>
      <c r="AW163" s="3">
        <f t="shared" si="111"/>
        <v>3</v>
      </c>
      <c r="AX163" s="3">
        <f t="shared" si="112"/>
        <v>4</v>
      </c>
      <c r="AY163" s="3">
        <f t="shared" si="113"/>
        <v>6</v>
      </c>
      <c r="AZ163" s="3">
        <f t="shared" si="114"/>
        <v>1</v>
      </c>
      <c r="BA163" s="3">
        <f>IF(ISERROR(LEN(VLOOKUP(A163,Seqs!A:E,2,FALSE))-AL163),"-",LEN(VLOOKUP(A163,Seqs!A:E,2,FALSE))-AL163)</f>
        <v>55</v>
      </c>
      <c r="BB163" s="16">
        <f t="shared" si="115"/>
        <v>28</v>
      </c>
      <c r="BC163" s="9">
        <f t="shared" si="116"/>
        <v>20</v>
      </c>
      <c r="BD163" s="3">
        <f t="shared" si="117"/>
        <v>28</v>
      </c>
      <c r="BE163" s="3">
        <f t="shared" si="118"/>
        <v>55</v>
      </c>
    </row>
    <row r="164" spans="1:58" s="3" customFormat="1" x14ac:dyDescent="0.2">
      <c r="A164" s="3" t="s">
        <v>281</v>
      </c>
      <c r="B164" s="3" t="str">
        <f>LOWER(VLOOKUP(A164,Xtal_Templ!A:B,2,FALSE))</f>
        <v>oprk_human</v>
      </c>
      <c r="C164" s="3">
        <f>VLOOKUP($A164,'SegEnds_NonXtal_BW#'!$A:$Z,3,FALSE)+D164-50</f>
        <v>40</v>
      </c>
      <c r="D164" s="3">
        <v>60</v>
      </c>
      <c r="E164" s="3">
        <f>IF(ISERROR(VLOOKUP($A164,'SegEnds_NonXtal_BW#'!$A:$Z,4,FALSE)+VLOOKUP($A164,A:AL,4,FALSE)-50),"-",(VLOOKUP($A164,'SegEnds_NonXtal_BW#'!$A:$Z,4,FALSE)+VLOOKUP($A164,A:AL,4,FALSE)-50))</f>
        <v>70</v>
      </c>
      <c r="F164" s="3">
        <f>G164-2</f>
        <v>71</v>
      </c>
      <c r="G164" s="3">
        <v>73</v>
      </c>
      <c r="H164" s="3">
        <f t="shared" si="127"/>
        <v>74</v>
      </c>
      <c r="I164" s="3">
        <f t="shared" si="127"/>
        <v>75</v>
      </c>
      <c r="J164" s="3">
        <v>88</v>
      </c>
      <c r="K164" s="3">
        <f>VLOOKUP($A164,'SegEnds_NonXtal_BW#'!$A:$Z,8,FALSE)+VLOOKUP($A164,A:AL,10,FALSE)-50</f>
        <v>105</v>
      </c>
      <c r="L164" s="3">
        <f t="shared" si="123"/>
        <v>107</v>
      </c>
      <c r="M164" s="3">
        <v>108</v>
      </c>
      <c r="N164" s="3">
        <f t="shared" si="124"/>
        <v>110</v>
      </c>
      <c r="O164" s="3">
        <f t="shared" si="125"/>
        <v>111</v>
      </c>
      <c r="P164" s="3">
        <v>140</v>
      </c>
      <c r="Q164" s="3">
        <f>VLOOKUP($A164,'SegEnds_NonXtal_BW#'!$A:$Z,12,FALSE)+VLOOKUP($A164,A:AL,16,FALSE)-50</f>
        <v>146</v>
      </c>
      <c r="R164" s="3">
        <f>IF(ISERROR(VLOOKUP($A164,'SegEnds_NonXtal_BW#'!$A:$Z,13,FALSE)+VLOOKUP($A164,A:AL,19,FALSE)-50),"-",VLOOKUP($A164,'SegEnds_NonXtal_BW#'!$A:$Z,13,FALSE)+VLOOKUP($A164,A:AL,19,FALSE)-50)</f>
        <v>147</v>
      </c>
      <c r="S164" s="3">
        <v>147</v>
      </c>
      <c r="T164" s="100">
        <f>IF(ISERROR(VLOOKUP($A164,'SegEnds_NonXtal_BW#'!$A:$Z,14,FALSE)+VLOOKUP($A164,A:AL,19,FALSE)-50),"-",(VLOOKUP($A164,'SegEnds_NonXtal_BW#'!$A:$Z,14,FALSE)+VLOOKUP($A164,A:AL,19,FALSE)-50))</f>
        <v>154</v>
      </c>
      <c r="U164" s="9">
        <f>IF(ISERROR(VLOOKUP($A164,'SegEnds_NonXtal_BW#'!$A:$Z,15,FALSE)+VLOOKUP($A164,A:AL,22,FALSE)-50),"-",VLOOKUP($A164,'SegEnds_NonXtal_BW#'!$A:$Z,15,FALSE)+VLOOKUP($A164,A:AL,22,FALSE)-50)</f>
        <v>155</v>
      </c>
      <c r="V164" s="3">
        <v>167</v>
      </c>
      <c r="W164" s="3">
        <f>IF(ISERROR(VLOOKUP($A164,'SegEnds_NonXtal_BW#'!$A:$Z,16,FALSE)+VLOOKUP($A164,A:AL,22,FALSE)-50),"-",(VLOOKUP($A164,'SegEnds_NonXtal_BW#'!$A:$Z,16,FALSE)+VLOOKUP($A164,A:AL,22,FALSE)-50))</f>
        <v>181</v>
      </c>
      <c r="X164" s="3">
        <f>IF(ISERROR(VLOOKUP($A164,'SegEnds_NonXtal_BW#'!$A:$Z,17,FALSE)+VLOOKUP($A164,A:AL,25,FALSE)-50),"-",(VLOOKUP($A164,'SegEnds_NonXtal_BW#'!$A:$Z,17,FALSE)+VLOOKUP($A164,A:AL,25,FALSE)-50))</f>
        <v>191</v>
      </c>
      <c r="Y164" s="3">
        <v>191</v>
      </c>
      <c r="Z164" s="3">
        <f t="shared" si="126"/>
        <v>193</v>
      </c>
      <c r="AA164" s="3">
        <f>IF(ISERROR(VLOOKUP($A164,'SegEnds_NonXtal_BW#'!$A:$Z,19,FALSE)+VLOOKUP($A164,A:AL,28,FALSE)-50),"-",(VLOOKUP($A164,'SegEnds_NonXtal_BW#'!$A:$Z,19,FALSE)+VLOOKUP($A164,A:AL,28,FALSE)-50))</f>
        <v>196</v>
      </c>
      <c r="AB164" s="3">
        <v>216</v>
      </c>
      <c r="AC164" s="3">
        <f>IF(ISERROR((VLOOKUP($A164,'SegEnds_NonXtal_BW#'!$A:$Z,20,FALSE)+VLOOKUP($A164,A:AL,28,FALSE)-50)),"-",(VLOOKUP($A164,'SegEnds_NonXtal_BW#'!$A:$Z,20,FALSE)+VLOOKUP($A164,A:AL,28,FALSE)-50))</f>
        <v>240</v>
      </c>
      <c r="AD164" s="3">
        <f>IF(ISERROR(VLOOKUP($A164,'SegEnds_NonXtal_BW#'!$A:$Z,21,FALSE)+VLOOKUP($A164,A:AL,31,FALSE)-50),"-",(VLOOKUP($A164,'SegEnds_NonXtal_BW#'!$A:$Z,21,FALSE)+VLOOKUP($A164,A:AL,31,FALSE)-50))</f>
        <v>249</v>
      </c>
      <c r="AE164" s="3">
        <v>278</v>
      </c>
      <c r="AF164" s="3">
        <f>IF(ISERROR((VLOOKUP($A164,'SegEnds_NonXtal_BW#'!$A:$Z,22,FALSE)+VLOOKUP($A164,A:AL,31,FALSE)-50)),"-",(VLOOKUP($A164,'SegEnds_NonXtal_BW#'!$A:$Z,22,FALSE)+VLOOKUP($A164,A:AL,31,FALSE)-50))</f>
        <v>289</v>
      </c>
      <c r="AG164" s="3">
        <f>IF(ISERROR(VLOOKUP($A164,'SegEnds_NonXtal_BW#'!$A:$Z,23,FALSE)+VLOOKUP($A164,A:AL,34,FALSE)-50),"-",(VLOOKUP($A164,'SegEnds_NonXtal_BW#'!$A:$Z,23,FALSE)+VLOOKUP($A164,A:AL,34,FALSE)-50))</f>
        <v>298</v>
      </c>
      <c r="AH164" s="3">
        <v>320</v>
      </c>
      <c r="AI164" s="3">
        <f>IF(ISERROR((VLOOKUP($A164,'SegEnds_NonXtal_BW#'!$A:$Z,24,FALSE)+VLOOKUP($A164,A:AL,34,FALSE)-50)),"-",(VLOOKUP($A164,'SegEnds_NonXtal_BW#'!$A:$Z,24,FALSE)+VLOOKUP($A164,A:AL,34,FALSE)-50))</f>
        <v>326</v>
      </c>
      <c r="AJ164" s="3">
        <f>IF(ISERROR(VLOOKUP($A164,'SegEnds_NonXtal_BW#'!$A:$Z,25,FALSE)+VLOOKUP($A164,A:AL,37,FALSE)-50),"-",(VLOOKUP($A164,'SegEnds_NonXtal_BW#'!$A:$Z,25,FALSE)+VLOOKUP($A164,A:AL,37,FALSE)-50))</f>
        <v>327</v>
      </c>
      <c r="AK164" s="3">
        <v>330</v>
      </c>
      <c r="AL164" s="3">
        <f>IF(ISERROR((VLOOKUP($A164,'SegEnds_NonXtal_BW#'!$A:$Z,26,FALSE)+VLOOKUP($A164,A:AL,37,FALSE)-50)),"-",(VLOOKUP($A164,'SegEnds_NonXtal_BW#'!$A:$Z,26,FALSE)+VLOOKUP($A164,A:AL,37,FALSE)-50))</f>
        <v>339</v>
      </c>
      <c r="AM164" s="28" t="str">
        <f>VLOOKUP(A164,Classification!A:B,2,FALSE)</f>
        <v>A</v>
      </c>
      <c r="AN164" s="28" t="b">
        <f t="shared" si="121"/>
        <v>1</v>
      </c>
      <c r="AO164" s="3" t="str">
        <f>IF(ISERROR(MATCH(A164,'SegEnds_Xtal_Prot#'!B:B, 0)), "NoXtal", "Xtal")</f>
        <v>NoXtal</v>
      </c>
      <c r="AP164" s="3">
        <f t="shared" si="104"/>
        <v>1</v>
      </c>
      <c r="AQ164" s="3">
        <f t="shared" si="105"/>
        <v>1</v>
      </c>
      <c r="AR164" s="3">
        <f t="shared" si="106"/>
        <v>2</v>
      </c>
      <c r="AS164" s="3">
        <f t="shared" si="107"/>
        <v>1</v>
      </c>
      <c r="AT164" s="3">
        <f t="shared" si="108"/>
        <v>1</v>
      </c>
      <c r="AU164" s="3">
        <f t="shared" si="109"/>
        <v>1</v>
      </c>
      <c r="AV164" s="3">
        <f t="shared" si="110"/>
        <v>10</v>
      </c>
      <c r="AW164" s="3">
        <f t="shared" si="111"/>
        <v>3</v>
      </c>
      <c r="AX164" s="3">
        <f t="shared" si="112"/>
        <v>9</v>
      </c>
      <c r="AY164" s="3">
        <f t="shared" si="113"/>
        <v>9</v>
      </c>
      <c r="AZ164" s="3">
        <f t="shared" si="114"/>
        <v>1</v>
      </c>
      <c r="BA164" s="3">
        <f>IF(ISERROR(LEN(VLOOKUP(A164,Seqs!A:E,2,FALSE))-AL164),"-",LEN(VLOOKUP(A164,Seqs!A:E,2,FALSE))-AL164)</f>
        <v>59</v>
      </c>
      <c r="BB164" s="16">
        <f t="shared" si="115"/>
        <v>28</v>
      </c>
      <c r="BC164" s="9">
        <f t="shared" si="116"/>
        <v>20</v>
      </c>
      <c r="BD164" s="3">
        <f t="shared" si="117"/>
        <v>28</v>
      </c>
      <c r="BE164" s="3">
        <f t="shared" si="118"/>
        <v>62</v>
      </c>
    </row>
    <row r="165" spans="1:58" s="3" customFormat="1" x14ac:dyDescent="0.2">
      <c r="A165" s="3" t="s">
        <v>282</v>
      </c>
      <c r="B165" s="3" t="str">
        <f>LOWER(VLOOKUP(A165,Xtal_Templ!A:B,2,FALSE))</f>
        <v>agtr1_human</v>
      </c>
      <c r="C165" s="3">
        <f>VLOOKUP($A165,'SegEnds_NonXtal_BW#'!$A:$Z,3,FALSE)+D165-50</f>
        <v>534</v>
      </c>
      <c r="D165" s="3">
        <v>556</v>
      </c>
      <c r="E165" s="3">
        <f>IF(ISERROR(VLOOKUP($A165,'SegEnds_NonXtal_BW#'!$A:$Z,4,FALSE)+VLOOKUP($A165,A:AL,4,FALSE)-50),"-",(VLOOKUP($A165,'SegEnds_NonXtal_BW#'!$A:$Z,4,FALSE)+VLOOKUP($A165,A:AL,4,FALSE)-50))</f>
        <v>566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571</v>
      </c>
      <c r="J165" s="3">
        <v>584</v>
      </c>
      <c r="K165" s="3">
        <f>VLOOKUP($A165,'SegEnds_NonXtal_BW#'!$A:$Z,8,FALSE)+VLOOKUP($A165,A:AL,10,FALSE)-50</f>
        <v>601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611</v>
      </c>
      <c r="P165" s="3">
        <v>643</v>
      </c>
      <c r="Q165" s="3">
        <f>VLOOKUP($A165,'SegEnds_NonXtal_BW#'!$A:$Z,12,FALSE)+VLOOKUP($A165,A:AL,16,FALSE)-50</f>
        <v>649</v>
      </c>
      <c r="R165" s="3">
        <f>IF(ISERROR(VLOOKUP($A165,'SegEnds_NonXtal_BW#'!$A:$Z,13,FALSE)+VLOOKUP($A165,A:AL,19,FALSE)-50),"-",VLOOKUP($A165,'SegEnds_NonXtal_BW#'!$A:$Z,13,FALSE)+VLOOKUP($A165,A:AL,19,FALSE)-50)</f>
        <v>650</v>
      </c>
      <c r="S165" s="3">
        <v>650</v>
      </c>
      <c r="T165" s="100">
        <f>IF(ISERROR(VLOOKUP($A165,'SegEnds_NonXtal_BW#'!$A:$Z,14,FALSE)+VLOOKUP($A165,A:AL,19,FALSE)-50),"-",(VLOOKUP($A165,'SegEnds_NonXtal_BW#'!$A:$Z,14,FALSE)+VLOOKUP($A165,A:AL,19,FALSE)-50))</f>
        <v>657</v>
      </c>
      <c r="U165" s="9">
        <f>IF(ISERROR(VLOOKUP($A165,'SegEnds_NonXtal_BW#'!$A:$Z,15,FALSE)+VLOOKUP($A165,A:AL,22,FALSE)-50),"-",VLOOKUP($A165,'SegEnds_NonXtal_BW#'!$A:$Z,15,FALSE)+VLOOKUP($A165,A:AL,22,FALSE)-50)</f>
        <v>658</v>
      </c>
      <c r="V165" s="3">
        <v>670</v>
      </c>
      <c r="W165" s="3">
        <f>IF(ISERROR(VLOOKUP($A165,'SegEnds_NonXtal_BW#'!$A:$Z,16,FALSE)+VLOOKUP($A165,A:AL,22,FALSE)-50),"-",(VLOOKUP($A165,'SegEnds_NonXtal_BW#'!$A:$Z,16,FALSE)+VLOOKUP($A165,A:AL,22,FALSE)-50))</f>
        <v>684</v>
      </c>
      <c r="X165" s="3">
        <f>IF(ISERROR(VLOOKUP($A165,'SegEnds_NonXtal_BW#'!$A:$Z,17,FALSE)+VLOOKUP($A165,A:AL,25,FALSE)-50),"-",(VLOOKUP($A165,'SegEnds_NonXtal_BW#'!$A:$Z,17,FALSE)+VLOOKUP($A165,A:AL,25,FALSE)-50))</f>
        <v>693</v>
      </c>
      <c r="Y165" s="3">
        <v>693</v>
      </c>
      <c r="Z165" s="3">
        <f t="shared" si="126"/>
        <v>695</v>
      </c>
      <c r="AA165" s="3">
        <f>IF(ISERROR(VLOOKUP($A165,'SegEnds_NonXtal_BW#'!$A:$Z,19,FALSE)+VLOOKUP($A165,A:AL,28,FALSE)-50),"-",(VLOOKUP($A165,'SegEnds_NonXtal_BW#'!$A:$Z,19,FALSE)+VLOOKUP($A165,A:AL,28,FALSE)-50))</f>
        <v>701</v>
      </c>
      <c r="AB165" s="3">
        <v>717</v>
      </c>
      <c r="AC165" s="3">
        <f>IF(ISERROR((VLOOKUP($A165,'SegEnds_NonXtal_BW#'!$A:$Z,20,FALSE)+VLOOKUP($A165,A:AL,28,FALSE)-50)),"-",(VLOOKUP($A165,'SegEnds_NonXtal_BW#'!$A:$Z,20,FALSE)+VLOOKUP($A165,A:AL,28,FALSE)-50))</f>
        <v>734</v>
      </c>
      <c r="AD165" s="3">
        <f>IF(ISERROR(VLOOKUP($A165,'SegEnds_NonXtal_BW#'!$A:$Z,21,FALSE)+VLOOKUP($A165,A:AL,31,FALSE)-50),"-",(VLOOKUP($A165,'SegEnds_NonXtal_BW#'!$A:$Z,21,FALSE)+VLOOKUP($A165,A:AL,31,FALSE)-50))</f>
        <v>740</v>
      </c>
      <c r="AE165" s="3">
        <v>762</v>
      </c>
      <c r="AF165" s="3">
        <f>IF(ISERROR((VLOOKUP($A165,'SegEnds_NonXtal_BW#'!$A:$Z,22,FALSE)+VLOOKUP($A165,A:AL,31,FALSE)-50)),"-",(VLOOKUP($A165,'SegEnds_NonXtal_BW#'!$A:$Z,22,FALSE)+VLOOKUP($A165,A:AL,31,FALSE)-50))</f>
        <v>773</v>
      </c>
      <c r="AG165" s="3">
        <f>IF(ISERROR(VLOOKUP($A165,'SegEnds_NonXtal_BW#'!$A:$Z,23,FALSE)+VLOOKUP($A165,A:AL,34,FALSE)-50),"-",(VLOOKUP($A165,'SegEnds_NonXtal_BW#'!$A:$Z,23,FALSE)+VLOOKUP($A165,A:AL,34,FALSE)-50))</f>
        <v>779</v>
      </c>
      <c r="AH165" s="3">
        <v>798</v>
      </c>
      <c r="AI165" s="3">
        <f>IF(ISERROR((VLOOKUP($A165,'SegEnds_NonXtal_BW#'!$A:$Z,24,FALSE)+VLOOKUP($A165,A:AL,34,FALSE)-50)),"-",(VLOOKUP($A165,'SegEnds_NonXtal_BW#'!$A:$Z,24,FALSE)+VLOOKUP($A165,A:AL,34,FALSE)-50))</f>
        <v>804</v>
      </c>
      <c r="AJ165" s="3">
        <f>IF(ISERROR(VLOOKUP($A165,'SegEnds_NonXtal_BW#'!$A:$Z,25,FALSE)+VLOOKUP($A165,A:AL,37,FALSE)-50),"-",(VLOOKUP($A165,'SegEnds_NonXtal_BW#'!$A:$Z,25,FALSE)+VLOOKUP($A165,A:AL,37,FALSE)-50))</f>
        <v>805</v>
      </c>
      <c r="AK165" s="3">
        <v>808</v>
      </c>
      <c r="AL165" s="3">
        <f>IF(ISERROR((VLOOKUP($A165,'SegEnds_NonXtal_BW#'!$A:$Z,26,FALSE)+VLOOKUP($A165,A:AL,37,FALSE)-50)),"-",(VLOOKUP($A165,'SegEnds_NonXtal_BW#'!$A:$Z,26,FALSE)+VLOOKUP($A165,A:AL,37,FALSE)-50))</f>
        <v>819</v>
      </c>
      <c r="AM165" s="28" t="str">
        <f>VLOOKUP(A165,Classification!A:B,2,FALSE)</f>
        <v>A</v>
      </c>
      <c r="AN165" s="28" t="b">
        <f t="shared" si="121"/>
        <v>1</v>
      </c>
      <c r="AO165" s="3" t="str">
        <f>IF(ISERROR(MATCH(A165,'SegEnds_Xtal_Prot#'!B:B, 0)), "NoXtal", "Xtal")</f>
        <v>NoXtal</v>
      </c>
      <c r="AP165" s="3" t="str">
        <f t="shared" si="104"/>
        <v>-</v>
      </c>
      <c r="AQ165" s="3" t="str">
        <f t="shared" si="105"/>
        <v>-</v>
      </c>
      <c r="AR165" s="3" t="str">
        <f t="shared" si="106"/>
        <v>-</v>
      </c>
      <c r="AS165" s="3" t="str">
        <f t="shared" si="107"/>
        <v>-</v>
      </c>
      <c r="AT165" s="3">
        <f t="shared" si="108"/>
        <v>1</v>
      </c>
      <c r="AU165" s="3">
        <f t="shared" si="109"/>
        <v>1</v>
      </c>
      <c r="AV165" s="3">
        <f t="shared" si="110"/>
        <v>9</v>
      </c>
      <c r="AW165" s="3">
        <f t="shared" si="111"/>
        <v>6</v>
      </c>
      <c r="AX165" s="3">
        <f t="shared" si="112"/>
        <v>6</v>
      </c>
      <c r="AY165" s="3">
        <f t="shared" si="113"/>
        <v>6</v>
      </c>
      <c r="AZ165" s="3">
        <f t="shared" si="114"/>
        <v>1</v>
      </c>
      <c r="BA165" s="3">
        <f>IF(ISERROR(LEN(VLOOKUP(A165,Seqs!A:E,2,FALSE))-AL165),"-",LEN(VLOOKUP(A165,Seqs!A:E,2,FALSE))-AL165)</f>
        <v>132</v>
      </c>
      <c r="BB165" s="16">
        <f t="shared" si="115"/>
        <v>28</v>
      </c>
      <c r="BC165" s="9">
        <f t="shared" si="116"/>
        <v>20</v>
      </c>
      <c r="BD165" s="3">
        <f t="shared" si="117"/>
        <v>28</v>
      </c>
      <c r="BE165" s="3">
        <f t="shared" si="118"/>
        <v>45</v>
      </c>
    </row>
    <row r="166" spans="1:58" s="3" customFormat="1" x14ac:dyDescent="0.2">
      <c r="A166" s="3" t="s">
        <v>283</v>
      </c>
      <c r="B166" s="3" t="str">
        <f>LOWER(VLOOKUP(A166,Xtal_Templ!A:B,2,FALSE))</f>
        <v>aa2ar_human</v>
      </c>
      <c r="C166" s="3">
        <f>VLOOKUP($A166,'SegEnds_NonXtal_BW#'!$A:$Z,3,FALSE)+D166-50</f>
        <v>552</v>
      </c>
      <c r="D166" s="3">
        <v>575</v>
      </c>
      <c r="E166" s="3">
        <f>IF(ISERROR(VLOOKUP($A166,'SegEnds_NonXtal_BW#'!$A:$Z,4,FALSE)+VLOOKUP($A166,A:AL,4,FALSE)-50),"-",(VLOOKUP($A166,'SegEnds_NonXtal_BW#'!$A:$Z,4,FALSE)+VLOOKUP($A166,A:AL,4,FALSE)-50))</f>
        <v>585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590</v>
      </c>
      <c r="J166" s="3">
        <v>603</v>
      </c>
      <c r="K166" s="3">
        <f>VLOOKUP($A166,'SegEnds_NonXtal_BW#'!$A:$Z,8,FALSE)+VLOOKUP($A166,A:AL,10,FALSE)-50</f>
        <v>620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630</v>
      </c>
      <c r="P166" s="3">
        <v>662</v>
      </c>
      <c r="Q166" s="3">
        <f>VLOOKUP($A166,'SegEnds_NonXtal_BW#'!$A:$Z,12,FALSE)+VLOOKUP($A166,A:AL,16,FALSE)-50</f>
        <v>668</v>
      </c>
      <c r="R166" s="3">
        <f>IF(ISERROR(VLOOKUP($A166,'SegEnds_NonXtal_BW#'!$A:$Z,13,FALSE)+VLOOKUP($A166,A:AL,19,FALSE)-50),"-",VLOOKUP($A166,'SegEnds_NonXtal_BW#'!$A:$Z,13,FALSE)+VLOOKUP($A166,A:AL,19,FALSE)-50)</f>
        <v>669</v>
      </c>
      <c r="S166" s="3">
        <v>669</v>
      </c>
      <c r="T166" s="100">
        <f>IF(ISERROR(VLOOKUP($A166,'SegEnds_NonXtal_BW#'!$A:$Z,14,FALSE)+VLOOKUP($A166,A:AL,19,FALSE)-50),"-",(VLOOKUP($A166,'SegEnds_NonXtal_BW#'!$A:$Z,14,FALSE)+VLOOKUP($A166,A:AL,19,FALSE)-50))</f>
        <v>676</v>
      </c>
      <c r="U166" s="9">
        <f>IF(ISERROR(VLOOKUP($A166,'SegEnds_NonXtal_BW#'!$A:$Z,15,FALSE)+VLOOKUP($A166,A:AL,22,FALSE)-50),"-",VLOOKUP($A166,'SegEnds_NonXtal_BW#'!$A:$Z,15,FALSE)+VLOOKUP($A166,A:AL,22,FALSE)-50)</f>
        <v>677</v>
      </c>
      <c r="V166" s="3">
        <v>689</v>
      </c>
      <c r="W166" s="3">
        <f>IF(ISERROR(VLOOKUP($A166,'SegEnds_NonXtal_BW#'!$A:$Z,16,FALSE)+VLOOKUP($A166,A:AL,22,FALSE)-50),"-",(VLOOKUP($A166,'SegEnds_NonXtal_BW#'!$A:$Z,16,FALSE)+VLOOKUP($A166,A:AL,22,FALSE)-50))</f>
        <v>702</v>
      </c>
      <c r="X166" s="3">
        <f>IF(ISERROR(VLOOKUP($A166,'SegEnds_NonXtal_BW#'!$A:$Z,17,FALSE)+VLOOKUP($A166,A:AL,25,FALSE)-50),"-",(VLOOKUP($A166,'SegEnds_NonXtal_BW#'!$A:$Z,17,FALSE)+VLOOKUP($A166,A:AL,25,FALSE)-50))</f>
        <v>712</v>
      </c>
      <c r="Y166" s="3">
        <v>712</v>
      </c>
      <c r="Z166" s="3">
        <f t="shared" si="126"/>
        <v>714</v>
      </c>
      <c r="AA166" s="3">
        <f>IF(ISERROR(VLOOKUP($A166,'SegEnds_NonXtal_BW#'!$A:$Z,19,FALSE)+VLOOKUP($A166,A:AL,28,FALSE)-50),"-",(VLOOKUP($A166,'SegEnds_NonXtal_BW#'!$A:$Z,19,FALSE)+VLOOKUP($A166,A:AL,28,FALSE)-50))</f>
        <v>720</v>
      </c>
      <c r="AB166" s="3">
        <v>736</v>
      </c>
      <c r="AC166" s="3">
        <f>IF(ISERROR((VLOOKUP($A166,'SegEnds_NonXtal_BW#'!$A:$Z,20,FALSE)+VLOOKUP($A166,A:AL,28,FALSE)-50)),"-",(VLOOKUP($A166,'SegEnds_NonXtal_BW#'!$A:$Z,20,FALSE)+VLOOKUP($A166,A:AL,28,FALSE)-50))</f>
        <v>753</v>
      </c>
      <c r="AD166" s="3">
        <f>IF(ISERROR(VLOOKUP($A166,'SegEnds_NonXtal_BW#'!$A:$Z,21,FALSE)+VLOOKUP($A166,A:AL,31,FALSE)-50),"-",(VLOOKUP($A166,'SegEnds_NonXtal_BW#'!$A:$Z,21,FALSE)+VLOOKUP($A166,A:AL,31,FALSE)-50))</f>
        <v>759</v>
      </c>
      <c r="AE166" s="3">
        <v>781</v>
      </c>
      <c r="AF166" s="3">
        <f>IF(ISERROR((VLOOKUP($A166,'SegEnds_NonXtal_BW#'!$A:$Z,22,FALSE)+VLOOKUP($A166,A:AL,31,FALSE)-50)),"-",(VLOOKUP($A166,'SegEnds_NonXtal_BW#'!$A:$Z,22,FALSE)+VLOOKUP($A166,A:AL,31,FALSE)-50))</f>
        <v>792</v>
      </c>
      <c r="AG166" s="3">
        <f>IF(ISERROR(VLOOKUP($A166,'SegEnds_NonXtal_BW#'!$A:$Z,23,FALSE)+VLOOKUP($A166,A:AL,34,FALSE)-50),"-",(VLOOKUP($A166,'SegEnds_NonXtal_BW#'!$A:$Z,23,FALSE)+VLOOKUP($A166,A:AL,34,FALSE)-50))</f>
        <v>798</v>
      </c>
      <c r="AH166" s="3">
        <v>817</v>
      </c>
      <c r="AI166" s="3">
        <f>IF(ISERROR((VLOOKUP($A166,'SegEnds_NonXtal_BW#'!$A:$Z,24,FALSE)+VLOOKUP($A166,A:AL,34,FALSE)-50)),"-",(VLOOKUP($A166,'SegEnds_NonXtal_BW#'!$A:$Z,24,FALSE)+VLOOKUP($A166,A:AL,34,FALSE)-50))</f>
        <v>823</v>
      </c>
      <c r="AJ166" s="3">
        <f>IF(ISERROR(VLOOKUP($A166,'SegEnds_NonXtal_BW#'!$A:$Z,25,FALSE)+VLOOKUP($A166,A:AL,37,FALSE)-50),"-",(VLOOKUP($A166,'SegEnds_NonXtal_BW#'!$A:$Z,25,FALSE)+VLOOKUP($A166,A:AL,37,FALSE)-50))</f>
        <v>824</v>
      </c>
      <c r="AK166" s="3">
        <v>827</v>
      </c>
      <c r="AL166" s="3">
        <f>IF(ISERROR((VLOOKUP($A166,'SegEnds_NonXtal_BW#'!$A:$Z,26,FALSE)+VLOOKUP($A166,A:AL,37,FALSE)-50)),"-",(VLOOKUP($A166,'SegEnds_NonXtal_BW#'!$A:$Z,26,FALSE)+VLOOKUP($A166,A:AL,37,FALSE)-50))</f>
        <v>846</v>
      </c>
      <c r="AM166" s="28" t="str">
        <f>VLOOKUP(A166,Classification!A:B,2,FALSE)</f>
        <v>A</v>
      </c>
      <c r="AN166" s="28" t="b">
        <f t="shared" si="121"/>
        <v>1</v>
      </c>
      <c r="AO166" s="3" t="str">
        <f>IF(ISERROR(MATCH(A166,'SegEnds_Xtal_Prot#'!B:B, 0)), "NoXtal", "Xtal")</f>
        <v>NoXtal</v>
      </c>
      <c r="AP166" s="3" t="str">
        <f t="shared" si="104"/>
        <v>-</v>
      </c>
      <c r="AQ166" s="3" t="str">
        <f t="shared" si="105"/>
        <v>-</v>
      </c>
      <c r="AR166" s="3" t="str">
        <f t="shared" si="106"/>
        <v>-</v>
      </c>
      <c r="AS166" s="3" t="str">
        <f t="shared" si="107"/>
        <v>-</v>
      </c>
      <c r="AT166" s="3">
        <f t="shared" si="108"/>
        <v>1</v>
      </c>
      <c r="AU166" s="3">
        <f t="shared" si="109"/>
        <v>1</v>
      </c>
      <c r="AV166" s="3">
        <f t="shared" si="110"/>
        <v>10</v>
      </c>
      <c r="AW166" s="3">
        <f t="shared" si="111"/>
        <v>6</v>
      </c>
      <c r="AX166" s="3">
        <f t="shared" si="112"/>
        <v>6</v>
      </c>
      <c r="AY166" s="3">
        <f t="shared" si="113"/>
        <v>6</v>
      </c>
      <c r="AZ166" s="3">
        <f t="shared" si="114"/>
        <v>1</v>
      </c>
      <c r="BA166" s="3">
        <f>IF(ISERROR(LEN(VLOOKUP(A166,Seqs!A:E,2,FALSE))-AL166),"-",LEN(VLOOKUP(A166,Seqs!A:E,2,FALSE))-AL166)</f>
        <v>61</v>
      </c>
      <c r="BB166" s="16">
        <f t="shared" si="115"/>
        <v>28</v>
      </c>
      <c r="BC166" s="9">
        <f t="shared" si="116"/>
        <v>20</v>
      </c>
      <c r="BD166" s="3">
        <f t="shared" si="117"/>
        <v>28</v>
      </c>
      <c r="BE166" s="3">
        <f t="shared" si="118"/>
        <v>45</v>
      </c>
    </row>
    <row r="167" spans="1:58" s="3" customFormat="1" x14ac:dyDescent="0.2">
      <c r="A167" s="3" t="s">
        <v>284</v>
      </c>
      <c r="B167" s="3" t="str">
        <f>LOWER(VLOOKUP(A167,Xtal_Templ!A:B,2,FALSE))</f>
        <v>mtr1a_human</v>
      </c>
      <c r="C167" s="3">
        <f>VLOOKUP($A167,'SegEnds_NonXtal_BW#'!$A:$Z,3,FALSE)+D167-50</f>
        <v>557</v>
      </c>
      <c r="D167" s="3">
        <v>579</v>
      </c>
      <c r="E167" s="3">
        <f>IF(ISERROR(VLOOKUP($A167,'SegEnds_NonXtal_BW#'!$A:$Z,4,FALSE)+VLOOKUP($A167,A:AL,4,FALSE)-50),"-",(VLOOKUP($A167,'SegEnds_NonXtal_BW#'!$A:$Z,4,FALSE)+VLOOKUP($A167,A:AL,4,FALSE)-50))</f>
        <v>589</v>
      </c>
      <c r="F167" s="3" t="str">
        <f>IF(ISERROR(VLOOKUP($A167,'SegEnds_NonXtal_BW#'!$A:$Z,5,FALSE)+VLOOKUP($A167,A:AL,7,FALSE)-50),"-",(VLOOKUP($A167,'SegEnds_NonXtal_BW#'!$A:$Z,5,FALSE)+VLOOKUP($A167,A:AL,7,FALSE)-50))</f>
        <v>-</v>
      </c>
      <c r="G167" s="3" t="s">
        <v>23</v>
      </c>
      <c r="H167" s="3" t="str">
        <f>IF(ISERROR(VLOOKUP($A167,'SegEnds_NonXtal_BW#'!$A:$Z,6,FALSE)+VLOOKUP($A167,A:AL,7,FALSE)-50),"-",(VLOOKUP($A167,'SegEnds_NonXtal_BW#'!$A:$Z,6,FALSE)+VLOOKUP($A167,A:AL,7,FALSE)-50))</f>
        <v>-</v>
      </c>
      <c r="I167" s="3">
        <f>VLOOKUP($A167,'SegEnds_NonXtal_BW#'!$A:$Z,7,FALSE)+J167-50</f>
        <v>595</v>
      </c>
      <c r="J167" s="3">
        <v>608</v>
      </c>
      <c r="K167" s="3">
        <f>VLOOKUP($A167,'SegEnds_NonXtal_BW#'!$A:$Z,8,FALSE)+VLOOKUP($A167,A:AL,10,FALSE)-50</f>
        <v>626</v>
      </c>
      <c r="L167" s="3" t="str">
        <f>IF(ISERROR(VLOOKUP($A167,'SegEnds_NonXtal_BW#'!$A:$Z,9,FALSE)+VLOOKUP($A167,A:AL,13,FALSE)-50),"-",(VLOOKUP($A167,'SegEnds_NonXtal_BW#'!$A:$Z,9,FALSE)+VLOOKUP($A167,A:AL,13,FALSE)-50))</f>
        <v>-</v>
      </c>
      <c r="M167" s="3" t="s">
        <v>23</v>
      </c>
      <c r="N167" s="3" t="str">
        <f>IF(ISERROR(VLOOKUP($A167,'SegEnds_NonXtal_BW#'!$A:$Z,10,FALSE)+VLOOKUP($A167,A:AL,13,FALSE)-50),"-",(VLOOKUP($A167,'SegEnds_NonXtal_BW#'!$A:$Z,10,FALSE)+VLOOKUP($A167,A:AL,13,FALSE)-50))</f>
        <v>-</v>
      </c>
      <c r="O167" s="3">
        <f>VLOOKUP($A167,'SegEnds_NonXtal_BW#'!$A:$Z,11,FALSE)+VLOOKUP($A167,A:AL,16,FALSE)-50</f>
        <v>635</v>
      </c>
      <c r="P167" s="3">
        <v>667</v>
      </c>
      <c r="Q167" s="3">
        <f>VLOOKUP($A167,'SegEnds_NonXtal_BW#'!$A:$Z,12,FALSE)+VLOOKUP($A167,A:AL,16,FALSE)-50</f>
        <v>673</v>
      </c>
      <c r="R167" s="3">
        <f>IF(ISERROR(VLOOKUP($A167,'SegEnds_NonXtal_BW#'!$A:$Z,13,FALSE)+VLOOKUP($A167,A:AL,19,FALSE)-50),"-",VLOOKUP($A167,'SegEnds_NonXtal_BW#'!$A:$Z,13,FALSE)+VLOOKUP($A167,A:AL,19,FALSE)-50)</f>
        <v>674</v>
      </c>
      <c r="S167" s="3">
        <v>674</v>
      </c>
      <c r="T167" s="100">
        <f>IF(ISERROR(VLOOKUP($A167,'SegEnds_NonXtal_BW#'!$A:$Z,14,FALSE)+VLOOKUP($A167,A:AL,19,FALSE)-50),"-",(VLOOKUP($A167,'SegEnds_NonXtal_BW#'!$A:$Z,14,FALSE)+VLOOKUP($A167,A:AL,19,FALSE)-50))</f>
        <v>681</v>
      </c>
      <c r="U167" s="9">
        <f>IF(ISERROR(VLOOKUP($A167,'SegEnds_NonXtal_BW#'!$A:$Z,15,FALSE)+VLOOKUP($A167,A:AL,22,FALSE)-50),"-",VLOOKUP($A167,'SegEnds_NonXtal_BW#'!$A:$Z,15,FALSE)+VLOOKUP($A167,A:AL,22,FALSE)-50)</f>
        <v>682</v>
      </c>
      <c r="V167" s="3">
        <v>694</v>
      </c>
      <c r="W167" s="3">
        <f>IF(ISERROR(VLOOKUP($A167,'SegEnds_NonXtal_BW#'!$A:$Z,16,FALSE)+VLOOKUP($A167,A:AL,22,FALSE)-50),"-",(VLOOKUP($A167,'SegEnds_NonXtal_BW#'!$A:$Z,16,FALSE)+VLOOKUP($A167,A:AL,22,FALSE)-50))</f>
        <v>708</v>
      </c>
      <c r="X167" s="3">
        <f>IF(ISERROR(VLOOKUP($A167,'SegEnds_NonXtal_BW#'!$A:$Z,17,FALSE)+VLOOKUP($A167,A:AL,25,FALSE)-50),"-",(VLOOKUP($A167,'SegEnds_NonXtal_BW#'!$A:$Z,17,FALSE)+VLOOKUP($A167,A:AL,25,FALSE)-50))</f>
        <v>717</v>
      </c>
      <c r="Y167" s="3">
        <v>717</v>
      </c>
      <c r="Z167" s="3">
        <f t="shared" si="126"/>
        <v>719</v>
      </c>
      <c r="AA167" s="3">
        <f>IF(ISERROR(VLOOKUP($A167,'SegEnds_NonXtal_BW#'!$A:$Z,19,FALSE)+VLOOKUP($A167,A:AL,28,FALSE)-50),"-",(VLOOKUP($A167,'SegEnds_NonXtal_BW#'!$A:$Z,19,FALSE)+VLOOKUP($A167,A:AL,28,FALSE)-50))</f>
        <v>728</v>
      </c>
      <c r="AB167" s="3">
        <v>743</v>
      </c>
      <c r="AC167" s="3">
        <f>IF(ISERROR((VLOOKUP($A167,'SegEnds_NonXtal_BW#'!$A:$Z,20,FALSE)+VLOOKUP($A167,A:AL,28,FALSE)-50)),"-",(VLOOKUP($A167,'SegEnds_NonXtal_BW#'!$A:$Z,20,FALSE)+VLOOKUP($A167,A:AL,28,FALSE)-50))</f>
        <v>760</v>
      </c>
      <c r="AD167" s="3">
        <f>IF(ISERROR(VLOOKUP($A167,'SegEnds_NonXtal_BW#'!$A:$Z,21,FALSE)+VLOOKUP($A167,A:AL,31,FALSE)-50),"-",(VLOOKUP($A167,'SegEnds_NonXtal_BW#'!$A:$Z,21,FALSE)+VLOOKUP($A167,A:AL,31,FALSE)-50))</f>
        <v>766</v>
      </c>
      <c r="AE167" s="3">
        <v>788</v>
      </c>
      <c r="AF167" s="3">
        <f>IF(ISERROR((VLOOKUP($A167,'SegEnds_NonXtal_BW#'!$A:$Z,22,FALSE)+VLOOKUP($A167,A:AL,31,FALSE)-50)),"-",(VLOOKUP($A167,'SegEnds_NonXtal_BW#'!$A:$Z,22,FALSE)+VLOOKUP($A167,A:AL,31,FALSE)-50))</f>
        <v>799</v>
      </c>
      <c r="AG167" s="3">
        <f>IF(ISERROR(VLOOKUP($A167,'SegEnds_NonXtal_BW#'!$A:$Z,23,FALSE)+VLOOKUP($A167,A:AL,34,FALSE)-50),"-",(VLOOKUP($A167,'SegEnds_NonXtal_BW#'!$A:$Z,23,FALSE)+VLOOKUP($A167,A:AL,34,FALSE)-50))</f>
        <v>805</v>
      </c>
      <c r="AH167" s="3">
        <v>824</v>
      </c>
      <c r="AI167" s="3">
        <f>IF(ISERROR((VLOOKUP($A167,'SegEnds_NonXtal_BW#'!$A:$Z,24,FALSE)+VLOOKUP($A167,A:AL,34,FALSE)-50)),"-",(VLOOKUP($A167,'SegEnds_NonXtal_BW#'!$A:$Z,24,FALSE)+VLOOKUP($A167,A:AL,34,FALSE)-50))</f>
        <v>830</v>
      </c>
      <c r="AJ167" s="3">
        <f>IF(ISERROR(VLOOKUP($A167,'SegEnds_NonXtal_BW#'!$A:$Z,25,FALSE)+VLOOKUP($A167,A:AL,37,FALSE)-50),"-",(VLOOKUP($A167,'SegEnds_NonXtal_BW#'!$A:$Z,25,FALSE)+VLOOKUP($A167,A:AL,37,FALSE)-50))</f>
        <v>831</v>
      </c>
      <c r="AK167" s="3">
        <v>834</v>
      </c>
      <c r="AL167" s="3">
        <f>IF(ISERROR((VLOOKUP($A167,'SegEnds_NonXtal_BW#'!$A:$Z,26,FALSE)+VLOOKUP($A167,A:AL,37,FALSE)-50)),"-",(VLOOKUP($A167,'SegEnds_NonXtal_BW#'!$A:$Z,26,FALSE)+VLOOKUP($A167,A:AL,37,FALSE)-50))</f>
        <v>847</v>
      </c>
      <c r="AM167" s="28" t="str">
        <f>VLOOKUP(A167,Classification!A:B,2,FALSE)</f>
        <v>A</v>
      </c>
      <c r="AN167" s="28" t="b">
        <f t="shared" si="121"/>
        <v>1</v>
      </c>
      <c r="AO167" s="3" t="str">
        <f>IF(ISERROR(MATCH(A167,'SegEnds_Xtal_Prot#'!B:B, 0)), "NoXtal", "Xtal")</f>
        <v>NoXtal</v>
      </c>
      <c r="AP167" s="3" t="str">
        <f t="shared" si="104"/>
        <v>-</v>
      </c>
      <c r="AQ167" s="3" t="str">
        <f t="shared" si="105"/>
        <v>-</v>
      </c>
      <c r="AR167" s="3" t="str">
        <f t="shared" si="106"/>
        <v>-</v>
      </c>
      <c r="AS167" s="3" t="str">
        <f t="shared" si="107"/>
        <v>-</v>
      </c>
      <c r="AT167" s="3">
        <f t="shared" si="108"/>
        <v>1</v>
      </c>
      <c r="AU167" s="3">
        <f t="shared" si="109"/>
        <v>1</v>
      </c>
      <c r="AV167" s="3">
        <f t="shared" si="110"/>
        <v>9</v>
      </c>
      <c r="AW167" s="3">
        <f t="shared" si="111"/>
        <v>9</v>
      </c>
      <c r="AX167" s="3">
        <f t="shared" si="112"/>
        <v>6</v>
      </c>
      <c r="AY167" s="3">
        <f t="shared" si="113"/>
        <v>6</v>
      </c>
      <c r="AZ167" s="3">
        <f t="shared" si="114"/>
        <v>1</v>
      </c>
      <c r="BA167" s="3">
        <f>IF(ISERROR(LEN(VLOOKUP(A167,Seqs!A:E,2,FALSE))-AL167),"-",LEN(VLOOKUP(A167,Seqs!A:E,2,FALSE))-AL167)</f>
        <v>120</v>
      </c>
      <c r="BB167" s="16">
        <f t="shared" si="115"/>
        <v>29</v>
      </c>
      <c r="BC167" s="9">
        <f t="shared" si="116"/>
        <v>20</v>
      </c>
      <c r="BD167" s="3">
        <f t="shared" si="117"/>
        <v>29</v>
      </c>
      <c r="BE167" s="3">
        <f t="shared" si="118"/>
        <v>45</v>
      </c>
    </row>
    <row r="168" spans="1:58" s="3" customFormat="1" x14ac:dyDescent="0.2">
      <c r="A168" s="3" t="s">
        <v>287</v>
      </c>
      <c r="B168" s="3" t="str">
        <f>LOWER(VLOOKUP(A168,Xtal_Templ!A:B,2,FALSE))</f>
        <v>oprk_human</v>
      </c>
      <c r="C168" s="3">
        <f>VLOOKUP($A168,'SegEnds_NonXtal_BW#'!$A:$Z,3,FALSE)+D168-50</f>
        <v>37</v>
      </c>
      <c r="D168" s="3">
        <v>57</v>
      </c>
      <c r="E168" s="3">
        <f>IF(ISERROR(VLOOKUP($A168,'SegEnds_NonXtal_BW#'!$A:$Z,4,FALSE)+VLOOKUP($A168,A:AL,4,FALSE)-50),"-",(VLOOKUP($A168,'SegEnds_NonXtal_BW#'!$A:$Z,4,FALSE)+VLOOKUP($A168,A:AL,4,FALSE)-50))</f>
        <v>67</v>
      </c>
      <c r="F168" s="3">
        <f t="shared" ref="F168:F173" si="128">G168-2</f>
        <v>68</v>
      </c>
      <c r="G168" s="3">
        <v>70</v>
      </c>
      <c r="H168" s="3">
        <f t="shared" ref="H168:I173" si="129">G168+1</f>
        <v>71</v>
      </c>
      <c r="I168" s="3">
        <f t="shared" si="129"/>
        <v>72</v>
      </c>
      <c r="J168" s="3">
        <v>85</v>
      </c>
      <c r="K168" s="3">
        <f>VLOOKUP($A168,'SegEnds_NonXtal_BW#'!$A:$Z,8,FALSE)+VLOOKUP($A168,A:AL,10,FALSE)-50</f>
        <v>101</v>
      </c>
      <c r="L168" s="3">
        <f t="shared" ref="L168:L173" si="130">M168-1</f>
        <v>103</v>
      </c>
      <c r="M168" s="3">
        <v>104</v>
      </c>
      <c r="N168" s="3">
        <f t="shared" ref="N168:N173" si="131">M168+2</f>
        <v>106</v>
      </c>
      <c r="O168" s="3">
        <f t="shared" ref="O168:O173" si="132">N168+1</f>
        <v>107</v>
      </c>
      <c r="P168" s="3">
        <v>136</v>
      </c>
      <c r="Q168" s="3">
        <f>VLOOKUP($A168,'SegEnds_NonXtal_BW#'!$A:$Z,12,FALSE)+VLOOKUP($A168,A:AL,16,FALSE)-50</f>
        <v>142</v>
      </c>
      <c r="R168" s="3">
        <f>IF(ISERROR(VLOOKUP($A168,'SegEnds_NonXtal_BW#'!$A:$Z,13,FALSE)+VLOOKUP($A168,A:AL,19,FALSE)-50),"-",VLOOKUP($A168,'SegEnds_NonXtal_BW#'!$A:$Z,13,FALSE)+VLOOKUP($A168,A:AL,19,FALSE)-50)</f>
        <v>143</v>
      </c>
      <c r="S168" s="3">
        <v>143</v>
      </c>
      <c r="T168" s="100">
        <f>IF(ISERROR(VLOOKUP($A168,'SegEnds_NonXtal_BW#'!$A:$Z,14,FALSE)+VLOOKUP($A168,A:AL,19,FALSE)-50),"-",(VLOOKUP($A168,'SegEnds_NonXtal_BW#'!$A:$Z,14,FALSE)+VLOOKUP($A168,A:AL,19,FALSE)-50))</f>
        <v>150</v>
      </c>
      <c r="U168" s="9">
        <f>IF(ISERROR(VLOOKUP($A168,'SegEnds_NonXtal_BW#'!$A:$Z,15,FALSE)+VLOOKUP($A168,A:AL,22,FALSE)-50),"-",VLOOKUP($A168,'SegEnds_NonXtal_BW#'!$A:$Z,15,FALSE)+VLOOKUP($A168,A:AL,22,FALSE)-50)</f>
        <v>151</v>
      </c>
      <c r="V168" s="3">
        <v>163</v>
      </c>
      <c r="W168" s="3">
        <f>IF(ISERROR(VLOOKUP($A168,'SegEnds_NonXtal_BW#'!$A:$Z,16,FALSE)+VLOOKUP($A168,A:AL,22,FALSE)-50),"-",(VLOOKUP($A168,'SegEnds_NonXtal_BW#'!$A:$Z,16,FALSE)+VLOOKUP($A168,A:AL,22,FALSE)-50))</f>
        <v>177</v>
      </c>
      <c r="X168" s="3">
        <f>IF(ISERROR(VLOOKUP($A168,'SegEnds_NonXtal_BW#'!$A:$Z,17,FALSE)+VLOOKUP($A168,A:AL,25,FALSE)-50),"-",(VLOOKUP($A168,'SegEnds_NonXtal_BW#'!$A:$Z,17,FALSE)+VLOOKUP($A168,A:AL,25,FALSE)-50))</f>
        <v>188</v>
      </c>
      <c r="Y168" s="3">
        <v>188</v>
      </c>
      <c r="Z168" s="3">
        <f t="shared" si="126"/>
        <v>190</v>
      </c>
      <c r="AA168" s="3">
        <f>IF(ISERROR(VLOOKUP($A168,'SegEnds_NonXtal_BW#'!$A:$Z,19,FALSE)+VLOOKUP($A168,A:AL,28,FALSE)-50),"-",(VLOOKUP($A168,'SegEnds_NonXtal_BW#'!$A:$Z,19,FALSE)+VLOOKUP($A168,A:AL,28,FALSE)-50))</f>
        <v>196</v>
      </c>
      <c r="AB168" s="3">
        <v>216</v>
      </c>
      <c r="AC168" s="3">
        <f>IF(ISERROR((VLOOKUP($A168,'SegEnds_NonXtal_BW#'!$A:$Z,20,FALSE)+VLOOKUP($A168,A:AL,28,FALSE)-50)),"-",(VLOOKUP($A168,'SegEnds_NonXtal_BW#'!$A:$Z,20,FALSE)+VLOOKUP($A168,A:AL,28,FALSE)-50))</f>
        <v>234</v>
      </c>
      <c r="AD168" s="3">
        <f>IF(ISERROR(VLOOKUP($A168,'SegEnds_NonXtal_BW#'!$A:$Z,21,FALSE)+VLOOKUP($A168,A:AL,31,FALSE)-50),"-",(VLOOKUP($A168,'SegEnds_NonXtal_BW#'!$A:$Z,21,FALSE)+VLOOKUP($A168,A:AL,31,FALSE)-50))</f>
        <v>238</v>
      </c>
      <c r="AE168" s="3">
        <v>264</v>
      </c>
      <c r="AF168" s="3">
        <f>IF(ISERROR((VLOOKUP($A168,'SegEnds_NonXtal_BW#'!$A:$Z,22,FALSE)+VLOOKUP($A168,A:AL,31,FALSE)-50)),"-",(VLOOKUP($A168,'SegEnds_NonXtal_BW#'!$A:$Z,22,FALSE)+VLOOKUP($A168,A:AL,31,FALSE)-50))</f>
        <v>278</v>
      </c>
      <c r="AG168" s="3">
        <f>IF(ISERROR(VLOOKUP($A168,'SegEnds_NonXtal_BW#'!$A:$Z,23,FALSE)+VLOOKUP($A168,A:AL,34,FALSE)-50),"-",(VLOOKUP($A168,'SegEnds_NonXtal_BW#'!$A:$Z,23,FALSE)+VLOOKUP($A168,A:AL,34,FALSE)-50))</f>
        <v>282</v>
      </c>
      <c r="AH168" s="3">
        <v>308</v>
      </c>
      <c r="AI168" s="3">
        <f>IF(ISERROR((VLOOKUP($A168,'SegEnds_NonXtal_BW#'!$A:$Z,24,FALSE)+VLOOKUP($A168,A:AL,34,FALSE)-50)),"-",(VLOOKUP($A168,'SegEnds_NonXtal_BW#'!$A:$Z,24,FALSE)+VLOOKUP($A168,A:AL,34,FALSE)-50))</f>
        <v>314</v>
      </c>
      <c r="AJ168" s="3">
        <f>IF(ISERROR(VLOOKUP($A168,'SegEnds_NonXtal_BW#'!$A:$Z,25,FALSE)+VLOOKUP($A168,A:AL,37,FALSE)-50),"-",(VLOOKUP($A168,'SegEnds_NonXtal_BW#'!$A:$Z,25,FALSE)+VLOOKUP($A168,A:AL,37,FALSE)-50))</f>
        <v>315</v>
      </c>
      <c r="AK168" s="3">
        <v>318</v>
      </c>
      <c r="AL168" s="3">
        <f>IF(ISERROR((VLOOKUP($A168,'SegEnds_NonXtal_BW#'!$A:$Z,26,FALSE)+VLOOKUP($A168,A:AL,37,FALSE)-50)),"-",(VLOOKUP($A168,'SegEnds_NonXtal_BW#'!$A:$Z,26,FALSE)+VLOOKUP($A168,A:AL,37,FALSE)-50))</f>
        <v>327</v>
      </c>
      <c r="AM168" s="28" t="str">
        <f>VLOOKUP(A168,Classification!A:B,2,FALSE)</f>
        <v>A</v>
      </c>
      <c r="AN168" s="28" t="b">
        <f t="shared" si="121"/>
        <v>1</v>
      </c>
      <c r="AO168" s="3" t="str">
        <f>IF(ISERROR(MATCH(A168,'SegEnds_Xtal_Prot#'!B:B, 0)), "NoXtal", "Xtal")</f>
        <v>NoXtal</v>
      </c>
      <c r="AP168" s="3">
        <f t="shared" si="104"/>
        <v>1</v>
      </c>
      <c r="AQ168" s="3">
        <f t="shared" si="105"/>
        <v>1</v>
      </c>
      <c r="AR168" s="3">
        <f t="shared" si="106"/>
        <v>2</v>
      </c>
      <c r="AS168" s="3">
        <f t="shared" si="107"/>
        <v>1</v>
      </c>
      <c r="AT168" s="3">
        <f t="shared" si="108"/>
        <v>1</v>
      </c>
      <c r="AU168" s="3">
        <f t="shared" si="109"/>
        <v>1</v>
      </c>
      <c r="AV168" s="3">
        <f t="shared" si="110"/>
        <v>11</v>
      </c>
      <c r="AW168" s="3">
        <f t="shared" si="111"/>
        <v>6</v>
      </c>
      <c r="AX168" s="3">
        <f t="shared" si="112"/>
        <v>4</v>
      </c>
      <c r="AY168" s="3">
        <f t="shared" si="113"/>
        <v>4</v>
      </c>
      <c r="AZ168" s="3">
        <f t="shared" si="114"/>
        <v>1</v>
      </c>
      <c r="BA168" s="3">
        <f>IF(ISERROR(LEN(VLOOKUP(A168,Seqs!A:E,2,FALSE))-AL168),"-",LEN(VLOOKUP(A168,Seqs!A:E,2,FALSE))-AL168)</f>
        <v>43</v>
      </c>
      <c r="BB168" s="16">
        <f t="shared" si="115"/>
        <v>28</v>
      </c>
      <c r="BC168" s="9">
        <f t="shared" si="116"/>
        <v>20</v>
      </c>
      <c r="BD168" s="3">
        <f t="shared" si="117"/>
        <v>28</v>
      </c>
      <c r="BE168" s="3">
        <f t="shared" si="118"/>
        <v>48</v>
      </c>
    </row>
    <row r="169" spans="1:58" s="3" customFormat="1" x14ac:dyDescent="0.2">
      <c r="A169" s="3" t="s">
        <v>288</v>
      </c>
      <c r="B169" s="3" t="str">
        <f>LOWER(VLOOKUP(A169,Xtal_Templ!A:B,2,FALSE))</f>
        <v>cltr2_human</v>
      </c>
      <c r="C169" s="3">
        <f>VLOOKUP($A169,'SegEnds_NonXtal_BW#'!$A:$Z,3,FALSE)+D169-50</f>
        <v>15</v>
      </c>
      <c r="D169" s="3">
        <v>40</v>
      </c>
      <c r="E169" s="3">
        <f>IF(ISERROR(VLOOKUP($A169,'SegEnds_NonXtal_BW#'!$A:$Z,4,FALSE)+VLOOKUP($A169,A:AL,4,FALSE)-50),"-",(VLOOKUP($A169,'SegEnds_NonXtal_BW#'!$A:$Z,4,FALSE)+VLOOKUP($A169,A:AL,4,FALSE)-50))</f>
        <v>50</v>
      </c>
      <c r="F169" s="3">
        <f t="shared" si="128"/>
        <v>51</v>
      </c>
      <c r="G169" s="3">
        <v>53</v>
      </c>
      <c r="H169" s="3">
        <f t="shared" si="129"/>
        <v>54</v>
      </c>
      <c r="I169" s="3">
        <f t="shared" si="129"/>
        <v>55</v>
      </c>
      <c r="J169" s="3">
        <v>68</v>
      </c>
      <c r="K169" s="3">
        <f>VLOOKUP($A169,'SegEnds_NonXtal_BW#'!$A:$Z,8,FALSE)+VLOOKUP($A169,A:AL,10,FALSE)-50</f>
        <v>84</v>
      </c>
      <c r="L169" s="3">
        <f t="shared" si="130"/>
        <v>86</v>
      </c>
      <c r="M169" s="3">
        <v>87</v>
      </c>
      <c r="N169" s="3">
        <f t="shared" si="131"/>
        <v>89</v>
      </c>
      <c r="O169" s="3">
        <f t="shared" si="132"/>
        <v>90</v>
      </c>
      <c r="P169" s="3">
        <v>119</v>
      </c>
      <c r="Q169" s="3">
        <f>VLOOKUP($A169,'SegEnds_NonXtal_BW#'!$A:$Z,12,FALSE)+VLOOKUP($A169,A:AL,16,FALSE)-50</f>
        <v>125</v>
      </c>
      <c r="R169" s="3">
        <f>IF(ISERROR(VLOOKUP($A169,'SegEnds_NonXtal_BW#'!$A:$Z,13,FALSE)+VLOOKUP($A169,A:AL,19,FALSE)-50),"-",VLOOKUP($A169,'SegEnds_NonXtal_BW#'!$A:$Z,13,FALSE)+VLOOKUP($A169,A:AL,19,FALSE)-50)</f>
        <v>126</v>
      </c>
      <c r="S169" s="3">
        <v>126</v>
      </c>
      <c r="T169" s="100">
        <f>IF(ISERROR(VLOOKUP($A169,'SegEnds_NonXtal_BW#'!$A:$Z,14,FALSE)+VLOOKUP($A169,A:AL,19,FALSE)-50),"-",(VLOOKUP($A169,'SegEnds_NonXtal_BW#'!$A:$Z,14,FALSE)+VLOOKUP($A169,A:AL,19,FALSE)-50))</f>
        <v>133</v>
      </c>
      <c r="U169" s="9">
        <f>IF(ISERROR(VLOOKUP($A169,'SegEnds_NonXtal_BW#'!$A:$Z,15,FALSE)+VLOOKUP($A169,A:AL,22,FALSE)-50),"-",VLOOKUP($A169,'SegEnds_NonXtal_BW#'!$A:$Z,15,FALSE)+VLOOKUP($A169,A:AL,22,FALSE)-50)</f>
        <v>134</v>
      </c>
      <c r="V169" s="3">
        <v>146</v>
      </c>
      <c r="W169" s="3">
        <f>IF(ISERROR(VLOOKUP($A169,'SegEnds_NonXtal_BW#'!$A:$Z,16,FALSE)+VLOOKUP($A169,A:AL,22,FALSE)-50),"-",(VLOOKUP($A169,'SegEnds_NonXtal_BW#'!$A:$Z,16,FALSE)+VLOOKUP($A169,A:AL,22,FALSE)-50))</f>
        <v>159</v>
      </c>
      <c r="X169" s="3">
        <f>IF(ISERROR(VLOOKUP($A169,'SegEnds_NonXtal_BW#'!$A:$Z,17,FALSE)+VLOOKUP($A169,A:AL,25,FALSE)-50),"-",(VLOOKUP($A169,'SegEnds_NonXtal_BW#'!$A:$Z,17,FALSE)+VLOOKUP($A169,A:AL,25,FALSE)-50))</f>
        <v>175</v>
      </c>
      <c r="Y169" s="3">
        <v>175</v>
      </c>
      <c r="Z169" s="3">
        <f t="shared" si="126"/>
        <v>177</v>
      </c>
      <c r="AA169" s="3">
        <f>IF(ISERROR(VLOOKUP($A169,'SegEnds_NonXtal_BW#'!$A:$Z,19,FALSE)+VLOOKUP($A169,A:AL,28,FALSE)-50),"-",(VLOOKUP($A169,'SegEnds_NonXtal_BW#'!$A:$Z,19,FALSE)+VLOOKUP($A169,A:AL,28,FALSE)-50))</f>
        <v>185</v>
      </c>
      <c r="AB169" s="3">
        <v>203</v>
      </c>
      <c r="AC169" s="3">
        <f>IF(ISERROR((VLOOKUP($A169,'SegEnds_NonXtal_BW#'!$A:$Z,20,FALSE)+VLOOKUP($A169,A:AL,28,FALSE)-50)),"-",(VLOOKUP($A169,'SegEnds_NonXtal_BW#'!$A:$Z,20,FALSE)+VLOOKUP($A169,A:AL,28,FALSE)-50))</f>
        <v>220</v>
      </c>
      <c r="AD169" s="3">
        <f>IF(ISERROR(VLOOKUP($A169,'SegEnds_NonXtal_BW#'!$A:$Z,21,FALSE)+VLOOKUP($A169,A:AL,31,FALSE)-50),"-",(VLOOKUP($A169,'SegEnds_NonXtal_BW#'!$A:$Z,21,FALSE)+VLOOKUP($A169,A:AL,31,FALSE)-50))</f>
        <v>225</v>
      </c>
      <c r="AE169" s="3">
        <v>249</v>
      </c>
      <c r="AF169" s="3">
        <f>IF(ISERROR((VLOOKUP($A169,'SegEnds_NonXtal_BW#'!$A:$Z,22,FALSE)+VLOOKUP($A169,A:AL,31,FALSE)-50)),"-",(VLOOKUP($A169,'SegEnds_NonXtal_BW#'!$A:$Z,22,FALSE)+VLOOKUP($A169,A:AL,31,FALSE)-50))</f>
        <v>263</v>
      </c>
      <c r="AG169" s="3">
        <f>IF(ISERROR(VLOOKUP($A169,'SegEnds_NonXtal_BW#'!$A:$Z,23,FALSE)+VLOOKUP($A169,A:AL,34,FALSE)-50),"-",(VLOOKUP($A169,'SegEnds_NonXtal_BW#'!$A:$Z,23,FALSE)+VLOOKUP($A169,A:AL,34,FALSE)-50))</f>
        <v>268</v>
      </c>
      <c r="AH169" s="3">
        <v>294</v>
      </c>
      <c r="AI169" s="3">
        <f>IF(ISERROR((VLOOKUP($A169,'SegEnds_NonXtal_BW#'!$A:$Z,24,FALSE)+VLOOKUP($A169,A:AL,34,FALSE)-50)),"-",(VLOOKUP($A169,'SegEnds_NonXtal_BW#'!$A:$Z,24,FALSE)+VLOOKUP($A169,A:AL,34,FALSE)-50))</f>
        <v>300</v>
      </c>
      <c r="AJ169" s="3">
        <f>IF(ISERROR(VLOOKUP($A169,'SegEnds_NonXtal_BW#'!$A:$Z,25,FALSE)+VLOOKUP($A169,A:AL,37,FALSE)-50),"-",(VLOOKUP($A169,'SegEnds_NonXtal_BW#'!$A:$Z,25,FALSE)+VLOOKUP($A169,A:AL,37,FALSE)-50))</f>
        <v>301</v>
      </c>
      <c r="AK169" s="3">
        <v>304</v>
      </c>
      <c r="AL169" s="3">
        <f>IF(ISERROR((VLOOKUP($A169,'SegEnds_NonXtal_BW#'!$A:$Z,26,FALSE)+VLOOKUP($A169,A:AL,37,FALSE)-50)),"-",(VLOOKUP($A169,'SegEnds_NonXtal_BW#'!$A:$Z,26,FALSE)+VLOOKUP($A169,A:AL,37,FALSE)-50))</f>
        <v>314</v>
      </c>
      <c r="AM169" s="28" t="str">
        <f>VLOOKUP(A169,Classification!A:B,2,FALSE)</f>
        <v>A</v>
      </c>
      <c r="AN169" s="28" t="b">
        <f t="shared" si="121"/>
        <v>1</v>
      </c>
      <c r="AO169" s="3" t="str">
        <f>IF(ISERROR(MATCH(A169,'SegEnds_Xtal_Prot#'!B:B, 0)), "NoXtal", "Xtal")</f>
        <v>NoXtal</v>
      </c>
      <c r="AP169" s="3">
        <f t="shared" si="104"/>
        <v>1</v>
      </c>
      <c r="AQ169" s="3">
        <f t="shared" si="105"/>
        <v>1</v>
      </c>
      <c r="AR169" s="3">
        <f t="shared" si="106"/>
        <v>2</v>
      </c>
      <c r="AS169" s="3">
        <f t="shared" si="107"/>
        <v>1</v>
      </c>
      <c r="AT169" s="3">
        <f t="shared" si="108"/>
        <v>1</v>
      </c>
      <c r="AU169" s="3">
        <f t="shared" si="109"/>
        <v>1</v>
      </c>
      <c r="AV169" s="3">
        <f t="shared" si="110"/>
        <v>16</v>
      </c>
      <c r="AW169" s="3">
        <f t="shared" si="111"/>
        <v>8</v>
      </c>
      <c r="AX169" s="3">
        <f t="shared" si="112"/>
        <v>5</v>
      </c>
      <c r="AY169" s="3">
        <f t="shared" si="113"/>
        <v>5</v>
      </c>
      <c r="AZ169" s="3">
        <f t="shared" si="114"/>
        <v>1</v>
      </c>
      <c r="BA169" s="3">
        <f>IF(ISERROR(LEN(VLOOKUP(A169,Seqs!A:E,2,FALSE))-AL169),"-",LEN(VLOOKUP(A169,Seqs!A:E,2,FALSE))-AL169)</f>
        <v>58</v>
      </c>
      <c r="BB169" s="16">
        <f t="shared" si="115"/>
        <v>28</v>
      </c>
      <c r="BC169" s="9">
        <f t="shared" si="116"/>
        <v>20</v>
      </c>
      <c r="BD169" s="3">
        <f t="shared" si="117"/>
        <v>28</v>
      </c>
      <c r="BE169" s="3">
        <f t="shared" si="118"/>
        <v>46</v>
      </c>
    </row>
    <row r="170" spans="1:58" s="3" customFormat="1" x14ac:dyDescent="0.2">
      <c r="A170" s="3" t="s">
        <v>289</v>
      </c>
      <c r="B170" s="3" t="str">
        <f>LOWER(VLOOKUP(A170,Xtal_Templ!A:B,2,FALSE))</f>
        <v>cltr1_human</v>
      </c>
      <c r="C170" s="3">
        <f>VLOOKUP($A170,'SegEnds_NonXtal_BW#'!$A:$Z,3,FALSE)+D170-50</f>
        <v>5</v>
      </c>
      <c r="D170" s="3">
        <v>35</v>
      </c>
      <c r="E170" s="3">
        <f>IF(ISERROR(VLOOKUP($A170,'SegEnds_NonXtal_BW#'!$A:$Z,4,FALSE)+VLOOKUP($A170,A:AL,4,FALSE)-50),"-",(VLOOKUP($A170,'SegEnds_NonXtal_BW#'!$A:$Z,4,FALSE)+VLOOKUP($A170,A:AL,4,FALSE)-50))</f>
        <v>45</v>
      </c>
      <c r="F170" s="3">
        <f t="shared" si="128"/>
        <v>46</v>
      </c>
      <c r="G170" s="3">
        <v>48</v>
      </c>
      <c r="H170" s="3">
        <f t="shared" si="129"/>
        <v>49</v>
      </c>
      <c r="I170" s="3">
        <f t="shared" si="129"/>
        <v>50</v>
      </c>
      <c r="J170" s="3">
        <v>63</v>
      </c>
      <c r="K170" s="3">
        <f>VLOOKUP($A170,'SegEnds_NonXtal_BW#'!$A:$Z,8,FALSE)+VLOOKUP($A170,A:AL,10,FALSE)-50</f>
        <v>79</v>
      </c>
      <c r="L170" s="3">
        <f t="shared" si="130"/>
        <v>81</v>
      </c>
      <c r="M170" s="3">
        <v>82</v>
      </c>
      <c r="N170" s="3">
        <f t="shared" si="131"/>
        <v>84</v>
      </c>
      <c r="O170" s="3">
        <f t="shared" si="132"/>
        <v>85</v>
      </c>
      <c r="P170" s="3">
        <v>114</v>
      </c>
      <c r="Q170" s="3">
        <f>VLOOKUP($A170,'SegEnds_NonXtal_BW#'!$A:$Z,12,FALSE)+VLOOKUP($A170,A:AL,16,FALSE)-50</f>
        <v>120</v>
      </c>
      <c r="R170" s="3">
        <f>IF(ISERROR(VLOOKUP($A170,'SegEnds_NonXtal_BW#'!$A:$Z,13,FALSE)+VLOOKUP($A170,A:AL,19,FALSE)-50),"-",VLOOKUP($A170,'SegEnds_NonXtal_BW#'!$A:$Z,13,FALSE)+VLOOKUP($A170,A:AL,19,FALSE)-50)</f>
        <v>121</v>
      </c>
      <c r="S170" s="3">
        <v>121</v>
      </c>
      <c r="T170" s="100">
        <f>IF(ISERROR(VLOOKUP($A170,'SegEnds_NonXtal_BW#'!$A:$Z,14,FALSE)+VLOOKUP($A170,A:AL,19,FALSE)-50),"-",(VLOOKUP($A170,'SegEnds_NonXtal_BW#'!$A:$Z,14,FALSE)+VLOOKUP($A170,A:AL,19,FALSE)-50))</f>
        <v>128</v>
      </c>
      <c r="U170" s="9">
        <f>IF(ISERROR(VLOOKUP($A170,'SegEnds_NonXtal_BW#'!$A:$Z,15,FALSE)+VLOOKUP($A170,A:AL,22,FALSE)-50),"-",VLOOKUP($A170,'SegEnds_NonXtal_BW#'!$A:$Z,15,FALSE)+VLOOKUP($A170,A:AL,22,FALSE)-50)</f>
        <v>129</v>
      </c>
      <c r="V170" s="3">
        <v>141</v>
      </c>
      <c r="W170" s="3">
        <f>IF(ISERROR(VLOOKUP($A170,'SegEnds_NonXtal_BW#'!$A:$Z,16,FALSE)+VLOOKUP($A170,A:AL,22,FALSE)-50),"-",(VLOOKUP($A170,'SegEnds_NonXtal_BW#'!$A:$Z,16,FALSE)+VLOOKUP($A170,A:AL,22,FALSE)-50))</f>
        <v>154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6"/>
        <v>170</v>
      </c>
      <c r="AA170" s="3">
        <f>IF(ISERROR(VLOOKUP($A170,'SegEnds_NonXtal_BW#'!$A:$Z,19,FALSE)+VLOOKUP($A170,A:AL,28,FALSE)-50),"-",(VLOOKUP($A170,'SegEnds_NonXtal_BW#'!$A:$Z,19,FALSE)+VLOOKUP($A170,A:AL,28,FALSE)-50))</f>
        <v>174</v>
      </c>
      <c r="AB170" s="3">
        <v>196</v>
      </c>
      <c r="AC170" s="3">
        <f>IF(ISERROR((VLOOKUP($A170,'SegEnds_NonXtal_BW#'!$A:$Z,20,FALSE)+VLOOKUP($A170,A:AL,28,FALSE)-50)),"-",(VLOOKUP($A170,'SegEnds_NonXtal_BW#'!$A:$Z,20,FALSE)+VLOOKUP($A170,A:AL,28,FALSE)-50))</f>
        <v>214</v>
      </c>
      <c r="AD170" s="3">
        <f>IF(ISERROR(VLOOKUP($A170,'SegEnds_NonXtal_BW#'!$A:$Z,21,FALSE)+VLOOKUP($A170,A:AL,31,FALSE)-50),"-",(VLOOKUP($A170,'SegEnds_NonXtal_BW#'!$A:$Z,21,FALSE)+VLOOKUP($A170,A:AL,31,FALSE)-50))</f>
        <v>218</v>
      </c>
      <c r="AE170" s="3">
        <v>244</v>
      </c>
      <c r="AF170" s="3">
        <f>IF(ISERROR((VLOOKUP($A170,'SegEnds_NonXtal_BW#'!$A:$Z,22,FALSE)+VLOOKUP($A170,A:AL,31,FALSE)-50)),"-",(VLOOKUP($A170,'SegEnds_NonXtal_BW#'!$A:$Z,22,FALSE)+VLOOKUP($A170,A:AL,31,FALSE)-50))</f>
        <v>258</v>
      </c>
      <c r="AG170" s="3">
        <f>IF(ISERROR(VLOOKUP($A170,'SegEnds_NonXtal_BW#'!$A:$Z,23,FALSE)+VLOOKUP($A170,A:AL,34,FALSE)-50),"-",(VLOOKUP($A170,'SegEnds_NonXtal_BW#'!$A:$Z,23,FALSE)+VLOOKUP($A170,A:AL,34,FALSE)-50))</f>
        <v>262</v>
      </c>
      <c r="AH170" s="3">
        <v>288</v>
      </c>
      <c r="AI170" s="3">
        <f>IF(ISERROR((VLOOKUP($A170,'SegEnds_NonXtal_BW#'!$A:$Z,24,FALSE)+VLOOKUP($A170,A:AL,34,FALSE)-50)),"-",(VLOOKUP($A170,'SegEnds_NonXtal_BW#'!$A:$Z,24,FALSE)+VLOOKUP($A170,A:AL,34,FALSE)-50))</f>
        <v>294</v>
      </c>
      <c r="AJ170" s="3">
        <f>IF(ISERROR(VLOOKUP($A170,'SegEnds_NonXtal_BW#'!$A:$Z,25,FALSE)+VLOOKUP($A170,A:AL,37,FALSE)-50),"-",(VLOOKUP($A170,'SegEnds_NonXtal_BW#'!$A:$Z,25,FALSE)+VLOOKUP($A170,A:AL,37,FALSE)-50))</f>
        <v>295</v>
      </c>
      <c r="AK170" s="3">
        <v>298</v>
      </c>
      <c r="AL170" s="3">
        <f>IF(ISERROR((VLOOKUP($A170,'SegEnds_NonXtal_BW#'!$A:$Z,26,FALSE)+VLOOKUP($A170,A:AL,37,FALSE)-50)),"-",(VLOOKUP($A170,'SegEnds_NonXtal_BW#'!$A:$Z,26,FALSE)+VLOOKUP($A170,A:AL,37,FALSE)-50))</f>
        <v>307</v>
      </c>
      <c r="AM170" s="28" t="str">
        <f>VLOOKUP(A170,Classification!A:B,2,FALSE)</f>
        <v>A</v>
      </c>
      <c r="AN170" s="28" t="b">
        <f t="shared" si="121"/>
        <v>1</v>
      </c>
      <c r="AO170" s="3" t="str">
        <f>IF(ISERROR(MATCH(A170,'SegEnds_Xtal_Prot#'!B:B, 0)), "NoXtal", "Xtal")</f>
        <v>NoXtal</v>
      </c>
      <c r="AP170" s="3">
        <f t="shared" si="104"/>
        <v>1</v>
      </c>
      <c r="AQ170" s="3">
        <f t="shared" si="105"/>
        <v>1</v>
      </c>
      <c r="AR170" s="3">
        <f t="shared" si="106"/>
        <v>2</v>
      </c>
      <c r="AS170" s="3">
        <f t="shared" si="107"/>
        <v>1</v>
      </c>
      <c r="AT170" s="3">
        <f t="shared" si="108"/>
        <v>1</v>
      </c>
      <c r="AU170" s="3">
        <f t="shared" si="109"/>
        <v>1</v>
      </c>
      <c r="AV170" s="3">
        <f t="shared" si="110"/>
        <v>14</v>
      </c>
      <c r="AW170" s="3">
        <f t="shared" si="111"/>
        <v>4</v>
      </c>
      <c r="AX170" s="3">
        <f t="shared" si="112"/>
        <v>4</v>
      </c>
      <c r="AY170" s="3">
        <f t="shared" si="113"/>
        <v>4</v>
      </c>
      <c r="AZ170" s="3">
        <f t="shared" si="114"/>
        <v>1</v>
      </c>
      <c r="BA170" s="3">
        <f>IF(ISERROR(LEN(VLOOKUP(A170,Seqs!A:E,2,FALSE))-AL170),"-",LEN(VLOOKUP(A170,Seqs!A:E,2,FALSE))-AL170)</f>
        <v>37</v>
      </c>
      <c r="BB170" s="16">
        <f t="shared" si="115"/>
        <v>28</v>
      </c>
      <c r="BC170" s="9">
        <f t="shared" si="116"/>
        <v>20</v>
      </c>
      <c r="BD170" s="3">
        <f t="shared" si="117"/>
        <v>28</v>
      </c>
      <c r="BE170" s="3">
        <f t="shared" si="118"/>
        <v>48</v>
      </c>
    </row>
    <row r="171" spans="1:58" s="3" customFormat="1" x14ac:dyDescent="0.2">
      <c r="A171" s="3" t="s">
        <v>290</v>
      </c>
      <c r="B171" s="3" t="str">
        <f>LOWER(VLOOKUP(A171,Xtal_Templ!A:B,2,FALSE))</f>
        <v>hrh1_human</v>
      </c>
      <c r="C171" s="3">
        <f>VLOOKUP($A171,'SegEnds_NonXtal_BW#'!$A:$Z,3,FALSE)+D171-50</f>
        <v>361</v>
      </c>
      <c r="D171" s="3">
        <v>377</v>
      </c>
      <c r="E171" s="3">
        <f>IF(ISERROR(VLOOKUP($A171,'SegEnds_NonXtal_BW#'!$A:$Z,4,FALSE)+VLOOKUP($A171,A:AL,4,FALSE)-50),"-",(VLOOKUP($A171,'SegEnds_NonXtal_BW#'!$A:$Z,4,FALSE)+VLOOKUP($A171,A:AL,4,FALSE)-50))</f>
        <v>387</v>
      </c>
      <c r="F171" s="3">
        <f t="shared" si="128"/>
        <v>389</v>
      </c>
      <c r="G171" s="3">
        <v>391</v>
      </c>
      <c r="H171" s="3">
        <f t="shared" si="129"/>
        <v>392</v>
      </c>
      <c r="I171" s="3">
        <f t="shared" si="129"/>
        <v>393</v>
      </c>
      <c r="J171" s="3">
        <v>405</v>
      </c>
      <c r="K171" s="3">
        <f>VLOOKUP($A171,'SegEnds_NonXtal_BW#'!$A:$Z,8,FALSE)+VLOOKUP($A171,A:AL,10,FALSE)-50</f>
        <v>422</v>
      </c>
      <c r="L171" s="3">
        <f t="shared" si="130"/>
        <v>432</v>
      </c>
      <c r="M171" s="3">
        <v>433</v>
      </c>
      <c r="N171" s="3">
        <f t="shared" si="131"/>
        <v>435</v>
      </c>
      <c r="O171" s="3">
        <f t="shared" si="132"/>
        <v>436</v>
      </c>
      <c r="P171" s="3">
        <v>464</v>
      </c>
      <c r="Q171" s="3">
        <f>VLOOKUP($A171,'SegEnds_NonXtal_BW#'!$A:$Z,12,FALSE)+VLOOKUP($A171,A:AL,16,FALSE)-50</f>
        <v>470</v>
      </c>
      <c r="R171" s="3">
        <f>IF(ISERROR(VLOOKUP($A171,'SegEnds_NonXtal_BW#'!$A:$Z,13,FALSE)+VLOOKUP($A171,A:AL,19,FALSE)-50),"-",VLOOKUP($A171,'SegEnds_NonXtal_BW#'!$A:$Z,13,FALSE)+VLOOKUP($A171,A:AL,19,FALSE)-50)</f>
        <v>471</v>
      </c>
      <c r="S171" s="3">
        <v>471</v>
      </c>
      <c r="T171" s="100">
        <f>IF(ISERROR(VLOOKUP($A171,'SegEnds_NonXtal_BW#'!$A:$Z,14,FALSE)+VLOOKUP($A171,A:AL,19,FALSE)-50),"-",(VLOOKUP($A171,'SegEnds_NonXtal_BW#'!$A:$Z,14,FALSE)+VLOOKUP($A171,A:AL,19,FALSE)-50))</f>
        <v>478</v>
      </c>
      <c r="U171" s="9">
        <f>IF(ISERROR(VLOOKUP($A171,'SegEnds_NonXtal_BW#'!$A:$Z,15,FALSE)+VLOOKUP($A171,A:AL,22,FALSE)-50),"-",VLOOKUP($A171,'SegEnds_NonXtal_BW#'!$A:$Z,15,FALSE)+VLOOKUP($A171,A:AL,22,FALSE)-50)</f>
        <v>479</v>
      </c>
      <c r="V171" s="3">
        <v>491</v>
      </c>
      <c r="W171" s="3">
        <f>IF(ISERROR(VLOOKUP($A171,'SegEnds_NonXtal_BW#'!$A:$Z,16,FALSE)+VLOOKUP($A171,A:AL,22,FALSE)-50),"-",(VLOOKUP($A171,'SegEnds_NonXtal_BW#'!$A:$Z,16,FALSE)+VLOOKUP($A171,A:AL,22,FALSE)-50))</f>
        <v>503</v>
      </c>
      <c r="X171" s="3">
        <f>IF(ISERROR(VLOOKUP($A171,'SegEnds_NonXtal_BW#'!$A:$Z,17,FALSE)+VLOOKUP($A171,A:AL,25,FALSE)-50),"-",(VLOOKUP($A171,'SegEnds_NonXtal_BW#'!$A:$Z,17,FALSE)+VLOOKUP($A171,A:AL,25,FALSE)-50))</f>
        <v>514</v>
      </c>
      <c r="Y171" s="3">
        <v>514</v>
      </c>
      <c r="Z171" s="3">
        <f t="shared" si="126"/>
        <v>516</v>
      </c>
      <c r="AA171" s="3">
        <f>IF(ISERROR(VLOOKUP($A171,'SegEnds_NonXtal_BW#'!$A:$Z,19,FALSE)+VLOOKUP($A171,A:AL,28,FALSE)-50),"-",(VLOOKUP($A171,'SegEnds_NonXtal_BW#'!$A:$Z,19,FALSE)+VLOOKUP($A171,A:AL,28,FALSE)-50))</f>
        <v>523</v>
      </c>
      <c r="AB171" s="3">
        <v>538</v>
      </c>
      <c r="AC171" s="3">
        <f>IF(ISERROR((VLOOKUP($A171,'SegEnds_NonXtal_BW#'!$A:$Z,20,FALSE)+VLOOKUP($A171,A:AL,28,FALSE)-50)),"-",(VLOOKUP($A171,'SegEnds_NonXtal_BW#'!$A:$Z,20,FALSE)+VLOOKUP($A171,A:AL,28,FALSE)-50))</f>
        <v>555</v>
      </c>
      <c r="AD171" s="3">
        <f>IF(ISERROR(VLOOKUP($A171,'SegEnds_NonXtal_BW#'!$A:$Z,21,FALSE)+VLOOKUP($A171,A:AL,31,FALSE)-50),"-",(VLOOKUP($A171,'SegEnds_NonXtal_BW#'!$A:$Z,21,FALSE)+VLOOKUP($A171,A:AL,31,FALSE)-50))</f>
        <v>560</v>
      </c>
      <c r="AE171" s="3">
        <v>584</v>
      </c>
      <c r="AF171" s="3">
        <f>IF(ISERROR((VLOOKUP($A171,'SegEnds_NonXtal_BW#'!$A:$Z,22,FALSE)+VLOOKUP($A171,A:AL,31,FALSE)-50)),"-",(VLOOKUP($A171,'SegEnds_NonXtal_BW#'!$A:$Z,22,FALSE)+VLOOKUP($A171,A:AL,31,FALSE)-50))</f>
        <v>595</v>
      </c>
      <c r="AG171" s="3">
        <f>IF(ISERROR(VLOOKUP($A171,'SegEnds_NonXtal_BW#'!$A:$Z,23,FALSE)+VLOOKUP($A171,A:AL,34,FALSE)-50),"-",(VLOOKUP($A171,'SegEnds_NonXtal_BW#'!$A:$Z,23,FALSE)+VLOOKUP($A171,A:AL,34,FALSE)-50))</f>
        <v>601</v>
      </c>
      <c r="AH171" s="3">
        <v>620</v>
      </c>
      <c r="AI171" s="3">
        <f>IF(ISERROR((VLOOKUP($A171,'SegEnds_NonXtal_BW#'!$A:$Z,24,FALSE)+VLOOKUP($A171,A:AL,34,FALSE)-50)),"-",(VLOOKUP($A171,'SegEnds_NonXtal_BW#'!$A:$Z,24,FALSE)+VLOOKUP($A171,A:AL,34,FALSE)-50))</f>
        <v>626</v>
      </c>
      <c r="AJ171" s="3">
        <f>IF(ISERROR(VLOOKUP($A171,'SegEnds_NonXtal_BW#'!$A:$Z,25,FALSE)+VLOOKUP($A171,A:AL,37,FALSE)-50),"-",(VLOOKUP($A171,'SegEnds_NonXtal_BW#'!$A:$Z,25,FALSE)+VLOOKUP($A171,A:AL,37,FALSE)-50))</f>
        <v>627</v>
      </c>
      <c r="AK171" s="3">
        <v>630</v>
      </c>
      <c r="AL171" s="3">
        <f>IF(ISERROR((VLOOKUP($A171,'SegEnds_NonXtal_BW#'!$A:$Z,26,FALSE)+VLOOKUP($A171,A:AL,37,FALSE)-50)),"-",(VLOOKUP($A171,'SegEnds_NonXtal_BW#'!$A:$Z,26,FALSE)+VLOOKUP($A171,A:AL,37,FALSE)-50))</f>
        <v>639</v>
      </c>
      <c r="AM171" s="28" t="str">
        <f>VLOOKUP(A171,Classification!A:B,2,FALSE)</f>
        <v>A</v>
      </c>
      <c r="AN171" s="28" t="b">
        <f t="shared" si="121"/>
        <v>1</v>
      </c>
      <c r="AO171" s="3" t="str">
        <f>IF(ISERROR(MATCH(A171,'SegEnds_Xtal_Prot#'!B:B, 0)), "NoXtal", "Xtal")</f>
        <v>NoXtal</v>
      </c>
      <c r="AP171" s="3">
        <f t="shared" si="104"/>
        <v>2</v>
      </c>
      <c r="AQ171" s="3">
        <f t="shared" si="105"/>
        <v>1</v>
      </c>
      <c r="AR171" s="3">
        <f t="shared" si="106"/>
        <v>10</v>
      </c>
      <c r="AS171" s="3">
        <f t="shared" si="107"/>
        <v>1</v>
      </c>
      <c r="AT171" s="3">
        <f t="shared" si="108"/>
        <v>1</v>
      </c>
      <c r="AU171" s="3">
        <f t="shared" si="109"/>
        <v>1</v>
      </c>
      <c r="AV171" s="3">
        <f t="shared" si="110"/>
        <v>11</v>
      </c>
      <c r="AW171" s="3">
        <f t="shared" si="111"/>
        <v>7</v>
      </c>
      <c r="AX171" s="3">
        <f t="shared" si="112"/>
        <v>5</v>
      </c>
      <c r="AY171" s="3">
        <f t="shared" si="113"/>
        <v>6</v>
      </c>
      <c r="AZ171" s="3">
        <f t="shared" si="114"/>
        <v>1</v>
      </c>
      <c r="BA171" s="3">
        <f>IF(ISERROR(LEN(VLOOKUP(A171,Seqs!A:E,2,FALSE))-AL171),"-",LEN(VLOOKUP(A171,Seqs!A:E,2,FALSE))-AL171)</f>
        <v>60</v>
      </c>
      <c r="BB171" s="16">
        <f t="shared" si="115"/>
        <v>28</v>
      </c>
      <c r="BC171" s="9">
        <f t="shared" si="116"/>
        <v>20</v>
      </c>
      <c r="BD171" s="3">
        <f t="shared" si="117"/>
        <v>28</v>
      </c>
      <c r="BE171" s="3">
        <f t="shared" si="118"/>
        <v>46</v>
      </c>
    </row>
    <row r="172" spans="1:58" s="3" customFormat="1" x14ac:dyDescent="0.2">
      <c r="A172" s="3" t="s">
        <v>291</v>
      </c>
      <c r="B172" s="3" t="str">
        <f>LOWER(VLOOKUP(A172,Xtal_Templ!A:B,2,FALSE))</f>
        <v>ccr7_human</v>
      </c>
      <c r="C172" s="3">
        <f>VLOOKUP($A172,'SegEnds_NonXtal_BW#'!$A:$Z,3,FALSE)+D172-50</f>
        <v>15</v>
      </c>
      <c r="D172" s="3">
        <v>36</v>
      </c>
      <c r="E172" s="3">
        <f>IF(ISERROR(VLOOKUP($A172,'SegEnds_NonXtal_BW#'!$A:$Z,4,FALSE)+VLOOKUP($A172,A:AL,4,FALSE)-50),"-",(VLOOKUP($A172,'SegEnds_NonXtal_BW#'!$A:$Z,4,FALSE)+VLOOKUP($A172,A:AL,4,FALSE)-50))</f>
        <v>46</v>
      </c>
      <c r="F172" s="3">
        <f t="shared" si="128"/>
        <v>47</v>
      </c>
      <c r="G172" s="3">
        <v>49</v>
      </c>
      <c r="H172" s="3">
        <f t="shared" si="129"/>
        <v>50</v>
      </c>
      <c r="I172" s="3">
        <f t="shared" si="129"/>
        <v>51</v>
      </c>
      <c r="J172" s="3">
        <v>64</v>
      </c>
      <c r="K172" s="3">
        <f>VLOOKUP($A172,'SegEnds_NonXtal_BW#'!$A:$Z,8,FALSE)+VLOOKUP($A172,A:AL,10,FALSE)-50</f>
        <v>80</v>
      </c>
      <c r="L172" s="3">
        <f t="shared" si="130"/>
        <v>82</v>
      </c>
      <c r="M172" s="3">
        <v>83</v>
      </c>
      <c r="N172" s="3">
        <f t="shared" si="131"/>
        <v>85</v>
      </c>
      <c r="O172" s="3">
        <f t="shared" si="132"/>
        <v>86</v>
      </c>
      <c r="P172" s="3">
        <v>115</v>
      </c>
      <c r="Q172" s="3">
        <f>VLOOKUP($A172,'SegEnds_NonXtal_BW#'!$A:$Z,12,FALSE)+VLOOKUP($A172,A:AL,16,FALSE)-50</f>
        <v>121</v>
      </c>
      <c r="R172" s="3">
        <f>IF(ISERROR(VLOOKUP($A172,'SegEnds_NonXtal_BW#'!$A:$Z,13,FALSE)+VLOOKUP($A172,A:AL,19,FALSE)-50),"-",VLOOKUP($A172,'SegEnds_NonXtal_BW#'!$A:$Z,13,FALSE)+VLOOKUP($A172,A:AL,19,FALSE)-50)</f>
        <v>122</v>
      </c>
      <c r="S172" s="3">
        <v>122</v>
      </c>
      <c r="T172" s="100">
        <f>IF(ISERROR(VLOOKUP($A172,'SegEnds_NonXtal_BW#'!$A:$Z,14,FALSE)+VLOOKUP($A172,A:AL,19,FALSE)-50),"-",(VLOOKUP($A172,'SegEnds_NonXtal_BW#'!$A:$Z,14,FALSE)+VLOOKUP($A172,A:AL,19,FALSE)-50))</f>
        <v>129</v>
      </c>
      <c r="U172" s="9">
        <f>IF(ISERROR(VLOOKUP($A172,'SegEnds_NonXtal_BW#'!$A:$Z,15,FALSE)+VLOOKUP($A172,A:AL,22,FALSE)-50),"-",VLOOKUP($A172,'SegEnds_NonXtal_BW#'!$A:$Z,15,FALSE)+VLOOKUP($A172,A:AL,22,FALSE)-50)</f>
        <v>130</v>
      </c>
      <c r="V172" s="3">
        <v>142</v>
      </c>
      <c r="W172" s="3">
        <f>IF(ISERROR(VLOOKUP($A172,'SegEnds_NonXtal_BW#'!$A:$Z,16,FALSE)+VLOOKUP($A172,A:AL,22,FALSE)-50),"-",(VLOOKUP($A172,'SegEnds_NonXtal_BW#'!$A:$Z,16,FALSE)+VLOOKUP($A172,A:AL,22,FALSE)-50))</f>
        <v>156</v>
      </c>
      <c r="X172" s="3">
        <f>IF(ISERROR(VLOOKUP($A172,'SegEnds_NonXtal_BW#'!$A:$Z,17,FALSE)+VLOOKUP($A172,A:AL,25,FALSE)-50),"-",(VLOOKUP($A172,'SegEnds_NonXtal_BW#'!$A:$Z,17,FALSE)+VLOOKUP($A172,A:AL,25,FALSE)-50))</f>
        <v>168</v>
      </c>
      <c r="Y172" s="3">
        <v>168</v>
      </c>
      <c r="Z172" s="3">
        <f t="shared" si="126"/>
        <v>170</v>
      </c>
      <c r="AA172" s="3">
        <f>IF(ISERROR(VLOOKUP($A172,'SegEnds_NonXtal_BW#'!$A:$Z,19,FALSE)+VLOOKUP($A172,A:AL,28,FALSE)-50),"-",(VLOOKUP($A172,'SegEnds_NonXtal_BW#'!$A:$Z,19,FALSE)+VLOOKUP($A172,A:AL,28,FALSE)-50))</f>
        <v>172</v>
      </c>
      <c r="AB172" s="3">
        <v>193</v>
      </c>
      <c r="AC172" s="3">
        <f>IF(ISERROR((VLOOKUP($A172,'SegEnds_NonXtal_BW#'!$A:$Z,20,FALSE)+VLOOKUP($A172,A:AL,28,FALSE)-50)),"-",(VLOOKUP($A172,'SegEnds_NonXtal_BW#'!$A:$Z,20,FALSE)+VLOOKUP($A172,A:AL,28,FALSE)-50))</f>
        <v>211</v>
      </c>
      <c r="AD172" s="3">
        <f>IF(ISERROR(VLOOKUP($A172,'SegEnds_NonXtal_BW#'!$A:$Z,21,FALSE)+VLOOKUP($A172,A:AL,31,FALSE)-50),"-",(VLOOKUP($A172,'SegEnds_NonXtal_BW#'!$A:$Z,21,FALSE)+VLOOKUP($A172,A:AL,31,FALSE)-50))</f>
        <v>216</v>
      </c>
      <c r="AE172" s="3">
        <v>236</v>
      </c>
      <c r="AF172" s="3">
        <f>IF(ISERROR((VLOOKUP($A172,'SegEnds_NonXtal_BW#'!$A:$Z,22,FALSE)+VLOOKUP($A172,A:AL,31,FALSE)-50)),"-",(VLOOKUP($A172,'SegEnds_NonXtal_BW#'!$A:$Z,22,FALSE)+VLOOKUP($A172,A:AL,31,FALSE)-50))</f>
        <v>250</v>
      </c>
      <c r="AG172" s="3">
        <f>IF(ISERROR(VLOOKUP($A172,'SegEnds_NonXtal_BW#'!$A:$Z,23,FALSE)+VLOOKUP($A172,A:AL,34,FALSE)-50),"-",(VLOOKUP($A172,'SegEnds_NonXtal_BW#'!$A:$Z,23,FALSE)+VLOOKUP($A172,A:AL,34,FALSE)-50))</f>
        <v>256</v>
      </c>
      <c r="AH172" s="3">
        <v>282</v>
      </c>
      <c r="AI172" s="3">
        <f>IF(ISERROR((VLOOKUP($A172,'SegEnds_NonXtal_BW#'!$A:$Z,24,FALSE)+VLOOKUP($A172,A:AL,34,FALSE)-50)),"-",(VLOOKUP($A172,'SegEnds_NonXtal_BW#'!$A:$Z,24,FALSE)+VLOOKUP($A172,A:AL,34,FALSE)-50))</f>
        <v>288</v>
      </c>
      <c r="AJ172" s="3">
        <f>IF(ISERROR(VLOOKUP($A172,'SegEnds_NonXtal_BW#'!$A:$Z,25,FALSE)+VLOOKUP($A172,A:AL,37,FALSE)-50),"-",(VLOOKUP($A172,'SegEnds_NonXtal_BW#'!$A:$Z,25,FALSE)+VLOOKUP($A172,A:AL,37,FALSE)-50))</f>
        <v>289</v>
      </c>
      <c r="AK172" s="3">
        <v>292</v>
      </c>
      <c r="AL172" s="3">
        <f>IF(ISERROR((VLOOKUP($A172,'SegEnds_NonXtal_BW#'!$A:$Z,26,FALSE)+VLOOKUP($A172,A:AL,37,FALSE)-50)),"-",(VLOOKUP($A172,'SegEnds_NonXtal_BW#'!$A:$Z,26,FALSE)+VLOOKUP($A172,A:AL,37,FALSE)-50))</f>
        <v>301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IF(AG172-AF172&gt;1,TRUE,FALS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>
        <f t="shared" si="104"/>
        <v>1</v>
      </c>
      <c r="AQ172" s="3">
        <f t="shared" si="105"/>
        <v>1</v>
      </c>
      <c r="AR172" s="3">
        <f t="shared" si="106"/>
        <v>2</v>
      </c>
      <c r="AS172" s="3">
        <f t="shared" si="107"/>
        <v>1</v>
      </c>
      <c r="AT172" s="3">
        <f t="shared" si="108"/>
        <v>1</v>
      </c>
      <c r="AU172" s="3">
        <f t="shared" si="109"/>
        <v>1</v>
      </c>
      <c r="AV172" s="3">
        <f t="shared" si="110"/>
        <v>12</v>
      </c>
      <c r="AW172" s="3">
        <f t="shared" si="111"/>
        <v>2</v>
      </c>
      <c r="AX172" s="3">
        <f t="shared" si="112"/>
        <v>5</v>
      </c>
      <c r="AY172" s="3">
        <f t="shared" si="113"/>
        <v>6</v>
      </c>
      <c r="AZ172" s="3">
        <f t="shared" si="114"/>
        <v>1</v>
      </c>
      <c r="BA172" s="3">
        <f>IF(ISERROR(LEN(VLOOKUP(A172,Seqs!A:E,2,FALSE))-AL172),"-",LEN(VLOOKUP(A172,Seqs!A:E,2,FALSE))-AL172)</f>
        <v>51</v>
      </c>
      <c r="BB172" s="16">
        <f t="shared" si="115"/>
        <v>28</v>
      </c>
      <c r="BC172" s="9">
        <f t="shared" si="116"/>
        <v>20</v>
      </c>
      <c r="BD172" s="3">
        <f t="shared" si="117"/>
        <v>28</v>
      </c>
      <c r="BE172" s="3">
        <f t="shared" si="118"/>
        <v>43</v>
      </c>
    </row>
    <row r="173" spans="1:58" s="3" customFormat="1" x14ac:dyDescent="0.2">
      <c r="A173" s="3" t="s">
        <v>292</v>
      </c>
      <c r="B173" s="3" t="str">
        <f>LOWER(VLOOKUP(A173,Xtal_Templ!A:B,2,FALSE))</f>
        <v>pd2r2_human</v>
      </c>
      <c r="C173" s="3">
        <f>VLOOKUP($A173,'SegEnds_NonXtal_BW#'!$A:$Z,3,FALSE)+D173-50</f>
        <v>51</v>
      </c>
      <c r="D173" s="3">
        <v>69</v>
      </c>
      <c r="E173" s="3">
        <f>IF(ISERROR(VLOOKUP($A173,'SegEnds_NonXtal_BW#'!$A:$Z,4,FALSE)+VLOOKUP($A173,A:AL,4,FALSE)-50),"-",(VLOOKUP($A173,'SegEnds_NonXtal_BW#'!$A:$Z,4,FALSE)+VLOOKUP($A173,A:AL,4,FALSE)-50))</f>
        <v>79</v>
      </c>
      <c r="F173" s="3">
        <f t="shared" si="128"/>
        <v>80</v>
      </c>
      <c r="G173" s="3">
        <v>82</v>
      </c>
      <c r="H173" s="3">
        <f t="shared" si="129"/>
        <v>83</v>
      </c>
      <c r="I173" s="3">
        <f t="shared" si="129"/>
        <v>84</v>
      </c>
      <c r="J173" s="3">
        <v>99</v>
      </c>
      <c r="K173" s="3">
        <f>VLOOKUP($A173,'SegEnds_NonXtal_BW#'!$A:$Z,8,FALSE)+VLOOKUP($A173,A:AL,10,FALSE)-50</f>
        <v>115</v>
      </c>
      <c r="L173" s="3">
        <f t="shared" si="130"/>
        <v>117</v>
      </c>
      <c r="M173" s="3">
        <v>118</v>
      </c>
      <c r="N173" s="3">
        <f t="shared" si="131"/>
        <v>120</v>
      </c>
      <c r="O173" s="3">
        <f t="shared" si="132"/>
        <v>121</v>
      </c>
      <c r="P173" s="3">
        <v>150</v>
      </c>
      <c r="Q173" s="3">
        <f>VLOOKUP($A173,'SegEnds_NonXtal_BW#'!$A:$Z,12,FALSE)+VLOOKUP($A173,A:AL,16,FALSE)-50</f>
        <v>156</v>
      </c>
      <c r="R173" s="3">
        <f>IF(ISERROR(VLOOKUP($A173,'SegEnds_NonXtal_BW#'!$A:$Z,13,FALSE)+VLOOKUP($A173,A:AL,19,FALSE)-50),"-",VLOOKUP($A173,'SegEnds_NonXtal_BW#'!$A:$Z,13,FALSE)+VLOOKUP($A173,A:AL,19,FALSE)-50)</f>
        <v>157</v>
      </c>
      <c r="S173" s="3">
        <v>157</v>
      </c>
      <c r="T173" s="100">
        <f>IF(ISERROR(VLOOKUP($A173,'SegEnds_NonXtal_BW#'!$A:$Z,14,FALSE)+VLOOKUP($A173,A:AL,19,FALSE)-50),"-",(VLOOKUP($A173,'SegEnds_NonXtal_BW#'!$A:$Z,14,FALSE)+VLOOKUP($A173,A:AL,19,FALSE)-50))</f>
        <v>164</v>
      </c>
      <c r="U173" s="9">
        <f>IF(ISERROR(VLOOKUP($A173,'SegEnds_NonXtal_BW#'!$A:$Z,15,FALSE)+VLOOKUP($A173,A:AL,22,FALSE)-50),"-",VLOOKUP($A173,'SegEnds_NonXtal_BW#'!$A:$Z,15,FALSE)+VLOOKUP($A173,A:AL,22,FALSE)-50)</f>
        <v>165</v>
      </c>
      <c r="V173" s="3">
        <v>177</v>
      </c>
      <c r="W173" s="3">
        <f>IF(ISERROR(VLOOKUP($A173,'SegEnds_NonXtal_BW#'!$A:$Z,16,FALSE)+VLOOKUP($A173,A:AL,22,FALSE)-50),"-",(VLOOKUP($A173,'SegEnds_NonXtal_BW#'!$A:$Z,16,FALSE)+VLOOKUP($A173,A:AL,22,FALSE)-50))</f>
        <v>191</v>
      </c>
      <c r="X173" s="3">
        <f>IF(ISERROR(VLOOKUP($A173,'SegEnds_NonXtal_BW#'!$A:$Z,17,FALSE)+VLOOKUP($A173,A:AL,25,FALSE)-50),"-",(VLOOKUP($A173,'SegEnds_NonXtal_BW#'!$A:$Z,17,FALSE)+VLOOKUP($A173,A:AL,25,FALSE)-50))</f>
        <v>202</v>
      </c>
      <c r="Y173" s="3">
        <v>202</v>
      </c>
      <c r="Z173" s="3">
        <f t="shared" si="126"/>
        <v>204</v>
      </c>
      <c r="AA173" s="3">
        <f>IF(ISERROR(VLOOKUP($A173,'SegEnds_NonXtal_BW#'!$A:$Z,19,FALSE)+VLOOKUP($A173,A:AL,28,FALSE)-50),"-",(VLOOKUP($A173,'SegEnds_NonXtal_BW#'!$A:$Z,19,FALSE)+VLOOKUP($A173,A:AL,28,FALSE)-50))</f>
        <v>209</v>
      </c>
      <c r="AB173" s="3">
        <v>224</v>
      </c>
      <c r="AC173" s="3">
        <f>IF(ISERROR((VLOOKUP($A173,'SegEnds_NonXtal_BW#'!$A:$Z,20,FALSE)+VLOOKUP($A173,A:AL,28,FALSE)-50)),"-",(VLOOKUP($A173,'SegEnds_NonXtal_BW#'!$A:$Z,20,FALSE)+VLOOKUP($A173,A:AL,28,FALSE)-50))</f>
        <v>241</v>
      </c>
      <c r="AD173" s="3">
        <f>IF(ISERROR(VLOOKUP($A173,'SegEnds_NonXtal_BW#'!$A:$Z,21,FALSE)+VLOOKUP($A173,A:AL,31,FALSE)-50),"-",(VLOOKUP($A173,'SegEnds_NonXtal_BW#'!$A:$Z,21,FALSE)+VLOOKUP($A173,A:AL,31,FALSE)-50))</f>
        <v>246</v>
      </c>
      <c r="AE173" s="3">
        <v>270</v>
      </c>
      <c r="AF173" s="3">
        <f>IF(ISERROR((VLOOKUP($A173,'SegEnds_NonXtal_BW#'!$A:$Z,22,FALSE)+VLOOKUP($A173,A:AL,31,FALSE)-50)),"-",(VLOOKUP($A173,'SegEnds_NonXtal_BW#'!$A:$Z,22,FALSE)+VLOOKUP($A173,A:AL,31,FALSE)-50))</f>
        <v>284</v>
      </c>
      <c r="AG173" s="3">
        <f>IF(ISERROR(VLOOKUP($A173,'SegEnds_NonXtal_BW#'!$A:$Z,23,FALSE)+VLOOKUP($A173,A:AL,34,FALSE)-50),"-",(VLOOKUP($A173,'SegEnds_NonXtal_BW#'!$A:$Z,23,FALSE)+VLOOKUP($A173,A:AL,34,FALSE)-50))</f>
        <v>290</v>
      </c>
      <c r="AH173" s="3">
        <v>316</v>
      </c>
      <c r="AI173" s="3">
        <f>IF(ISERROR((VLOOKUP($A173,'SegEnds_NonXtal_BW#'!$A:$Z,24,FALSE)+VLOOKUP($A173,A:AL,34,FALSE)-50)),"-",(VLOOKUP($A173,'SegEnds_NonXtal_BW#'!$A:$Z,24,FALSE)+VLOOKUP($A173,A:AL,34,FALSE)-50))</f>
        <v>322</v>
      </c>
      <c r="AJ173" s="3">
        <f>IF(ISERROR(VLOOKUP($A173,'SegEnds_NonXtal_BW#'!$A:$Z,25,FALSE)+VLOOKUP($A173,A:AL,37,FALSE)-50),"-",(VLOOKUP($A173,'SegEnds_NonXtal_BW#'!$A:$Z,25,FALSE)+VLOOKUP($A173,A:AL,37,FALSE)-50))</f>
        <v>323</v>
      </c>
      <c r="AK173" s="3">
        <v>326</v>
      </c>
      <c r="AL173" s="3">
        <f>IF(ISERROR((VLOOKUP($A173,'SegEnds_NonXtal_BW#'!$A:$Z,26,FALSE)+VLOOKUP($A173,A:AL,37,FALSE)-50)),"-",(VLOOKUP($A173,'SegEnds_NonXtal_BW#'!$A:$Z,26,FALSE)+VLOOKUP($A173,A:AL,37,FALSE)-50))</f>
        <v>340</v>
      </c>
      <c r="AM173" s="28" t="str">
        <f>VLOOKUP(A173,Classification!A:B,2,FALSE)</f>
        <v>A</v>
      </c>
      <c r="AN173" s="28" t="b">
        <f t="shared" si="121"/>
        <v>1</v>
      </c>
      <c r="AO173" s="3" t="str">
        <f>IF(ISERROR(MATCH(A173,'SegEnds_Xtal_Prot#'!B:B, 0)), "NoXtal", "Xtal")</f>
        <v>NoXtal</v>
      </c>
      <c r="AP173" s="3">
        <f t="shared" si="104"/>
        <v>1</v>
      </c>
      <c r="AQ173" s="3">
        <f t="shared" si="105"/>
        <v>1</v>
      </c>
      <c r="AR173" s="3">
        <f t="shared" si="106"/>
        <v>2</v>
      </c>
      <c r="AS173" s="3">
        <f t="shared" si="107"/>
        <v>1</v>
      </c>
      <c r="AT173" s="3">
        <f t="shared" si="108"/>
        <v>1</v>
      </c>
      <c r="AU173" s="3">
        <f t="shared" si="109"/>
        <v>1</v>
      </c>
      <c r="AV173" s="3">
        <f t="shared" si="110"/>
        <v>11</v>
      </c>
      <c r="AW173" s="3">
        <f t="shared" si="111"/>
        <v>5</v>
      </c>
      <c r="AX173" s="3">
        <f t="shared" si="112"/>
        <v>5</v>
      </c>
      <c r="AY173" s="3">
        <f t="shared" si="113"/>
        <v>6</v>
      </c>
      <c r="AZ173" s="3">
        <f t="shared" si="114"/>
        <v>1</v>
      </c>
      <c r="BA173" s="3">
        <f>IF(ISERROR(LEN(VLOOKUP(A173,Seqs!A:E,2,FALSE))-AL173),"-",LEN(VLOOKUP(A173,Seqs!A:E,2,FALSE))-AL173)</f>
        <v>49</v>
      </c>
      <c r="BB173" s="16">
        <f t="shared" si="115"/>
        <v>30</v>
      </c>
      <c r="BC173" s="9">
        <f t="shared" si="116"/>
        <v>20</v>
      </c>
      <c r="BD173" s="3">
        <f t="shared" si="117"/>
        <v>30</v>
      </c>
      <c r="BE173" s="3">
        <f t="shared" si="118"/>
        <v>46</v>
      </c>
    </row>
    <row r="174" spans="1:58" s="3" customFormat="1" x14ac:dyDescent="0.2">
      <c r="A174" s="3" t="s">
        <v>293</v>
      </c>
      <c r="B174" s="3" t="str">
        <f>LOWER(VLOOKUP(A174,Xtal_Templ!A:B,2,FALSE))</f>
        <v>ccr6_human</v>
      </c>
      <c r="C174" s="3">
        <f>VLOOKUP($A174,'SegEnds_NonXtal_BW#'!$A:$Z,3,FALSE)+D174-50</f>
        <v>25</v>
      </c>
      <c r="D174" s="3">
        <v>50</v>
      </c>
      <c r="E174" s="3">
        <f>IF(ISERROR(VLOOKUP($A174,'SegEnds_NonXtal_BW#'!$A:$Z,4,FALSE)+VLOOKUP($A174,A:AL,4,FALSE)-50),"-",(VLOOKUP($A174,'SegEnds_NonXtal_BW#'!$A:$Z,4,FALSE)+VLOOKUP($A174,A:AL,4,FALSE)-50))</f>
        <v>60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64</v>
      </c>
      <c r="J174" s="3">
        <v>77</v>
      </c>
      <c r="K174" s="3">
        <f>VLOOKUP($A174,'SegEnds_NonXtal_BW#'!$A:$Z,8,FALSE)+VLOOKUP($A174,A:AL,10,FALSE)-50</f>
        <v>94</v>
      </c>
      <c r="L174" s="3" t="s">
        <v>23</v>
      </c>
      <c r="M174" s="3" t="s">
        <v>23</v>
      </c>
      <c r="N174" s="3" t="s">
        <v>23</v>
      </c>
      <c r="O174" s="3">
        <f>VLOOKUP($A174,'SegEnds_NonXtal_BW#'!$A:$Z,11,FALSE)+VLOOKUP($A174,A:AL,16,FALSE)-50</f>
        <v>98</v>
      </c>
      <c r="P174" s="3">
        <v>130</v>
      </c>
      <c r="Q174" s="3">
        <f>VLOOKUP($A174,'SegEnds_NonXtal_BW#'!$A:$Z,12,FALSE)+VLOOKUP($A174,A:AL,16,FALSE)-50</f>
        <v>136</v>
      </c>
      <c r="R174" s="3">
        <f>IF(ISERROR(VLOOKUP($A174,'SegEnds_NonXtal_BW#'!$A:$Z,13,FALSE)+VLOOKUP($A174,A:AL,19,FALSE)-50),"-",VLOOKUP($A174,'SegEnds_NonXtal_BW#'!$A:$Z,13,FALSE)+VLOOKUP($A174,A:AL,19,FALSE)-50)</f>
        <v>137</v>
      </c>
      <c r="S174" s="3">
        <v>137</v>
      </c>
      <c r="T174" s="100">
        <f>IF(ISERROR(VLOOKUP($A174,'SegEnds_NonXtal_BW#'!$A:$Z,14,FALSE)+VLOOKUP($A174,A:AL,19,FALSE)-50),"-",(VLOOKUP($A174,'SegEnds_NonXtal_BW#'!$A:$Z,14,FALSE)+VLOOKUP($A174,A:AL,19,FALSE)-50))</f>
        <v>144</v>
      </c>
      <c r="U174" s="9">
        <f>IF(ISERROR(VLOOKUP($A174,'SegEnds_NonXtal_BW#'!$A:$Z,15,FALSE)+VLOOKUP($A174,A:AL,22,FALSE)-50),"-",VLOOKUP($A174,'SegEnds_NonXtal_BW#'!$A:$Z,15,FALSE)+VLOOKUP($A174,A:AL,22,FALSE)-50)</f>
        <v>145</v>
      </c>
      <c r="V174" s="3">
        <v>157</v>
      </c>
      <c r="W174" s="3">
        <f>IF(ISERROR(VLOOKUP($A174,'SegEnds_NonXtal_BW#'!$A:$Z,16,FALSE)+VLOOKUP($A174,A:AL,22,FALSE)-50),"-",(VLOOKUP($A174,'SegEnds_NonXtal_BW#'!$A:$Z,16,FALSE)+VLOOKUP($A174,A:AL,22,FALSE)-50))</f>
        <v>171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182</v>
      </c>
      <c r="AB174" s="3">
        <v>201</v>
      </c>
      <c r="AC174" s="3">
        <f>IF(ISERROR((VLOOKUP($A174,'SegEnds_NonXtal_BW#'!$A:$Z,20,FALSE)+VLOOKUP($A174,A:AL,28,FALSE)-50)),"-",(VLOOKUP($A174,'SegEnds_NonXtal_BW#'!$A:$Z,20,FALSE)+VLOOKUP($A174,A:AL,28,FALSE)-50))</f>
        <v>219</v>
      </c>
      <c r="AD174" s="3">
        <f>IF(ISERROR(VLOOKUP($A174,'SegEnds_NonXtal_BW#'!$A:$Z,21,FALSE)+VLOOKUP($A174,A:AL,31,FALSE)-50),"-",(VLOOKUP($A174,'SegEnds_NonXtal_BW#'!$A:$Z,21,FALSE)+VLOOKUP($A174,A:AL,31,FALSE)-50))</f>
        <v>223</v>
      </c>
      <c r="AE174" s="3">
        <v>243</v>
      </c>
      <c r="AF174" s="3">
        <f>IF(ISERROR((VLOOKUP($A174,'SegEnds_NonXtal_BW#'!$A:$Z,22,FALSE)+VLOOKUP($A174,A:AL,31,FALSE)-50)),"-",(VLOOKUP($A174,'SegEnds_NonXtal_BW#'!$A:$Z,22,FALSE)+VLOOKUP($A174,A:AL,31,FALSE)-50))</f>
        <v>254</v>
      </c>
      <c r="AG174" s="3">
        <f>IF(ISERROR(VLOOKUP($A174,'SegEnds_NonXtal_BW#'!$A:$Z,23,FALSE)+VLOOKUP($A174,A:AL,34,FALSE)-50),"-",(VLOOKUP($A174,'SegEnds_NonXtal_BW#'!$A:$Z,23,FALSE)+VLOOKUP($A174,A:AL,34,FALSE)-50))</f>
        <v>259</v>
      </c>
      <c r="AH174" s="3">
        <v>277</v>
      </c>
      <c r="AI174" s="3">
        <f>IF(ISERROR((VLOOKUP($A174,'SegEnds_NonXtal_BW#'!$A:$Z,24,FALSE)+VLOOKUP($A174,A:AL,34,FALSE)-50)),"-",(VLOOKUP($A174,'SegEnds_NonXtal_BW#'!$A:$Z,24,FALSE)+VLOOKUP($A174,A:AL,34,FALSE)-50))</f>
        <v>283</v>
      </c>
      <c r="AJ174" s="3">
        <f>IF(ISERROR(VLOOKUP($A174,'SegEnds_NonXtal_BW#'!$A:$Z,25,FALSE)+VLOOKUP($A174,A:AL,37,FALSE)-50),"-",(VLOOKUP($A174,'SegEnds_NonXtal_BW#'!$A:$Z,25,FALSE)+VLOOKUP($A174,A:AL,37,FALSE)-50))</f>
        <v>284</v>
      </c>
      <c r="AK174" s="3">
        <v>287</v>
      </c>
      <c r="AL174" s="3">
        <f>IF(ISERROR((VLOOKUP($A174,'SegEnds_NonXtal_BW#'!$A:$Z,26,FALSE)+VLOOKUP($A174,A:AL,37,FALSE)-50)),"-",(VLOOKUP($A174,'SegEnds_NonXtal_BW#'!$A:$Z,26,FALSE)+VLOOKUP($A174,A:AL,37,FALSE)-50))</f>
        <v>299</v>
      </c>
      <c r="AM174" s="28" t="str">
        <f>VLOOKUP(A174,Classification!A:B,2,FALSE)</f>
        <v>A</v>
      </c>
      <c r="AN174" s="28" t="b">
        <f t="shared" si="121"/>
        <v>1</v>
      </c>
      <c r="AO174" s="3" t="str">
        <f>IF(ISERROR(MATCH(A174,'SegEnds_Xtal_Prot#'!B:B, 0)), "NoXtal", "Xtal")</f>
        <v>NoXtal</v>
      </c>
      <c r="AP174" s="3" t="str">
        <f t="shared" si="104"/>
        <v>-</v>
      </c>
      <c r="AQ174" s="3" t="str">
        <f t="shared" si="105"/>
        <v>-</v>
      </c>
      <c r="AR174" s="3" t="str">
        <f t="shared" si="106"/>
        <v>-</v>
      </c>
      <c r="AS174" s="3" t="str">
        <f t="shared" si="107"/>
        <v>-</v>
      </c>
      <c r="AT174" s="3">
        <f t="shared" si="108"/>
        <v>1</v>
      </c>
      <c r="AU174" s="3">
        <f t="shared" si="109"/>
        <v>1</v>
      </c>
      <c r="AV174" s="3" t="str">
        <f t="shared" si="110"/>
        <v>-</v>
      </c>
      <c r="AW174" s="3" t="str">
        <f t="shared" si="111"/>
        <v>-</v>
      </c>
      <c r="AX174" s="3">
        <f t="shared" si="112"/>
        <v>4</v>
      </c>
      <c r="AY174" s="3">
        <f t="shared" si="113"/>
        <v>5</v>
      </c>
      <c r="AZ174" s="3">
        <f t="shared" si="114"/>
        <v>1</v>
      </c>
      <c r="BA174" s="3">
        <f>IF(ISERROR(LEN(VLOOKUP(A174,Seqs!A:E,2,FALSE))-AL174),"-",LEN(VLOOKUP(A174,Seqs!A:E,2,FALSE))-AL174)</f>
        <v>26</v>
      </c>
      <c r="BB174" s="16">
        <f t="shared" si="115"/>
        <v>27</v>
      </c>
      <c r="BC174" s="9">
        <f t="shared" si="116"/>
        <v>20</v>
      </c>
      <c r="BD174" s="3">
        <f t="shared" si="117"/>
        <v>27</v>
      </c>
      <c r="BE174" s="3">
        <f t="shared" si="118"/>
        <v>42</v>
      </c>
      <c r="BF174" s="3">
        <f>AH174-AE174</f>
        <v>34</v>
      </c>
    </row>
    <row r="175" spans="1:58" s="3" customFormat="1" x14ac:dyDescent="0.2">
      <c r="A175" s="3" t="s">
        <v>294</v>
      </c>
      <c r="B175" s="3" t="str">
        <f>LOWER(VLOOKUP(A175,Xtal_Templ!A:B,2,FALSE))</f>
        <v>ccr6_human</v>
      </c>
      <c r="C175" s="3">
        <f>VLOOKUP($A175,'SegEnds_NonXtal_BW#'!$A:$Z,3,FALSE)+D175-50</f>
        <v>68</v>
      </c>
      <c r="D175" s="3">
        <v>93</v>
      </c>
      <c r="E175" s="3">
        <f>IF(ISERROR(VLOOKUP($A175,'SegEnds_NonXtal_BW#'!$A:$Z,4,FALSE)+VLOOKUP($A175,A:AL,4,FALSE)-50),"-",(VLOOKUP($A175,'SegEnds_NonXtal_BW#'!$A:$Z,4,FALSE)+VLOOKUP($A175,A:AL,4,FALSE)-50))</f>
        <v>103</v>
      </c>
      <c r="F175" s="3" t="str">
        <f>IF(ISERROR(VLOOKUP($A175,'SegEnds_NonXtal_BW#'!$A:$Z,5,FALSE)+VLOOKUP($A175,A:AL,7,FALSE)-50),"-",(VLOOKUP($A175,'SegEnds_NonXtal_BW#'!$A:$Z,5,FALSE)+VLOOKUP($A175,A:AL,7,FALSE)-50))</f>
        <v>-</v>
      </c>
      <c r="G175" s="3" t="s">
        <v>23</v>
      </c>
      <c r="H175" s="3" t="str">
        <f>IF(ISERROR(VLOOKUP($A175,'SegEnds_NonXtal_BW#'!$A:$Z,6,FALSE)+VLOOKUP($A175,A:AL,7,FALSE)-50),"-",(VLOOKUP($A175,'SegEnds_NonXtal_BW#'!$A:$Z,6,FALSE)+VLOOKUP($A175,A:AL,7,FALSE)-50))</f>
        <v>-</v>
      </c>
      <c r="I175" s="3">
        <f>VLOOKUP($A175,'SegEnds_NonXtal_BW#'!$A:$Z,7,FALSE)+J175-50</f>
        <v>106</v>
      </c>
      <c r="J175" s="3">
        <v>119</v>
      </c>
      <c r="K175" s="3">
        <f>VLOOKUP($A175,'SegEnds_NonXtal_BW#'!$A:$Z,8,FALSE)+VLOOKUP($A175,A:AL,10,FALSE)-50</f>
        <v>135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139</v>
      </c>
      <c r="P175" s="3">
        <v>171</v>
      </c>
      <c r="Q175" s="3">
        <f>VLOOKUP($A175,'SegEnds_NonXtal_BW#'!$A:$Z,12,FALSE)+VLOOKUP($A175,A:AL,16,FALSE)-50</f>
        <v>177</v>
      </c>
      <c r="R175" s="3">
        <f>IF(ISERROR(VLOOKUP($A175,'SegEnds_NonXtal_BW#'!$A:$Z,13,FALSE)+VLOOKUP($A175,A:AL,19,FALSE)-50),"-",VLOOKUP($A175,'SegEnds_NonXtal_BW#'!$A:$Z,13,FALSE)+VLOOKUP($A175,A:AL,19,FALSE)-50)</f>
        <v>178</v>
      </c>
      <c r="S175" s="3">
        <v>178</v>
      </c>
      <c r="T175" s="100">
        <f>IF(ISERROR(VLOOKUP($A175,'SegEnds_NonXtal_BW#'!$A:$Z,14,FALSE)+VLOOKUP($A175,A:AL,19,FALSE)-50),"-",(VLOOKUP($A175,'SegEnds_NonXtal_BW#'!$A:$Z,14,FALSE)+VLOOKUP($A175,A:AL,19,FALSE)-50))</f>
        <v>185</v>
      </c>
      <c r="U175" s="9">
        <f>IF(ISERROR(VLOOKUP($A175,'SegEnds_NonXtal_BW#'!$A:$Z,15,FALSE)+VLOOKUP($A175,A:AL,22,FALSE)-50),"-",VLOOKUP($A175,'SegEnds_NonXtal_BW#'!$A:$Z,15,FALSE)+VLOOKUP($A175,A:AL,22,FALSE)-50)</f>
        <v>186</v>
      </c>
      <c r="V175" s="3">
        <v>198</v>
      </c>
      <c r="W175" s="3">
        <f>IF(ISERROR(VLOOKUP($A175,'SegEnds_NonXtal_BW#'!$A:$Z,16,FALSE)+VLOOKUP($A175,A:AL,22,FALSE)-50),"-",(VLOOKUP($A175,'SegEnds_NonXtal_BW#'!$A:$Z,16,FALSE)+VLOOKUP($A175,A:AL,22,FALSE)-50))</f>
        <v>212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218</v>
      </c>
      <c r="AB175" s="3">
        <v>237</v>
      </c>
      <c r="AC175" s="3">
        <f>IF(ISERROR((VLOOKUP($A175,'SegEnds_NonXtal_BW#'!$A:$Z,20,FALSE)+VLOOKUP($A175,A:AL,28,FALSE)-50)),"-",(VLOOKUP($A175,'SegEnds_NonXtal_BW#'!$A:$Z,20,FALSE)+VLOOKUP($A175,A:AL,28,FALSE)-50))</f>
        <v>255</v>
      </c>
      <c r="AD175" s="3">
        <f>IF(ISERROR(VLOOKUP($A175,'SegEnds_NonXtal_BW#'!$A:$Z,21,FALSE)+VLOOKUP($A175,A:AL,31,FALSE)-50),"-",(VLOOKUP($A175,'SegEnds_NonXtal_BW#'!$A:$Z,21,FALSE)+VLOOKUP($A175,A:AL,31,FALSE)-50))</f>
        <v>259</v>
      </c>
      <c r="AE175" s="3">
        <v>279</v>
      </c>
      <c r="AF175" s="3">
        <f>IF(ISERROR((VLOOKUP($A175,'SegEnds_NonXtal_BW#'!$A:$Z,22,FALSE)+VLOOKUP($A175,A:AL,31,FALSE)-50)),"-",(VLOOKUP($A175,'SegEnds_NonXtal_BW#'!$A:$Z,22,FALSE)+VLOOKUP($A175,A:AL,31,FALSE)-50))</f>
        <v>290</v>
      </c>
      <c r="AG175" s="3">
        <f>IF(ISERROR(VLOOKUP($A175,'SegEnds_NonXtal_BW#'!$A:$Z,23,FALSE)+VLOOKUP($A175,A:AL,34,FALSE)-50),"-",(VLOOKUP($A175,'SegEnds_NonXtal_BW#'!$A:$Z,23,FALSE)+VLOOKUP($A175,A:AL,34,FALSE)-50))</f>
        <v>295</v>
      </c>
      <c r="AH175" s="3">
        <v>311</v>
      </c>
      <c r="AI175" s="3">
        <f>IF(ISERROR((VLOOKUP($A175,'SegEnds_NonXtal_BW#'!$A:$Z,24,FALSE)+VLOOKUP($A175,A:AL,34,FALSE)-50)),"-",(VLOOKUP($A175,'SegEnds_NonXtal_BW#'!$A:$Z,24,FALSE)+VLOOKUP($A175,A:AL,34,FALSE)-50))</f>
        <v>317</v>
      </c>
      <c r="AJ175" s="3">
        <f>IF(ISERROR(VLOOKUP($A175,'SegEnds_NonXtal_BW#'!$A:$Z,25,FALSE)+VLOOKUP($A175,A:AL,37,FALSE)-50),"-",(VLOOKUP($A175,'SegEnds_NonXtal_BW#'!$A:$Z,25,FALSE)+VLOOKUP($A175,A:AL,37,FALSE)-50))</f>
        <v>318</v>
      </c>
      <c r="AK175" s="3">
        <v>321</v>
      </c>
      <c r="AL175" s="3">
        <f>IF(ISERROR((VLOOKUP($A175,'SegEnds_NonXtal_BW#'!$A:$Z,26,FALSE)+VLOOKUP($A175,A:AL,37,FALSE)-50)),"-",(VLOOKUP($A175,'SegEnds_NonXtal_BW#'!$A:$Z,26,FALSE)+VLOOKUP($A175,A:AL,37,FALSE)-50))</f>
        <v>333</v>
      </c>
      <c r="AM175" s="28" t="str">
        <f>VLOOKUP(A175,Classification!A:B,2,FALSE)</f>
        <v>A</v>
      </c>
      <c r="AN175" s="28" t="b">
        <f t="shared" si="121"/>
        <v>1</v>
      </c>
      <c r="AO175" s="3" t="str">
        <f>IF(ISERROR(MATCH(A175,'SegEnds_Xtal_Prot#'!B:B, 0)), "NoXtal", "Xtal")</f>
        <v>NoXtal</v>
      </c>
      <c r="AP175" s="3" t="str">
        <f t="shared" si="104"/>
        <v>-</v>
      </c>
      <c r="AQ175" s="3" t="str">
        <f t="shared" si="105"/>
        <v>-</v>
      </c>
      <c r="AR175" s="3" t="str">
        <f t="shared" si="106"/>
        <v>-</v>
      </c>
      <c r="AS175" s="3" t="str">
        <f t="shared" si="107"/>
        <v>-</v>
      </c>
      <c r="AT175" s="3">
        <f t="shared" si="108"/>
        <v>1</v>
      </c>
      <c r="AU175" s="3">
        <f t="shared" si="109"/>
        <v>1</v>
      </c>
      <c r="AV175" s="3" t="str">
        <f t="shared" si="110"/>
        <v>-</v>
      </c>
      <c r="AW175" s="3" t="str">
        <f t="shared" si="111"/>
        <v>-</v>
      </c>
      <c r="AX175" s="3">
        <f t="shared" si="112"/>
        <v>4</v>
      </c>
      <c r="AY175" s="3">
        <f t="shared" si="113"/>
        <v>5</v>
      </c>
      <c r="AZ175" s="3">
        <f t="shared" si="114"/>
        <v>1</v>
      </c>
      <c r="BA175" s="3">
        <f>IF(ISERROR(LEN(VLOOKUP(A175,Seqs!A:E,2,FALSE))-AL175),"-",LEN(VLOOKUP(A175,Seqs!A:E,2,FALSE))-AL175)</f>
        <v>45</v>
      </c>
      <c r="BB175" s="16">
        <f t="shared" si="115"/>
        <v>26</v>
      </c>
      <c r="BC175" s="9">
        <f t="shared" si="116"/>
        <v>20</v>
      </c>
      <c r="BD175" s="3">
        <f t="shared" si="117"/>
        <v>26</v>
      </c>
      <c r="BE175" s="3">
        <f t="shared" si="118"/>
        <v>42</v>
      </c>
    </row>
    <row r="176" spans="1:58" s="3" customFormat="1" x14ac:dyDescent="0.2">
      <c r="A176" s="3" t="s">
        <v>295</v>
      </c>
      <c r="B176" s="3" t="str">
        <f>LOWER(VLOOKUP(A176,Xtal_Templ!A:B,2,FALSE))</f>
        <v>mc4r_human</v>
      </c>
      <c r="C176" s="3">
        <f>VLOOKUP($A176,'SegEnds_NonXtal_BW#'!$A:$Z,3,FALSE)+D176-50</f>
        <v>41</v>
      </c>
      <c r="D176" s="3">
        <v>56</v>
      </c>
      <c r="E176" s="3">
        <f>IF(ISERROR(VLOOKUP($A176,'SegEnds_NonXtal_BW#'!$A:$Z,4,FALSE)+VLOOKUP($A176,A:AL,4,FALSE)-50),"-",(VLOOKUP($A176,'SegEnds_NonXtal_BW#'!$A:$Z,4,FALSE)+VLOOKUP($A176,A:AL,4,FALSE)-50))</f>
        <v>66</v>
      </c>
      <c r="F176" s="3">
        <f>G176-2</f>
        <v>67</v>
      </c>
      <c r="G176" s="3">
        <v>69</v>
      </c>
      <c r="H176" s="3">
        <f t="shared" ref="H176:I179" si="133">G176+1</f>
        <v>70</v>
      </c>
      <c r="I176" s="3">
        <f t="shared" si="133"/>
        <v>71</v>
      </c>
      <c r="J176" s="3">
        <v>84</v>
      </c>
      <c r="K176" s="3">
        <f>VLOOKUP($A176,'SegEnds_NonXtal_BW#'!$A:$Z,8,FALSE)+VLOOKUP($A176,A:AL,10,FALSE)-50</f>
        <v>101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110</v>
      </c>
      <c r="P176" s="3">
        <v>142</v>
      </c>
      <c r="Q176" s="3">
        <f>VLOOKUP($A176,'SegEnds_NonXtal_BW#'!$A:$Z,12,FALSE)+VLOOKUP($A176,A:AL,16,FALSE)-50</f>
        <v>148</v>
      </c>
      <c r="R176" s="3">
        <f>S176</f>
        <v>149</v>
      </c>
      <c r="S176" s="3">
        <v>149</v>
      </c>
      <c r="T176" s="100">
        <f>S176+7</f>
        <v>156</v>
      </c>
      <c r="U176" s="9">
        <f>IF(ISERROR(VLOOKUP($A176,'SegEnds_NonXtal_BW#'!$A:$Z,15,FALSE)+VLOOKUP($A176,A:AL,22,FALSE)-50),"-",VLOOKUP($A176,'SegEnds_NonXtal_BW#'!$A:$Z,15,FALSE)+VLOOKUP($A176,A:AL,22,FALSE)-50)</f>
        <v>157</v>
      </c>
      <c r="V176" s="3">
        <v>169</v>
      </c>
      <c r="W176" s="3">
        <f>IF(ISERROR(VLOOKUP($A176,'SegEnds_NonXtal_BW#'!$A:$Z,16,FALSE)+VLOOKUP($A176,A:AL,22,FALSE)-50),"-",(VLOOKUP($A176,'SegEnds_NonXtal_BW#'!$A:$Z,16,FALSE)+VLOOKUP($A176,A:AL,22,FALSE)-50))</f>
        <v>183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185</v>
      </c>
      <c r="AB176" s="9">
        <v>199</v>
      </c>
      <c r="AC176" s="3">
        <f>IF(ISERROR((VLOOKUP($A176,'SegEnds_NonXtal_BW#'!$A:$Z,20,FALSE)+VLOOKUP($A176,A:AL,28,FALSE)-50)),"-",(VLOOKUP($A176,'SegEnds_NonXtal_BW#'!$A:$Z,20,FALSE)+VLOOKUP($A176,A:AL,28,FALSE)-50))</f>
        <v>222</v>
      </c>
      <c r="AD176" s="3">
        <f>IF(ISERROR(VLOOKUP($A176,'SegEnds_NonXtal_BW#'!$A:$Z,21,FALSE)+VLOOKUP($A176,A:AL,31,FALSE)-50),"-",(VLOOKUP($A176,'SegEnds_NonXtal_BW#'!$A:$Z,21,FALSE)+VLOOKUP($A176,A:AL,31,FALSE)-50))</f>
        <v>234</v>
      </c>
      <c r="AE176" s="3">
        <v>257</v>
      </c>
      <c r="AF176" s="3">
        <f>IF(ISERROR((VLOOKUP($A176,'SegEnds_NonXtal_BW#'!$A:$Z,22,FALSE)+VLOOKUP($A176,A:AL,31,FALSE)-50)),"-",(VLOOKUP($A176,'SegEnds_NonXtal_BW#'!$A:$Z,22,FALSE)+VLOOKUP($A176,A:AL,31,FALSE)-50))</f>
        <v>268</v>
      </c>
      <c r="AG176" s="3">
        <f>IF(ISERROR(VLOOKUP($A176,'SegEnds_NonXtal_BW#'!$A:$Z,23,FALSE)+VLOOKUP($A176,A:AL,34,FALSE)-50),"-",(VLOOKUP($A176,'SegEnds_NonXtal_BW#'!$A:$Z,23,FALSE)+VLOOKUP($A176,A:AL,34,FALSE)-50))</f>
        <v>280</v>
      </c>
      <c r="AH176" s="3">
        <v>296</v>
      </c>
      <c r="AI176" s="3">
        <f>IF(ISERROR((VLOOKUP($A176,'SegEnds_NonXtal_BW#'!$A:$Z,24,FALSE)+VLOOKUP($A176,A:AL,34,FALSE)-50)),"-",(VLOOKUP($A176,'SegEnds_NonXtal_BW#'!$A:$Z,24,FALSE)+VLOOKUP($A176,A:AL,34,FALSE)-50))</f>
        <v>302</v>
      </c>
      <c r="AJ176" s="3">
        <f>IF(ISERROR(VLOOKUP($A176,'SegEnds_NonXtal_BW#'!$A:$Z,25,FALSE)+VLOOKUP($A176,A:AL,37,FALSE)-50),"-",(VLOOKUP($A176,'SegEnds_NonXtal_BW#'!$A:$Z,25,FALSE)+VLOOKUP($A176,A:AL,37,FALSE)-50))</f>
        <v>303</v>
      </c>
      <c r="AK176" s="3">
        <v>306</v>
      </c>
      <c r="AL176" s="3">
        <f>IF(ISERROR((VLOOKUP($A176,'SegEnds_NonXtal_BW#'!$A:$Z,26,FALSE)+VLOOKUP($A176,A:AL,37,FALSE)-50)),"-",(VLOOKUP($A176,'SegEnds_NonXtal_BW#'!$A:$Z,26,FALSE)+VLOOKUP($A176,A:AL,37,FALSE)-50))</f>
        <v>317</v>
      </c>
      <c r="AM176" s="28" t="str">
        <f>VLOOKUP(A176,Classification!A:B,2,FALSE)</f>
        <v>A</v>
      </c>
      <c r="AN176" s="28" t="b">
        <f>AND(IF(Y176="-",IF(AA176-W176&gt;1,TRUE,FALSE),TRUE),IF(M176="-",IF(O176-K176&gt;3,TRUE,FALSE),TRUE),IF(AG176-AF176&gt;1,TRUE,FALS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 t="shared" si="104"/>
        <v>1</v>
      </c>
      <c r="AQ176" s="3">
        <f t="shared" si="105"/>
        <v>1</v>
      </c>
      <c r="AR176" s="3" t="str">
        <f t="shared" si="106"/>
        <v>-</v>
      </c>
      <c r="AS176" s="3" t="str">
        <f t="shared" si="107"/>
        <v>-</v>
      </c>
      <c r="AT176" s="3">
        <f t="shared" si="108"/>
        <v>1</v>
      </c>
      <c r="AU176" s="3">
        <f t="shared" si="109"/>
        <v>1</v>
      </c>
      <c r="AV176" s="3" t="str">
        <f t="shared" si="110"/>
        <v>-</v>
      </c>
      <c r="AW176" s="3" t="str">
        <f t="shared" si="111"/>
        <v>-</v>
      </c>
      <c r="AX176" s="3">
        <f t="shared" si="112"/>
        <v>12</v>
      </c>
      <c r="AY176" s="3">
        <f t="shared" si="113"/>
        <v>12</v>
      </c>
      <c r="AZ176" s="3">
        <f t="shared" si="114"/>
        <v>1</v>
      </c>
      <c r="BA176" s="3">
        <f>IF(ISERROR(LEN(VLOOKUP(A176,Seqs!A:E,2,FALSE))-AL176),"-",LEN(VLOOKUP(A176,Seqs!A:E,2,FALSE))-AL176)</f>
        <v>6</v>
      </c>
      <c r="BB176" s="16">
        <f t="shared" si="115"/>
        <v>28</v>
      </c>
      <c r="BC176" s="9">
        <f t="shared" si="116"/>
        <v>20</v>
      </c>
      <c r="BD176" s="3">
        <f t="shared" si="117"/>
        <v>28</v>
      </c>
      <c r="BE176" s="3">
        <f t="shared" si="118"/>
        <v>58</v>
      </c>
      <c r="BF176" s="3">
        <f t="shared" ref="BF176:BF182" si="134">AH176-AE176</f>
        <v>39</v>
      </c>
    </row>
    <row r="177" spans="1:58" s="3" customFormat="1" x14ac:dyDescent="0.2">
      <c r="A177" s="3" t="s">
        <v>296</v>
      </c>
      <c r="B177" s="3" t="str">
        <f>LOWER(VLOOKUP(A177,Xtal_Templ!A:B,2,FALSE))</f>
        <v>mc4r_human</v>
      </c>
      <c r="C177" s="3">
        <f>VLOOKUP($A177,'SegEnds_NonXtal_BW#'!$A:$Z,3,FALSE)+D177-50</f>
        <v>47</v>
      </c>
      <c r="D177" s="3">
        <v>62</v>
      </c>
      <c r="E177" s="3">
        <f>IF(ISERROR(VLOOKUP($A177,'SegEnds_NonXtal_BW#'!$A:$Z,4,FALSE)+VLOOKUP($A177,A:AL,4,FALSE)-50),"-",(VLOOKUP($A177,'SegEnds_NonXtal_BW#'!$A:$Z,4,FALSE)+VLOOKUP($A177,A:AL,4,FALSE)-50))</f>
        <v>72</v>
      </c>
      <c r="F177" s="3">
        <f>G177-2</f>
        <v>73</v>
      </c>
      <c r="G177" s="3">
        <v>75</v>
      </c>
      <c r="H177" s="3">
        <f t="shared" si="133"/>
        <v>76</v>
      </c>
      <c r="I177" s="3">
        <f t="shared" si="133"/>
        <v>77</v>
      </c>
      <c r="J177" s="3">
        <v>90</v>
      </c>
      <c r="K177" s="3">
        <f>VLOOKUP($A177,'SegEnds_NonXtal_BW#'!$A:$Z,8,FALSE)+VLOOKUP($A177,A:AL,10,FALSE)-50</f>
        <v>107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115</v>
      </c>
      <c r="P177" s="3">
        <v>147</v>
      </c>
      <c r="Q177" s="3">
        <f>VLOOKUP($A177,'SegEnds_NonXtal_BW#'!$A:$Z,12,FALSE)+VLOOKUP($A177,A:AL,16,FALSE)-50</f>
        <v>153</v>
      </c>
      <c r="R177" s="3">
        <f>S177</f>
        <v>154</v>
      </c>
      <c r="S177" s="3">
        <v>154</v>
      </c>
      <c r="T177" s="100">
        <f>S177+7</f>
        <v>161</v>
      </c>
      <c r="U177" s="9">
        <f>IF(ISERROR(VLOOKUP($A177,'SegEnds_NonXtal_BW#'!$A:$Z,15,FALSE)+VLOOKUP($A177,A:AL,22,FALSE)-50),"-",VLOOKUP($A177,'SegEnds_NonXtal_BW#'!$A:$Z,15,FALSE)+VLOOKUP($A177,A:AL,22,FALSE)-50)</f>
        <v>162</v>
      </c>
      <c r="V177" s="3">
        <v>174</v>
      </c>
      <c r="W177" s="3">
        <f>IF(ISERROR(VLOOKUP($A177,'SegEnds_NonXtal_BW#'!$A:$Z,16,FALSE)+VLOOKUP($A177,A:AL,22,FALSE)-50),"-",(VLOOKUP($A177,'SegEnds_NonXtal_BW#'!$A:$Z,16,FALSE)+VLOOKUP($A177,A:AL,22,FALSE)-50))</f>
        <v>188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204</v>
      </c>
      <c r="AC177" s="3">
        <f>IF(ISERROR((VLOOKUP($A177,'SegEnds_NonXtal_BW#'!$A:$Z,20,FALSE)+VLOOKUP($A177,A:AL,28,FALSE)-50)),"-",(VLOOKUP($A177,'SegEnds_NonXtal_BW#'!$A:$Z,20,FALSE)+VLOOKUP($A177,A:AL,28,FALSE)-50))</f>
        <v>227</v>
      </c>
      <c r="AD177" s="3">
        <f>IF(ISERROR(VLOOKUP($A177,'SegEnds_NonXtal_BW#'!$A:$Z,21,FALSE)+VLOOKUP($A177,A:AL,31,FALSE)-50),"-",(VLOOKUP($A177,'SegEnds_NonXtal_BW#'!$A:$Z,21,FALSE)+VLOOKUP($A177,A:AL,31,FALSE)-50))</f>
        <v>237</v>
      </c>
      <c r="AE177" s="3">
        <v>260</v>
      </c>
      <c r="AF177" s="3">
        <f>IF(ISERROR((VLOOKUP($A177,'SegEnds_NonXtal_BW#'!$A:$Z,22,FALSE)+VLOOKUP($A177,A:AL,31,FALSE)-50)),"-",(VLOOKUP($A177,'SegEnds_NonXtal_BW#'!$A:$Z,22,FALSE)+VLOOKUP($A177,A:AL,31,FALSE)-50))</f>
        <v>271</v>
      </c>
      <c r="AG177" s="3">
        <f>IF(ISERROR(VLOOKUP($A177,'SegEnds_NonXtal_BW#'!$A:$Z,23,FALSE)+VLOOKUP($A177,A:AL,34,FALSE)-50),"-",(VLOOKUP($A177,'SegEnds_NonXtal_BW#'!$A:$Z,23,FALSE)+VLOOKUP($A177,A:AL,34,FALSE)-50))</f>
        <v>283</v>
      </c>
      <c r="AH177" s="3">
        <v>299</v>
      </c>
      <c r="AI177" s="3">
        <f>IF(ISERROR((VLOOKUP($A177,'SegEnds_NonXtal_BW#'!$A:$Z,24,FALSE)+VLOOKUP($A177,A:AL,34,FALSE)-50)),"-",(VLOOKUP($A177,'SegEnds_NonXtal_BW#'!$A:$Z,24,FALSE)+VLOOKUP($A177,A:AL,34,FALSE)-50))</f>
        <v>305</v>
      </c>
      <c r="AJ177" s="3">
        <f>IF(ISERROR(VLOOKUP($A177,'SegEnds_NonXtal_BW#'!$A:$Z,25,FALSE)+VLOOKUP($A177,A:AL,37,FALSE)-50),"-",(VLOOKUP($A177,'SegEnds_NonXtal_BW#'!$A:$Z,25,FALSE)+VLOOKUP($A177,A:AL,37,FALSE)-50))</f>
        <v>306</v>
      </c>
      <c r="AK177" s="3">
        <v>309</v>
      </c>
      <c r="AL177" s="3">
        <f>IF(ISERROR((VLOOKUP($A177,'SegEnds_NonXtal_BW#'!$A:$Z,26,FALSE)+VLOOKUP($A177,A:AL,37,FALSE)-50)),"-",(VLOOKUP($A177,'SegEnds_NonXtal_BW#'!$A:$Z,26,FALSE)+VLOOKUP($A177,A:AL,37,FALSE)-50))</f>
        <v>320</v>
      </c>
      <c r="AM177" s="28" t="str">
        <f>VLOOKUP(A177,Classification!A:B,2,FALSE)</f>
        <v>A</v>
      </c>
      <c r="AN177" s="28" t="b">
        <f>AND(IF(Y177="-",IF(AA177-W177&gt;1,TRUE,FALSE),TRUE),IF(M177="-",IF(O177-K177&gt;3,TRUE,FALSE),TRUE),IF(AG177-AF177&gt;1,TRUE,FALS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Xtal</v>
      </c>
      <c r="AP177" s="3">
        <f t="shared" si="104"/>
        <v>1</v>
      </c>
      <c r="AQ177" s="3">
        <f t="shared" si="105"/>
        <v>1</v>
      </c>
      <c r="AR177" s="3" t="str">
        <f t="shared" si="106"/>
        <v>-</v>
      </c>
      <c r="AS177" s="3" t="str">
        <f t="shared" si="107"/>
        <v>-</v>
      </c>
      <c r="AT177" s="3">
        <f t="shared" si="108"/>
        <v>1</v>
      </c>
      <c r="AU177" s="3">
        <f t="shared" si="109"/>
        <v>1</v>
      </c>
      <c r="AV177" s="3" t="str">
        <f t="shared" si="110"/>
        <v>-</v>
      </c>
      <c r="AW177" s="3" t="str">
        <f t="shared" si="111"/>
        <v>-</v>
      </c>
      <c r="AX177" s="3">
        <f t="shared" si="112"/>
        <v>10</v>
      </c>
      <c r="AY177" s="3">
        <f t="shared" si="113"/>
        <v>12</v>
      </c>
      <c r="AZ177" s="3">
        <f t="shared" si="114"/>
        <v>1</v>
      </c>
      <c r="BA177" s="3">
        <f>IF(ISERROR(LEN(VLOOKUP(A177,Seqs!A:E,2,FALSE))-AL177),"-",LEN(VLOOKUP(A177,Seqs!A:E,2,FALSE))-AL177)</f>
        <v>12</v>
      </c>
      <c r="BB177" s="16">
        <f t="shared" si="115"/>
        <v>28</v>
      </c>
      <c r="BC177" s="9">
        <f t="shared" si="116"/>
        <v>20</v>
      </c>
      <c r="BD177" s="3">
        <f t="shared" si="117"/>
        <v>28</v>
      </c>
      <c r="BE177" s="3">
        <f t="shared" si="118"/>
        <v>56</v>
      </c>
      <c r="BF177" s="3">
        <f t="shared" si="134"/>
        <v>39</v>
      </c>
    </row>
    <row r="178" spans="1:58" s="3" customFormat="1" x14ac:dyDescent="0.2">
      <c r="A178" s="3" t="s">
        <v>297</v>
      </c>
      <c r="B178" s="3" t="str">
        <f>LOWER(VLOOKUP(A178,Xtal_Templ!A:B,2,FALSE))</f>
        <v>mc4r_human</v>
      </c>
      <c r="C178" s="3">
        <f>VLOOKUP($A178,'SegEnds_NonXtal_BW#'!$A:$Z,3,FALSE)+D178-50</f>
        <v>39</v>
      </c>
      <c r="D178" s="3">
        <v>54</v>
      </c>
      <c r="E178" s="3">
        <f>IF(ISERROR(VLOOKUP($A178,'SegEnds_NonXtal_BW#'!$A:$Z,4,FALSE)+VLOOKUP($A178,A:AL,4,FALSE)-50),"-",(VLOOKUP($A178,'SegEnds_NonXtal_BW#'!$A:$Z,4,FALSE)+VLOOKUP($A178,A:AL,4,FALSE)-50))</f>
        <v>64</v>
      </c>
      <c r="F178" s="3">
        <f>G178-2</f>
        <v>65</v>
      </c>
      <c r="G178" s="3">
        <v>67</v>
      </c>
      <c r="H178" s="3">
        <f t="shared" si="133"/>
        <v>68</v>
      </c>
      <c r="I178" s="3">
        <f t="shared" si="133"/>
        <v>69</v>
      </c>
      <c r="J178" s="3">
        <v>82</v>
      </c>
      <c r="K178" s="3">
        <f>VLOOKUP($A178,'SegEnds_NonXtal_BW#'!$A:$Z,8,FALSE)+VLOOKUP($A178,A:AL,10,FALSE)-50</f>
        <v>99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108</v>
      </c>
      <c r="P178" s="3">
        <v>140</v>
      </c>
      <c r="Q178" s="3">
        <f>VLOOKUP($A178,'SegEnds_NonXtal_BW#'!$A:$Z,12,FALSE)+VLOOKUP($A178,A:AL,16,FALSE)-50</f>
        <v>146</v>
      </c>
      <c r="R178" s="3">
        <f>IF(ISERROR(VLOOKUP($A178,'SegEnds_NonXtal_BW#'!$A:$Z,13,FALSE)+VLOOKUP($A178,A:AL,19,FALSE)-50),"-",VLOOKUP($A178,'SegEnds_NonXtal_BW#'!$A:$Z,13,FALSE)+VLOOKUP($A178,A:AL,19,FALSE)-50)</f>
        <v>147</v>
      </c>
      <c r="S178" s="3">
        <v>147</v>
      </c>
      <c r="T178" s="100">
        <f>IF(ISERROR(VLOOKUP($A178,'SegEnds_NonXtal_BW#'!$A:$Z,14,FALSE)+VLOOKUP($A178,A:AL,19,FALSE)-50),"-",(VLOOKUP($A178,'SegEnds_NonXtal_BW#'!$A:$Z,14,FALSE)+VLOOKUP($A178,A:AL,19,FALSE)-50))</f>
        <v>154</v>
      </c>
      <c r="U178" s="9">
        <f>IF(ISERROR(VLOOKUP($A178,'SegEnds_NonXtal_BW#'!$A:$Z,15,FALSE)+VLOOKUP($A178,A:AL,22,FALSE)-50),"-",VLOOKUP($A178,'SegEnds_NonXtal_BW#'!$A:$Z,15,FALSE)+VLOOKUP($A178,A:AL,22,FALSE)-50)</f>
        <v>155</v>
      </c>
      <c r="V178" s="3">
        <v>167</v>
      </c>
      <c r="W178" s="3">
        <f>IF(ISERROR(VLOOKUP($A178,'SegEnds_NonXtal_BW#'!$A:$Z,16,FALSE)+VLOOKUP($A178,A:AL,22,FALSE)-50),"-",(VLOOKUP($A178,'SegEnds_NonXtal_BW#'!$A:$Z,16,FALSE)+VLOOKUP($A178,A:AL,22,FALSE)-50))</f>
        <v>181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183</v>
      </c>
      <c r="AB178" s="9">
        <v>197</v>
      </c>
      <c r="AC178" s="3">
        <f>IF(ISERROR((VLOOKUP($A178,'SegEnds_NonXtal_BW#'!$A:$Z,20,FALSE)+VLOOKUP($A178,A:AL,28,FALSE)-50)),"-",(VLOOKUP($A178,'SegEnds_NonXtal_BW#'!$A:$Z,20,FALSE)+VLOOKUP($A178,A:AL,28,FALSE)-50))</f>
        <v>220</v>
      </c>
      <c r="AD178" s="3">
        <f>IF(ISERROR(VLOOKUP($A178,'SegEnds_NonXtal_BW#'!$A:$Z,21,FALSE)+VLOOKUP($A178,A:AL,31,FALSE)-50),"-",(VLOOKUP($A178,'SegEnds_NonXtal_BW#'!$A:$Z,21,FALSE)+VLOOKUP($A178,A:AL,31,FALSE)-50))</f>
        <v>230</v>
      </c>
      <c r="AE178" s="3">
        <v>253</v>
      </c>
      <c r="AF178" s="3">
        <f>IF(ISERROR((VLOOKUP($A178,'SegEnds_NonXtal_BW#'!$A:$Z,22,FALSE)+VLOOKUP($A178,A:AL,31,FALSE)-50)),"-",(VLOOKUP($A178,'SegEnds_NonXtal_BW#'!$A:$Z,22,FALSE)+VLOOKUP($A178,A:AL,31,FALSE)-50))</f>
        <v>264</v>
      </c>
      <c r="AG178" s="3">
        <f>IF(ISERROR(VLOOKUP($A178,'SegEnds_NonXtal_BW#'!$A:$Z,23,FALSE)+VLOOKUP($A178,A:AL,34,FALSE)-50),"-",(VLOOKUP($A178,'SegEnds_NonXtal_BW#'!$A:$Z,23,FALSE)+VLOOKUP($A178,A:AL,34,FALSE)-50))</f>
        <v>276</v>
      </c>
      <c r="AH178" s="3">
        <v>292</v>
      </c>
      <c r="AI178" s="3">
        <f>IF(ISERROR((VLOOKUP($A178,'SegEnds_NonXtal_BW#'!$A:$Z,24,FALSE)+VLOOKUP($A178,A:AL,34,FALSE)-50)),"-",(VLOOKUP($A178,'SegEnds_NonXtal_BW#'!$A:$Z,24,FALSE)+VLOOKUP($A178,A:AL,34,FALSE)-50))</f>
        <v>298</v>
      </c>
      <c r="AJ178" s="3">
        <f>IF(ISERROR(VLOOKUP($A178,'SegEnds_NonXtal_BW#'!$A:$Z,25,FALSE)+VLOOKUP($A178,A:AL,37,FALSE)-50),"-",(VLOOKUP($A178,'SegEnds_NonXtal_BW#'!$A:$Z,25,FALSE)+VLOOKUP($A178,A:AL,37,FALSE)-50))</f>
        <v>299</v>
      </c>
      <c r="AK178" s="3">
        <v>302</v>
      </c>
      <c r="AL178" s="3">
        <f>IF(ISERROR((VLOOKUP($A178,'SegEnds_NonXtal_BW#'!$A:$Z,26,FALSE)+VLOOKUP($A178,A:AL,37,FALSE)-50)),"-",(VLOOKUP($A178,'SegEnds_NonXtal_BW#'!$A:$Z,26,FALSE)+VLOOKUP($A178,A:AL,37,FALSE)-50))</f>
        <v>313</v>
      </c>
      <c r="AM178" s="28" t="str">
        <f>VLOOKUP(A178,Classification!A:B,2,FALSE)</f>
        <v>A</v>
      </c>
      <c r="AN178" s="28" t="b">
        <f>AND(IF(Y178="-",IF(AA178-W178&gt;1,TRUE,FALSE),TRUE),IF(M178="-",IF(O178-K178&gt;3,TRUE,FALSE),TRUE),IF(AG178-AF178&gt;1,TRUE,FALS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>
        <f t="shared" si="104"/>
        <v>1</v>
      </c>
      <c r="AQ178" s="3">
        <f t="shared" si="105"/>
        <v>1</v>
      </c>
      <c r="AR178" s="3" t="str">
        <f t="shared" si="106"/>
        <v>-</v>
      </c>
      <c r="AS178" s="3" t="str">
        <f t="shared" si="107"/>
        <v>-</v>
      </c>
      <c r="AT178" s="3">
        <f t="shared" si="108"/>
        <v>1</v>
      </c>
      <c r="AU178" s="3">
        <f t="shared" si="109"/>
        <v>1</v>
      </c>
      <c r="AV178" s="3" t="str">
        <f t="shared" si="110"/>
        <v>-</v>
      </c>
      <c r="AW178" s="3" t="str">
        <f t="shared" si="111"/>
        <v>-</v>
      </c>
      <c r="AX178" s="3">
        <f t="shared" si="112"/>
        <v>10</v>
      </c>
      <c r="AY178" s="3">
        <f t="shared" si="113"/>
        <v>12</v>
      </c>
      <c r="AZ178" s="3">
        <f t="shared" si="114"/>
        <v>1</v>
      </c>
      <c r="BA178" s="3">
        <f>IF(ISERROR(LEN(VLOOKUP(A178,Seqs!A:E,2,FALSE))-AL178),"-",LEN(VLOOKUP(A178,Seqs!A:E,2,FALSE))-AL178)</f>
        <v>12</v>
      </c>
      <c r="BB178" s="16">
        <f t="shared" si="115"/>
        <v>28</v>
      </c>
      <c r="BC178" s="9">
        <f t="shared" si="116"/>
        <v>20</v>
      </c>
      <c r="BD178" s="3">
        <f t="shared" si="117"/>
        <v>28</v>
      </c>
      <c r="BE178" s="3">
        <f t="shared" si="118"/>
        <v>56</v>
      </c>
      <c r="BF178" s="3">
        <f t="shared" si="134"/>
        <v>39</v>
      </c>
    </row>
    <row r="179" spans="1:58" s="3" customFormat="1" x14ac:dyDescent="0.2">
      <c r="A179" s="3" t="s">
        <v>298</v>
      </c>
      <c r="B179" s="3" t="str">
        <f>LOWER(VLOOKUP(A179,Xtal_Templ!A:B,2,FALSE))</f>
        <v>oprk_human</v>
      </c>
      <c r="C179" s="3">
        <f>VLOOKUP($A179,'SegEnds_NonXtal_BW#'!$A:$Z,3,FALSE)+D179-50</f>
        <v>107</v>
      </c>
      <c r="D179" s="3">
        <v>127</v>
      </c>
      <c r="E179" s="3">
        <f>IF(ISERROR(VLOOKUP($A179,'SegEnds_NonXtal_BW#'!$A:$Z,4,FALSE)+VLOOKUP($A179,A:AL,4,FALSE)-50),"-",(VLOOKUP($A179,'SegEnds_NonXtal_BW#'!$A:$Z,4,FALSE)+VLOOKUP($A179,A:AL,4,FALSE)-50))</f>
        <v>137</v>
      </c>
      <c r="F179" s="3">
        <f>G179-2</f>
        <v>138</v>
      </c>
      <c r="G179" s="3">
        <v>140</v>
      </c>
      <c r="H179" s="3">
        <f t="shared" si="133"/>
        <v>141</v>
      </c>
      <c r="I179" s="3">
        <f t="shared" si="133"/>
        <v>142</v>
      </c>
      <c r="J179" s="3">
        <v>158</v>
      </c>
      <c r="K179" s="3">
        <f>VLOOKUP($A179,'SegEnds_NonXtal_BW#'!$A:$Z,8,FALSE)+VLOOKUP($A179,A:AL,10,FALSE)-50</f>
        <v>175</v>
      </c>
      <c r="L179" s="3">
        <f>M179-1</f>
        <v>177</v>
      </c>
      <c r="M179" s="3">
        <v>178</v>
      </c>
      <c r="N179" s="3">
        <f>M179+2</f>
        <v>180</v>
      </c>
      <c r="O179" s="3">
        <f>N179+1</f>
        <v>181</v>
      </c>
      <c r="P179" s="3">
        <v>210</v>
      </c>
      <c r="Q179" s="3">
        <f>VLOOKUP($A179,'SegEnds_NonXtal_BW#'!$A:$Z,12,FALSE)+VLOOKUP($A179,A:AL,16,FALSE)-50</f>
        <v>216</v>
      </c>
      <c r="R179" s="3">
        <f>IF(ISERROR(VLOOKUP($A179,'SegEnds_NonXtal_BW#'!$A:$Z,13,FALSE)+VLOOKUP($A179,A:AL,19,FALSE)-50),"-",VLOOKUP($A179,'SegEnds_NonXtal_BW#'!$A:$Z,13,FALSE)+VLOOKUP($A179,A:AL,19,FALSE)-50)</f>
        <v>217</v>
      </c>
      <c r="S179" s="3">
        <v>217</v>
      </c>
      <c r="T179" s="100">
        <f>IF(ISERROR(VLOOKUP($A179,'SegEnds_NonXtal_BW#'!$A:$Z,14,FALSE)+VLOOKUP($A179,A:AL,19,FALSE)-50),"-",(VLOOKUP($A179,'SegEnds_NonXtal_BW#'!$A:$Z,14,FALSE)+VLOOKUP($A179,A:AL,19,FALSE)-50))</f>
        <v>224</v>
      </c>
      <c r="U179" s="9">
        <f>IF(ISERROR(VLOOKUP($A179,'SegEnds_NonXtal_BW#'!$A:$Z,15,FALSE)+VLOOKUP($A179,A:AL,22,FALSE)-50),"-",VLOOKUP($A179,'SegEnds_NonXtal_BW#'!$A:$Z,15,FALSE)+VLOOKUP($A179,A:AL,22,FALSE)-50)</f>
        <v>225</v>
      </c>
      <c r="V179" s="3">
        <v>237</v>
      </c>
      <c r="W179" s="3">
        <f>IF(ISERROR(VLOOKUP($A179,'SegEnds_NonXtal_BW#'!$A:$Z,16,FALSE)+VLOOKUP($A179,A:AL,22,FALSE)-50),"-",(VLOOKUP($A179,'SegEnds_NonXtal_BW#'!$A:$Z,16,FALSE)+VLOOKUP($A179,A:AL,22,FALSE)-50))</f>
        <v>251</v>
      </c>
      <c r="X179" s="3">
        <f>IF(ISERROR(VLOOKUP($A179,'SegEnds_NonXtal_BW#'!$A:$Z,17,FALSE)+VLOOKUP($A179,A:AL,25,FALSE)-50),"-",(VLOOKUP($A179,'SegEnds_NonXtal_BW#'!$A:$Z,17,FALSE)+VLOOKUP($A179,A:AL,25,FALSE)-50))</f>
        <v>263</v>
      </c>
      <c r="Y179" s="3">
        <v>263</v>
      </c>
      <c r="Z179" s="3">
        <f>Y179+2</f>
        <v>265</v>
      </c>
      <c r="AA179" s="3">
        <f>IF(ISERROR(VLOOKUP($A179,'SegEnds_NonXtal_BW#'!$A:$Z,19,FALSE)+VLOOKUP($A179,A:AL,28,FALSE)-50),"-",(VLOOKUP($A179,'SegEnds_NonXtal_BW#'!$A:$Z,19,FALSE)+VLOOKUP($A179,A:AL,28,FALSE)-50))</f>
        <v>269</v>
      </c>
      <c r="AB179" s="3">
        <v>289</v>
      </c>
      <c r="AC179" s="3">
        <f>IF(ISERROR((VLOOKUP($A179,'SegEnds_NonXtal_BW#'!$A:$Z,20,FALSE)+VLOOKUP($A179,A:AL,28,FALSE)-50)),"-",(VLOOKUP($A179,'SegEnds_NonXtal_BW#'!$A:$Z,20,FALSE)+VLOOKUP($A179,A:AL,28,FALSE)-50))</f>
        <v>307</v>
      </c>
      <c r="AD179" s="3">
        <f>IF(ISERROR(VLOOKUP($A179,'SegEnds_NonXtal_BW#'!$A:$Z,21,FALSE)+VLOOKUP($A179,A:AL,31,FALSE)-50),"-",(VLOOKUP($A179,'SegEnds_NonXtal_BW#'!$A:$Z,21,FALSE)+VLOOKUP($A179,A:AL,31,FALSE)-50))</f>
        <v>313</v>
      </c>
      <c r="AE179" s="3">
        <v>340</v>
      </c>
      <c r="AF179" s="3">
        <f>IF(ISERROR((VLOOKUP($A179,'SegEnds_NonXtal_BW#'!$A:$Z,22,FALSE)+VLOOKUP($A179,A:AL,31,FALSE)-50)),"-",(VLOOKUP($A179,'SegEnds_NonXtal_BW#'!$A:$Z,22,FALSE)+VLOOKUP($A179,A:AL,31,FALSE)-50))</f>
        <v>351</v>
      </c>
      <c r="AG179" s="3">
        <f>IF(ISERROR(VLOOKUP($A179,'SegEnds_NonXtal_BW#'!$A:$Z,23,FALSE)+VLOOKUP($A179,A:AL,34,FALSE)-50),"-",(VLOOKUP($A179,'SegEnds_NonXtal_BW#'!$A:$Z,23,FALSE)+VLOOKUP($A179,A:AL,34,FALSE)-50))</f>
        <v>358</v>
      </c>
      <c r="AH179" s="3">
        <v>377</v>
      </c>
      <c r="AI179" s="3">
        <f>IF(ISERROR((VLOOKUP($A179,'SegEnds_NonXtal_BW#'!$A:$Z,24,FALSE)+VLOOKUP($A179,A:AL,34,FALSE)-50)),"-",(VLOOKUP($A179,'SegEnds_NonXtal_BW#'!$A:$Z,24,FALSE)+VLOOKUP($A179,A:AL,34,FALSE)-50))</f>
        <v>383</v>
      </c>
      <c r="AJ179" s="3">
        <f>IF(ISERROR(VLOOKUP($A179,'SegEnds_NonXtal_BW#'!$A:$Z,25,FALSE)+VLOOKUP($A179,A:AL,37,FALSE)-50),"-",(VLOOKUP($A179,'SegEnds_NonXtal_BW#'!$A:$Z,25,FALSE)+VLOOKUP($A179,A:AL,37,FALSE)-50))</f>
        <v>384</v>
      </c>
      <c r="AK179" s="3">
        <v>387</v>
      </c>
      <c r="AL179" s="3">
        <f>IF(ISERROR((VLOOKUP($A179,'SegEnds_NonXtal_BW#'!$A:$Z,26,FALSE)+VLOOKUP($A179,A:AL,37,FALSE)-50)),"-",(VLOOKUP($A179,'SegEnds_NonXtal_BW#'!$A:$Z,26,FALSE)+VLOOKUP($A179,A:AL,37,FALSE)-50))</f>
        <v>396</v>
      </c>
      <c r="AM179" s="28" t="str">
        <f>VLOOKUP(A179,Classification!A:B,2,FALSE)</f>
        <v>A</v>
      </c>
      <c r="AN179" s="28" t="b">
        <f t="shared" si="121"/>
        <v>1</v>
      </c>
      <c r="AO179" s="3" t="str">
        <f>IF(ISERROR(MATCH(A179,'SegEnds_Xtal_Prot#'!B:B, 0)), "NoXtal", "Xtal")</f>
        <v>NoXtal</v>
      </c>
      <c r="AP179" s="3">
        <f t="shared" si="104"/>
        <v>1</v>
      </c>
      <c r="AQ179" s="3">
        <f t="shared" si="105"/>
        <v>1</v>
      </c>
      <c r="AR179" s="3">
        <f t="shared" si="106"/>
        <v>2</v>
      </c>
      <c r="AS179" s="3">
        <f t="shared" si="107"/>
        <v>1</v>
      </c>
      <c r="AT179" s="3">
        <f t="shared" si="108"/>
        <v>1</v>
      </c>
      <c r="AU179" s="3">
        <f t="shared" si="109"/>
        <v>1</v>
      </c>
      <c r="AV179" s="3">
        <f t="shared" si="110"/>
        <v>12</v>
      </c>
      <c r="AW179" s="3">
        <f t="shared" si="111"/>
        <v>4</v>
      </c>
      <c r="AX179" s="3">
        <f t="shared" si="112"/>
        <v>6</v>
      </c>
      <c r="AY179" s="3">
        <f t="shared" si="113"/>
        <v>7</v>
      </c>
      <c r="AZ179" s="3">
        <f t="shared" si="114"/>
        <v>1</v>
      </c>
      <c r="BA179" s="3">
        <f>IF(ISERROR(LEN(VLOOKUP(A179,Seqs!A:E,2,FALSE))-AL179),"-",LEN(VLOOKUP(A179,Seqs!A:E,2,FALSE))-AL179)</f>
        <v>26</v>
      </c>
      <c r="BB179" s="16">
        <f t="shared" si="115"/>
        <v>31</v>
      </c>
      <c r="BC179" s="9">
        <f t="shared" si="116"/>
        <v>20</v>
      </c>
      <c r="BD179" s="3">
        <f t="shared" si="117"/>
        <v>31</v>
      </c>
      <c r="BE179" s="3">
        <f t="shared" si="118"/>
        <v>51</v>
      </c>
      <c r="BF179" s="3">
        <f t="shared" si="134"/>
        <v>37</v>
      </c>
    </row>
    <row r="180" spans="1:58" s="3" customFormat="1" x14ac:dyDescent="0.2">
      <c r="A180" s="3" t="s">
        <v>299</v>
      </c>
      <c r="B180" s="3" t="str">
        <f>LOWER(VLOOKUP(A180,Xtal_Templ!A:B,2,FALSE))</f>
        <v>oprd_human</v>
      </c>
      <c r="C180" s="3">
        <f>VLOOKUP($A180,'SegEnds_NonXtal_BW#'!$A:$Z,3,FALSE)+D180-50</f>
        <v>24</v>
      </c>
      <c r="D180" s="3">
        <v>52</v>
      </c>
      <c r="E180" s="3">
        <f>IF(ISERROR(VLOOKUP($A180,'SegEnds_NonXtal_BW#'!$A:$Z,4,FALSE)+VLOOKUP($A180,A:AL,4,FALSE)-50),"-",(VLOOKUP($A180,'SegEnds_NonXtal_BW#'!$A:$Z,4,FALSE)+VLOOKUP($A180,A:AL,4,FALSE)-50))</f>
        <v>62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66</v>
      </c>
      <c r="J180" s="3">
        <v>79</v>
      </c>
      <c r="K180" s="3">
        <f>VLOOKUP($A180,'SegEnds_NonXtal_BW#'!$A:$Z,8,FALSE)+VLOOKUP($A180,A:AL,10,FALSE)-50</f>
        <v>95</v>
      </c>
      <c r="L180" s="3">
        <f>M180-1</f>
        <v>98</v>
      </c>
      <c r="M180" s="3">
        <v>99</v>
      </c>
      <c r="N180" s="3">
        <f>M180+2</f>
        <v>101</v>
      </c>
      <c r="O180" s="3">
        <f>N180+1</f>
        <v>102</v>
      </c>
      <c r="P180" s="3">
        <v>131</v>
      </c>
      <c r="Q180" s="3">
        <f>VLOOKUP($A180,'SegEnds_NonXtal_BW#'!$A:$Z,12,FALSE)+VLOOKUP($A180,A:AL,16,FALSE)-50</f>
        <v>137</v>
      </c>
      <c r="R180" s="3">
        <f>IF(ISERROR(VLOOKUP($A180,'SegEnds_NonXtal_BW#'!$A:$Z,13,FALSE)+VLOOKUP($A180,A:AL,19,FALSE)-50),"-",VLOOKUP($A180,'SegEnds_NonXtal_BW#'!$A:$Z,13,FALSE)+VLOOKUP($A180,A:AL,19,FALSE)-50)</f>
        <v>138</v>
      </c>
      <c r="S180" s="3">
        <v>138</v>
      </c>
      <c r="T180" s="100">
        <f>IF(ISERROR(VLOOKUP($A180,'SegEnds_NonXtal_BW#'!$A:$Z,14,FALSE)+VLOOKUP($A180,A:AL,19,FALSE)-50),"-",(VLOOKUP($A180,'SegEnds_NonXtal_BW#'!$A:$Z,14,FALSE)+VLOOKUP($A180,A:AL,19,FALSE)-50))</f>
        <v>145</v>
      </c>
      <c r="U180" s="9">
        <f>IF(ISERROR(VLOOKUP($A180,'SegEnds_NonXtal_BW#'!$A:$Z,15,FALSE)+VLOOKUP($A180,A:AL,22,FALSE)-50),"-",VLOOKUP($A180,'SegEnds_NonXtal_BW#'!$A:$Z,15,FALSE)+VLOOKUP($A180,A:AL,22,FALSE)-50)</f>
        <v>146</v>
      </c>
      <c r="V180" s="3">
        <v>158</v>
      </c>
      <c r="W180" s="3">
        <f>IF(ISERROR(VLOOKUP($A180,'SegEnds_NonXtal_BW#'!$A:$Z,16,FALSE)+VLOOKUP($A180,A:AL,22,FALSE)-50),"-",(VLOOKUP($A180,'SegEnds_NonXtal_BW#'!$A:$Z,16,FALSE)+VLOOKUP($A180,A:AL,22,FALSE)-50))</f>
        <v>172</v>
      </c>
      <c r="X180" s="3">
        <f>IF(ISERROR(VLOOKUP($A180,'SegEnds_NonXtal_BW#'!$A:$Z,17,FALSE)+VLOOKUP($A180,A:AL,25,FALSE)-50),"-",(VLOOKUP($A180,'SegEnds_NonXtal_BW#'!$A:$Z,17,FALSE)+VLOOKUP($A180,A:AL,25,FALSE)-50))</f>
        <v>184</v>
      </c>
      <c r="Y180" s="3">
        <v>184</v>
      </c>
      <c r="Z180" s="3">
        <f>Y180+2</f>
        <v>186</v>
      </c>
      <c r="AA180" s="3">
        <f>IF(ISERROR(VLOOKUP($A180,'SegEnds_NonXtal_BW#'!$A:$Z,19,FALSE)+VLOOKUP($A180,A:AL,28,FALSE)-50),"-",(VLOOKUP($A180,'SegEnds_NonXtal_BW#'!$A:$Z,19,FALSE)+VLOOKUP($A180,A:AL,28,FALSE)-50))</f>
        <v>190</v>
      </c>
      <c r="AB180" s="3">
        <v>209</v>
      </c>
      <c r="AC180" s="3">
        <f>IF(ISERROR((VLOOKUP($A180,'SegEnds_NonXtal_BW#'!$A:$Z,20,FALSE)+VLOOKUP($A180,A:AL,28,FALSE)-50)),"-",(VLOOKUP($A180,'SegEnds_NonXtal_BW#'!$A:$Z,20,FALSE)+VLOOKUP($A180,A:AL,28,FALSE)-50))</f>
        <v>232</v>
      </c>
      <c r="AD180" s="3">
        <f>IF(ISERROR(VLOOKUP($A180,'SegEnds_NonXtal_BW#'!$A:$Z,21,FALSE)+VLOOKUP($A180,A:AL,31,FALSE)-50),"-",(VLOOKUP($A180,'SegEnds_NonXtal_BW#'!$A:$Z,21,FALSE)+VLOOKUP($A180,A:AL,31,FALSE)-50))</f>
        <v>238</v>
      </c>
      <c r="AE180" s="3">
        <v>266</v>
      </c>
      <c r="AF180" s="3">
        <f>IF(ISERROR((VLOOKUP($A180,'SegEnds_NonXtal_BW#'!$A:$Z,22,FALSE)+VLOOKUP($A180,A:AL,31,FALSE)-50)),"-",(VLOOKUP($A180,'SegEnds_NonXtal_BW#'!$A:$Z,22,FALSE)+VLOOKUP($A180,A:AL,31,FALSE)-50))</f>
        <v>277</v>
      </c>
      <c r="AG180" s="3">
        <f>IF(ISERROR(VLOOKUP($A180,'SegEnds_NonXtal_BW#'!$A:$Z,23,FALSE)+VLOOKUP($A180,A:AL,34,FALSE)-50),"-",(VLOOKUP($A180,'SegEnds_NonXtal_BW#'!$A:$Z,23,FALSE)+VLOOKUP($A180,A:AL,34,FALSE)-50))</f>
        <v>284</v>
      </c>
      <c r="AH180" s="3">
        <v>303</v>
      </c>
      <c r="AI180" s="3">
        <f>IF(ISERROR((VLOOKUP($A180,'SegEnds_NonXtal_BW#'!$A:$Z,24,FALSE)+VLOOKUP($A180,A:AL,34,FALSE)-50)),"-",(VLOOKUP($A180,'SegEnds_NonXtal_BW#'!$A:$Z,24,FALSE)+VLOOKUP($A180,A:AL,34,FALSE)-50))</f>
        <v>309</v>
      </c>
      <c r="AJ180" s="3">
        <f>IF(ISERROR(VLOOKUP($A180,'SegEnds_NonXtal_BW#'!$A:$Z,25,FALSE)+VLOOKUP($A180,A:AL,37,FALSE)-50),"-",(VLOOKUP($A180,'SegEnds_NonXtal_BW#'!$A:$Z,25,FALSE)+VLOOKUP($A180,A:AL,37,FALSE)-50))</f>
        <v>310</v>
      </c>
      <c r="AK180" s="3">
        <v>313</v>
      </c>
      <c r="AL180" s="3">
        <f>IF(ISERROR((VLOOKUP($A180,'SegEnds_NonXtal_BW#'!$A:$Z,26,FALSE)+VLOOKUP($A180,A:AL,37,FALSE)-50)),"-",(VLOOKUP($A180,'SegEnds_NonXtal_BW#'!$A:$Z,26,FALSE)+VLOOKUP($A180,A:AL,37,FALSE)-50))</f>
        <v>323</v>
      </c>
      <c r="AM180" s="28" t="str">
        <f>VLOOKUP(A180,Classification!A:B,2,FALSE)</f>
        <v>A</v>
      </c>
      <c r="AN180" s="28" t="b">
        <f t="shared" si="121"/>
        <v>1</v>
      </c>
      <c r="AO180" s="3" t="str">
        <f>IF(ISERROR(MATCH(A180,'SegEnds_Xtal_Prot#'!B:B, 0)), "NoXtal", "Xtal")</f>
        <v>NoXtal</v>
      </c>
      <c r="AP180" s="3" t="str">
        <f t="shared" si="104"/>
        <v>-</v>
      </c>
      <c r="AQ180" s="3" t="str">
        <f t="shared" si="105"/>
        <v>-</v>
      </c>
      <c r="AR180" s="3">
        <f t="shared" si="106"/>
        <v>3</v>
      </c>
      <c r="AS180" s="3">
        <f t="shared" si="107"/>
        <v>1</v>
      </c>
      <c r="AT180" s="3">
        <f t="shared" si="108"/>
        <v>1</v>
      </c>
      <c r="AU180" s="3">
        <f t="shared" si="109"/>
        <v>1</v>
      </c>
      <c r="AV180" s="3">
        <f t="shared" si="110"/>
        <v>12</v>
      </c>
      <c r="AW180" s="3">
        <f t="shared" si="111"/>
        <v>4</v>
      </c>
      <c r="AX180" s="3">
        <f t="shared" si="112"/>
        <v>6</v>
      </c>
      <c r="AY180" s="3">
        <f t="shared" si="113"/>
        <v>7</v>
      </c>
      <c r="AZ180" s="3">
        <f t="shared" si="114"/>
        <v>1</v>
      </c>
      <c r="BA180" s="3">
        <f>IF(ISERROR(LEN(VLOOKUP(A180,Seqs!A:E,2,FALSE))-AL180),"-",LEN(VLOOKUP(A180,Seqs!A:E,2,FALSE))-AL180)</f>
        <v>17</v>
      </c>
      <c r="BB180" s="16">
        <f t="shared" si="115"/>
        <v>27</v>
      </c>
      <c r="BC180" s="9">
        <f t="shared" si="116"/>
        <v>20</v>
      </c>
      <c r="BD180" s="3">
        <f t="shared" si="117"/>
        <v>27</v>
      </c>
      <c r="BE180" s="3">
        <f t="shared" si="118"/>
        <v>57</v>
      </c>
      <c r="BF180" s="3">
        <f t="shared" si="134"/>
        <v>37</v>
      </c>
    </row>
    <row r="181" spans="1:58" s="3" customFormat="1" x14ac:dyDescent="0.2">
      <c r="A181" s="3" t="s">
        <v>300</v>
      </c>
      <c r="B181" s="3" t="str">
        <f>LOWER(VLOOKUP(A181,Xtal_Templ!A:B,2,FALSE))</f>
        <v>ccr6_human</v>
      </c>
      <c r="C181" s="3">
        <f>VLOOKUP($A181,'SegEnds_NonXtal_BW#'!$A:$Z,3,FALSE)+D181-50</f>
        <v>20</v>
      </c>
      <c r="D181" s="3">
        <v>45</v>
      </c>
      <c r="E181" s="3">
        <f>IF(ISERROR(VLOOKUP($A181,'SegEnds_NonXtal_BW#'!$A:$Z,4,FALSE)+VLOOKUP($A181,A:AL,4,FALSE)-50),"-",(VLOOKUP($A181,'SegEnds_NonXtal_BW#'!$A:$Z,4,FALSE)+VLOOKUP($A181,A:AL,4,FALSE)-50))</f>
        <v>55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59</v>
      </c>
      <c r="J181" s="3">
        <v>72</v>
      </c>
      <c r="K181" s="3">
        <f>VLOOKUP($A181,'SegEnds_NonXtal_BW#'!$A:$Z,8,FALSE)+VLOOKUP($A181,A:AL,10,FALSE)-50</f>
        <v>88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94</v>
      </c>
      <c r="P181" s="3">
        <v>123</v>
      </c>
      <c r="Q181" s="3">
        <f>VLOOKUP($A181,'SegEnds_NonXtal_BW#'!$A:$Z,12,FALSE)+VLOOKUP($A181,A:AL,16,FALSE)-50</f>
        <v>129</v>
      </c>
      <c r="R181" s="3">
        <f>IF(ISERROR(VLOOKUP($A181,'SegEnds_NonXtal_BW#'!$A:$Z,13,FALSE)+VLOOKUP($A181,A:AL,19,FALSE)-50),"-",VLOOKUP($A181,'SegEnds_NonXtal_BW#'!$A:$Z,13,FALSE)+VLOOKUP($A181,A:AL,19,FALSE)-50)</f>
        <v>130</v>
      </c>
      <c r="S181" s="3">
        <v>130</v>
      </c>
      <c r="T181" s="100">
        <f>IF(ISERROR(VLOOKUP($A181,'SegEnds_NonXtal_BW#'!$A:$Z,14,FALSE)+VLOOKUP($A181,A:AL,19,FALSE)-50),"-",(VLOOKUP($A181,'SegEnds_NonXtal_BW#'!$A:$Z,14,FALSE)+VLOOKUP($A181,A:AL,19,FALSE)-50))</f>
        <v>137</v>
      </c>
      <c r="U181" s="9">
        <f>IF(ISERROR(VLOOKUP($A181,'SegEnds_NonXtal_BW#'!$A:$Z,15,FALSE)+VLOOKUP($A181,A:AL,22,FALSE)-50),"-",VLOOKUP($A181,'SegEnds_NonXtal_BW#'!$A:$Z,15,FALSE)+VLOOKUP($A181,A:AL,22,FALSE)-50)</f>
        <v>138</v>
      </c>
      <c r="V181" s="3">
        <v>150</v>
      </c>
      <c r="W181" s="3">
        <f>IF(ISERROR(VLOOKUP($A181,'SegEnds_NonXtal_BW#'!$A:$Z,16,FALSE)+VLOOKUP($A181,A:AL,22,FALSE)-50),"-",(VLOOKUP($A181,'SegEnds_NonXtal_BW#'!$A:$Z,16,FALSE)+VLOOKUP($A181,A:AL,22,FALSE)-50))</f>
        <v>164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173</v>
      </c>
      <c r="AB181" s="3">
        <v>192</v>
      </c>
      <c r="AC181" s="3">
        <f>IF(ISERROR((VLOOKUP($A181,'SegEnds_NonXtal_BW#'!$A:$Z,20,FALSE)+VLOOKUP($A181,A:AL,28,FALSE)-50)),"-",(VLOOKUP($A181,'SegEnds_NonXtal_BW#'!$A:$Z,20,FALSE)+VLOOKUP($A181,A:AL,28,FALSE)-50))</f>
        <v>210</v>
      </c>
      <c r="AD181" s="3">
        <f>IF(ISERROR(VLOOKUP($A181,'SegEnds_NonXtal_BW#'!$A:$Z,21,FALSE)+VLOOKUP($A181,A:AL,31,FALSE)-50),"-",(VLOOKUP($A181,'SegEnds_NonXtal_BW#'!$A:$Z,21,FALSE)+VLOOKUP($A181,A:AL,31,FALSE)-50))</f>
        <v>214</v>
      </c>
      <c r="AE181" s="3">
        <v>236</v>
      </c>
      <c r="AF181" s="3">
        <f>IF(ISERROR((VLOOKUP($A181,'SegEnds_NonXtal_BW#'!$A:$Z,22,FALSE)+VLOOKUP($A181,A:AL,31,FALSE)-50)),"-",(VLOOKUP($A181,'SegEnds_NonXtal_BW#'!$A:$Z,22,FALSE)+VLOOKUP($A181,A:AL,31,FALSE)-50))</f>
        <v>247</v>
      </c>
      <c r="AG181" s="3">
        <f>IF(ISERROR(VLOOKUP($A181,'SegEnds_NonXtal_BW#'!$A:$Z,23,FALSE)+VLOOKUP($A181,A:AL,34,FALSE)-50),"-",(VLOOKUP($A181,'SegEnds_NonXtal_BW#'!$A:$Z,23,FALSE)+VLOOKUP($A181,A:AL,34,FALSE)-50))</f>
        <v>254</v>
      </c>
      <c r="AH181" s="3">
        <v>273</v>
      </c>
      <c r="AI181" s="3">
        <f>IF(ISERROR((VLOOKUP($A181,'SegEnds_NonXtal_BW#'!$A:$Z,24,FALSE)+VLOOKUP($A181,A:AL,34,FALSE)-50)),"-",(VLOOKUP($A181,'SegEnds_NonXtal_BW#'!$A:$Z,24,FALSE)+VLOOKUP($A181,A:AL,34,FALSE)-50))</f>
        <v>279</v>
      </c>
      <c r="AJ181" s="3">
        <f>IF(ISERROR(VLOOKUP($A181,'SegEnds_NonXtal_BW#'!$A:$Z,25,FALSE)+VLOOKUP($A181,A:AL,37,FALSE)-50),"-",(VLOOKUP($A181,'SegEnds_NonXtal_BW#'!$A:$Z,25,FALSE)+VLOOKUP($A181,A:AL,37,FALSE)-50))</f>
        <v>280</v>
      </c>
      <c r="AK181" s="3">
        <v>283</v>
      </c>
      <c r="AL181" s="3">
        <f>IF(ISERROR((VLOOKUP($A181,'SegEnds_NonXtal_BW#'!$A:$Z,26,FALSE)+VLOOKUP($A181,A:AL,37,FALSE)-50)),"-",(VLOOKUP($A181,'SegEnds_NonXtal_BW#'!$A:$Z,26,FALSE)+VLOOKUP($A181,A:AL,37,FALSE)-50))</f>
        <v>295</v>
      </c>
      <c r="AM181" s="28" t="str">
        <f>VLOOKUP(A181,Classification!A:B,2,FALSE)</f>
        <v>A</v>
      </c>
      <c r="AN181" s="28" t="b">
        <f t="shared" si="121"/>
        <v>1</v>
      </c>
      <c r="AO181" s="3" t="str">
        <f>IF(ISERROR(MATCH(A181,'SegEnds_Xtal_Prot#'!B:B, 0)), "NoXtal", "Xtal")</f>
        <v>NoXtal</v>
      </c>
      <c r="AP181" s="3" t="str">
        <f t="shared" si="104"/>
        <v>-</v>
      </c>
      <c r="AQ181" s="3" t="str">
        <f t="shared" si="105"/>
        <v>-</v>
      </c>
      <c r="AR181" s="3" t="str">
        <f t="shared" si="106"/>
        <v>-</v>
      </c>
      <c r="AS181" s="3" t="str">
        <f t="shared" si="107"/>
        <v>-</v>
      </c>
      <c r="AT181" s="3">
        <f t="shared" si="108"/>
        <v>1</v>
      </c>
      <c r="AU181" s="3">
        <f t="shared" si="109"/>
        <v>1</v>
      </c>
      <c r="AV181" s="3" t="str">
        <f t="shared" si="110"/>
        <v>-</v>
      </c>
      <c r="AW181" s="3" t="str">
        <f t="shared" si="111"/>
        <v>-</v>
      </c>
      <c r="AX181" s="3">
        <f t="shared" si="112"/>
        <v>4</v>
      </c>
      <c r="AY181" s="3">
        <f t="shared" si="113"/>
        <v>7</v>
      </c>
      <c r="AZ181" s="3">
        <f t="shared" si="114"/>
        <v>1</v>
      </c>
      <c r="BA181" s="3">
        <f>IF(ISERROR(LEN(VLOOKUP(A181,Seqs!A:E,2,FALSE))-AL181),"-",LEN(VLOOKUP(A181,Seqs!A:E,2,FALSE))-AL181)</f>
        <v>26</v>
      </c>
      <c r="BB181" s="16">
        <f t="shared" si="115"/>
        <v>27</v>
      </c>
      <c r="BC181" s="9">
        <f t="shared" si="116"/>
        <v>20</v>
      </c>
      <c r="BD181" s="3">
        <f t="shared" si="117"/>
        <v>27</v>
      </c>
      <c r="BE181" s="3">
        <f t="shared" si="118"/>
        <v>44</v>
      </c>
      <c r="BF181" s="3">
        <f t="shared" si="134"/>
        <v>37</v>
      </c>
    </row>
    <row r="182" spans="1:58" s="3" customFormat="1" x14ac:dyDescent="0.2">
      <c r="A182" s="3" t="s">
        <v>301</v>
      </c>
      <c r="B182" s="3" t="str">
        <f>LOWER(VLOOKUP(A182,Xtal_Templ!A:B,2,FALSE))</f>
        <v>cxcr4_human</v>
      </c>
      <c r="C182" s="3">
        <f>VLOOKUP($A182,'SegEnds_NonXtal_BW#'!$A:$Z,3,FALSE)+D182-50</f>
        <v>16</v>
      </c>
      <c r="D182" s="3">
        <v>42</v>
      </c>
      <c r="E182" s="3">
        <f>IF(ISERROR(VLOOKUP($A182,'SegEnds_NonXtal_BW#'!$A:$Z,4,FALSE)+VLOOKUP($A182,A:AL,4,FALSE)-50),"-",(VLOOKUP($A182,'SegEnds_NonXtal_BW#'!$A:$Z,4,FALSE)+VLOOKUP($A182,A:AL,4,FALSE)-50))</f>
        <v>52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56</v>
      </c>
      <c r="J182" s="3">
        <v>69</v>
      </c>
      <c r="K182" s="3">
        <f>VLOOKUP($A182,'SegEnds_NonXtal_BW#'!$A:$Z,8,FALSE)+VLOOKUP($A182,A:AL,10,FALSE)-50</f>
        <v>85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92</v>
      </c>
      <c r="P182" s="3">
        <v>121</v>
      </c>
      <c r="Q182" s="3">
        <f>VLOOKUP($A182,'SegEnds_NonXtal_BW#'!$A:$Z,12,FALSE)+VLOOKUP($A182,A:AL,16,FALSE)-50</f>
        <v>127</v>
      </c>
      <c r="R182" s="3">
        <f>IF(ISERROR(VLOOKUP($A182,'SegEnds_NonXtal_BW#'!$A:$Z,13,FALSE)+VLOOKUP($A182,A:AL,19,FALSE)-50),"-",VLOOKUP($A182,'SegEnds_NonXtal_BW#'!$A:$Z,13,FALSE)+VLOOKUP($A182,A:AL,19,FALSE)-50)</f>
        <v>128</v>
      </c>
      <c r="S182" s="3">
        <v>128</v>
      </c>
      <c r="T182" s="100">
        <f>IF(ISERROR(VLOOKUP($A182,'SegEnds_NonXtal_BW#'!$A:$Z,14,FALSE)+VLOOKUP($A182,A:AL,19,FALSE)-50),"-",(VLOOKUP($A182,'SegEnds_NonXtal_BW#'!$A:$Z,14,FALSE)+VLOOKUP($A182,A:AL,19,FALSE)-50))</f>
        <v>135</v>
      </c>
      <c r="U182" s="9">
        <f>IF(ISERROR(VLOOKUP($A182,'SegEnds_NonXtal_BW#'!$A:$Z,15,FALSE)+VLOOKUP($A182,A:AL,22,FALSE)-50),"-",VLOOKUP($A182,'SegEnds_NonXtal_BW#'!$A:$Z,15,FALSE)+VLOOKUP($A182,A:AL,22,FALSE)-50)</f>
        <v>136</v>
      </c>
      <c r="V182" s="3">
        <v>148</v>
      </c>
      <c r="W182" s="3">
        <f>IF(ISERROR(VLOOKUP($A182,'SegEnds_NonXtal_BW#'!$A:$Z,16,FALSE)+VLOOKUP($A182,A:AL,22,FALSE)-50),"-",(VLOOKUP($A182,'SegEnds_NonXtal_BW#'!$A:$Z,16,FALSE)+VLOOKUP($A182,A:AL,22,FALSE)-50))</f>
        <v>162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172</v>
      </c>
      <c r="AB182" s="3">
        <v>190</v>
      </c>
      <c r="AC182" s="3">
        <f>IF(ISERROR((VLOOKUP($A182,'SegEnds_NonXtal_BW#'!$A:$Z,20,FALSE)+VLOOKUP($A182,A:AL,28,FALSE)-50)),"-",(VLOOKUP($A182,'SegEnds_NonXtal_BW#'!$A:$Z,20,FALSE)+VLOOKUP($A182,A:AL,28,FALSE)-50))</f>
        <v>208</v>
      </c>
      <c r="AD182" s="3">
        <f>IF(ISERROR(VLOOKUP($A182,'SegEnds_NonXtal_BW#'!$A:$Z,21,FALSE)+VLOOKUP($A182,A:AL,31,FALSE)-50),"-",(VLOOKUP($A182,'SegEnds_NonXtal_BW#'!$A:$Z,21,FALSE)+VLOOKUP($A182,A:AL,31,FALSE)-50))</f>
        <v>212</v>
      </c>
      <c r="AE182" s="3">
        <v>232</v>
      </c>
      <c r="AF182" s="3">
        <f>IF(ISERROR((VLOOKUP($A182,'SegEnds_NonXtal_BW#'!$A:$Z,22,FALSE)+VLOOKUP($A182,A:AL,31,FALSE)-50)),"-",(VLOOKUP($A182,'SegEnds_NonXtal_BW#'!$A:$Z,22,FALSE)+VLOOKUP($A182,A:AL,31,FALSE)-50))</f>
        <v>243</v>
      </c>
      <c r="AG182" s="3">
        <f>IF(ISERROR(VLOOKUP($A182,'SegEnds_NonXtal_BW#'!$A:$Z,23,FALSE)+VLOOKUP($A182,A:AL,34,FALSE)-50),"-",(VLOOKUP($A182,'SegEnds_NonXtal_BW#'!$A:$Z,23,FALSE)+VLOOKUP($A182,A:AL,34,FALSE)-50))</f>
        <v>248</v>
      </c>
      <c r="AH182" s="3">
        <v>266</v>
      </c>
      <c r="AI182" s="3">
        <f>IF(ISERROR((VLOOKUP($A182,'SegEnds_NonXtal_BW#'!$A:$Z,24,FALSE)+VLOOKUP($A182,A:AL,34,FALSE)-50)),"-",(VLOOKUP($A182,'SegEnds_NonXtal_BW#'!$A:$Z,24,FALSE)+VLOOKUP($A182,A:AL,34,FALSE)-50))</f>
        <v>272</v>
      </c>
      <c r="AJ182" s="3">
        <f>IF(ISERROR(VLOOKUP($A182,'SegEnds_NonXtal_BW#'!$A:$Z,25,FALSE)+VLOOKUP($A182,A:AL,37,FALSE)-50),"-",(VLOOKUP($A182,'SegEnds_NonXtal_BW#'!$A:$Z,25,FALSE)+VLOOKUP($A182,A:AL,37,FALSE)-50))</f>
        <v>273</v>
      </c>
      <c r="AK182" s="3">
        <v>276</v>
      </c>
      <c r="AL182" s="3">
        <f>IF(ISERROR((VLOOKUP($A182,'SegEnds_NonXtal_BW#'!$A:$Z,26,FALSE)+VLOOKUP($A182,A:AL,37,FALSE)-50)),"-",(VLOOKUP($A182,'SegEnds_NonXtal_BW#'!$A:$Z,26,FALSE)+VLOOKUP($A182,A:AL,37,FALSE)-50))</f>
        <v>285</v>
      </c>
      <c r="AM182" s="28" t="str">
        <f>VLOOKUP(A182,Classification!A:B,2,FALSE)</f>
        <v>A</v>
      </c>
      <c r="AN182" s="28" t="b">
        <f t="shared" si="121"/>
        <v>1</v>
      </c>
      <c r="AO182" s="3" t="str">
        <f>IF(ISERROR(MATCH(A182,'SegEnds_Xtal_Prot#'!B:B, 0)), "NoXtal", "Xtal")</f>
        <v>NoXtal</v>
      </c>
      <c r="AP182" s="3" t="str">
        <f t="shared" si="104"/>
        <v>-</v>
      </c>
      <c r="AQ182" s="3" t="str">
        <f t="shared" si="105"/>
        <v>-</v>
      </c>
      <c r="AR182" s="3" t="str">
        <f t="shared" si="106"/>
        <v>-</v>
      </c>
      <c r="AS182" s="3" t="str">
        <f t="shared" si="107"/>
        <v>-</v>
      </c>
      <c r="AT182" s="3">
        <f t="shared" si="108"/>
        <v>1</v>
      </c>
      <c r="AU182" s="3">
        <f t="shared" si="109"/>
        <v>1</v>
      </c>
      <c r="AV182" s="3" t="str">
        <f t="shared" si="110"/>
        <v>-</v>
      </c>
      <c r="AW182" s="3" t="str">
        <f t="shared" si="111"/>
        <v>-</v>
      </c>
      <c r="AX182" s="3">
        <f t="shared" si="112"/>
        <v>4</v>
      </c>
      <c r="AY182" s="3">
        <f t="shared" si="113"/>
        <v>5</v>
      </c>
      <c r="AZ182" s="3">
        <f t="shared" si="114"/>
        <v>1</v>
      </c>
      <c r="BA182" s="3">
        <f>IF(ISERROR(LEN(VLOOKUP(A182,Seqs!A:E,2,FALSE))-AL182),"-",LEN(VLOOKUP(A182,Seqs!A:E,2,FALSE))-AL182)</f>
        <v>27</v>
      </c>
      <c r="BB182" s="16">
        <f t="shared" si="115"/>
        <v>27</v>
      </c>
      <c r="BC182" s="9">
        <f t="shared" si="116"/>
        <v>20</v>
      </c>
      <c r="BD182" s="3">
        <f t="shared" si="117"/>
        <v>27</v>
      </c>
      <c r="BE182" s="3">
        <f t="shared" si="118"/>
        <v>42</v>
      </c>
      <c r="BF182" s="3">
        <f t="shared" si="134"/>
        <v>34</v>
      </c>
    </row>
    <row r="183" spans="1:58" s="3" customFormat="1" x14ac:dyDescent="0.2">
      <c r="A183" s="3" t="s">
        <v>302</v>
      </c>
      <c r="B183" s="3" t="str">
        <f>LOWER(VLOOKUP(A183,Xtal_Templ!A:B,2,FALSE))</f>
        <v>ccr6_human</v>
      </c>
      <c r="C183" s="3">
        <f>VLOOKUP($A183,'SegEnds_NonXtal_BW#'!$A:$Z,3,FALSE)+D183-50</f>
        <v>37</v>
      </c>
      <c r="D183" s="3">
        <v>62</v>
      </c>
      <c r="E183" s="3">
        <f>IF(ISERROR(VLOOKUP($A183,'SegEnds_NonXtal_BW#'!$A:$Z,4,FALSE)+VLOOKUP($A183,A:AL,4,FALSE)-50),"-",(VLOOKUP($A183,'SegEnds_NonXtal_BW#'!$A:$Z,4,FALSE)+VLOOKUP($A183,A:AL,4,FALSE)-50))</f>
        <v>72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76</v>
      </c>
      <c r="J183" s="3">
        <v>89</v>
      </c>
      <c r="K183" s="3">
        <f>VLOOKUP($A183,'SegEnds_NonXtal_BW#'!$A:$Z,8,FALSE)+VLOOKUP($A183,A:AL,10,FALSE)-50</f>
        <v>106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112</v>
      </c>
      <c r="P183" s="3">
        <v>141</v>
      </c>
      <c r="Q183" s="3">
        <f>VLOOKUP($A183,'SegEnds_NonXtal_BW#'!$A:$Z,12,FALSE)+VLOOKUP($A183,A:AL,16,FALSE)-50</f>
        <v>147</v>
      </c>
      <c r="R183" s="3">
        <f>IF(ISERROR(VLOOKUP($A183,'SegEnds_NonXtal_BW#'!$A:$Z,13,FALSE)+VLOOKUP($A183,A:AL,19,FALSE)-50),"-",VLOOKUP($A183,'SegEnds_NonXtal_BW#'!$A:$Z,13,FALSE)+VLOOKUP($A183,A:AL,19,FALSE)-50)</f>
        <v>148</v>
      </c>
      <c r="S183" s="3">
        <v>148</v>
      </c>
      <c r="T183" s="100">
        <f>IF(ISERROR(VLOOKUP($A183,'SegEnds_NonXtal_BW#'!$A:$Z,14,FALSE)+VLOOKUP($A183,A:AL,19,FALSE)-50),"-",(VLOOKUP($A183,'SegEnds_NonXtal_BW#'!$A:$Z,14,FALSE)+VLOOKUP($A183,A:AL,19,FALSE)-50))</f>
        <v>155</v>
      </c>
      <c r="U183" s="9">
        <f>IF(ISERROR(VLOOKUP($A183,'SegEnds_NonXtal_BW#'!$A:$Z,15,FALSE)+VLOOKUP($A183,A:AL,22,FALSE)-50),"-",VLOOKUP($A183,'SegEnds_NonXtal_BW#'!$A:$Z,15,FALSE)+VLOOKUP($A183,A:AL,22,FALSE)-50)</f>
        <v>156</v>
      </c>
      <c r="V183" s="3">
        <v>168</v>
      </c>
      <c r="W183" s="3">
        <f>IF(ISERROR(VLOOKUP($A183,'SegEnds_NonXtal_BW#'!$A:$Z,16,FALSE)+VLOOKUP($A183,A:AL,22,FALSE)-50),"-",(VLOOKUP($A183,'SegEnds_NonXtal_BW#'!$A:$Z,16,FALSE)+VLOOKUP($A183,A:AL,22,FALSE)-50))</f>
        <v>182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192</v>
      </c>
      <c r="AB183" s="3">
        <v>211</v>
      </c>
      <c r="AC183" s="3">
        <f>IF(ISERROR((VLOOKUP($A183,'SegEnds_NonXtal_BW#'!$A:$Z,20,FALSE)+VLOOKUP($A183,A:AL,28,FALSE)-50)),"-",(VLOOKUP($A183,'SegEnds_NonXtal_BW#'!$A:$Z,20,FALSE)+VLOOKUP($A183,A:AL,28,FALSE)-50))</f>
        <v>229</v>
      </c>
      <c r="AD183" s="3">
        <f>IF(ISERROR(VLOOKUP($A183,'SegEnds_NonXtal_BW#'!$A:$Z,21,FALSE)+VLOOKUP($A183,A:AL,31,FALSE)-50),"-",(VLOOKUP($A183,'SegEnds_NonXtal_BW#'!$A:$Z,21,FALSE)+VLOOKUP($A183,A:AL,31,FALSE)-50))</f>
        <v>234</v>
      </c>
      <c r="AE183" s="3">
        <v>254</v>
      </c>
      <c r="AF183" s="3">
        <f>IF(ISERROR((VLOOKUP($A183,'SegEnds_NonXtal_BW#'!$A:$Z,22,FALSE)+VLOOKUP($A183,A:AL,31,FALSE)-50)),"-",(VLOOKUP($A183,'SegEnds_NonXtal_BW#'!$A:$Z,22,FALSE)+VLOOKUP($A183,A:AL,31,FALSE)-50))</f>
        <v>265</v>
      </c>
      <c r="AG183" s="3">
        <f>IF(ISERROR(VLOOKUP($A183,'SegEnds_NonXtal_BW#'!$A:$Z,23,FALSE)+VLOOKUP($A183,A:AL,34,FALSE)-50),"-",(VLOOKUP($A183,'SegEnds_NonXtal_BW#'!$A:$Z,23,FALSE)+VLOOKUP($A183,A:AL,34,FALSE)-50))</f>
        <v>270</v>
      </c>
      <c r="AH183" s="3">
        <v>288</v>
      </c>
      <c r="AI183" s="3">
        <f>IF(ISERROR((VLOOKUP($A183,'SegEnds_NonXtal_BW#'!$A:$Z,24,FALSE)+VLOOKUP($A183,A:AL,34,FALSE)-50)),"-",(VLOOKUP($A183,'SegEnds_NonXtal_BW#'!$A:$Z,24,FALSE)+VLOOKUP($A183,A:AL,34,FALSE)-50))</f>
        <v>294</v>
      </c>
      <c r="AJ183" s="3">
        <f>IF(ISERROR(VLOOKUP($A183,'SegEnds_NonXtal_BW#'!$A:$Z,25,FALSE)+VLOOKUP($A183,A:AL,37,FALSE)-50),"-",(VLOOKUP($A183,'SegEnds_NonXtal_BW#'!$A:$Z,25,FALSE)+VLOOKUP($A183,A:AL,37,FALSE)-50))</f>
        <v>295</v>
      </c>
      <c r="AK183" s="3">
        <v>298</v>
      </c>
      <c r="AL183" s="3">
        <f>IF(ISERROR((VLOOKUP($A183,'SegEnds_NonXtal_BW#'!$A:$Z,26,FALSE)+VLOOKUP($A183,A:AL,37,FALSE)-50)),"-",(VLOOKUP($A183,'SegEnds_NonXtal_BW#'!$A:$Z,26,FALSE)+VLOOKUP($A183,A:AL,37,FALSE)-50))</f>
        <v>310</v>
      </c>
      <c r="AM183" s="28" t="str">
        <f>VLOOKUP(A183,Classification!A:B,2,FALSE)</f>
        <v>A</v>
      </c>
      <c r="AN183" s="28" t="b">
        <f t="shared" si="121"/>
        <v>1</v>
      </c>
      <c r="AO183" s="3" t="str">
        <f>IF(ISERROR(MATCH(A183,'SegEnds_Xtal_Prot#'!B:B, 0)), "NoXtal", "Xtal")</f>
        <v>NoXtal</v>
      </c>
      <c r="AP183" s="3" t="str">
        <f t="shared" si="104"/>
        <v>-</v>
      </c>
      <c r="AQ183" s="3" t="str">
        <f t="shared" si="105"/>
        <v>-</v>
      </c>
      <c r="AR183" s="3" t="str">
        <f t="shared" si="106"/>
        <v>-</v>
      </c>
      <c r="AS183" s="3" t="str">
        <f t="shared" si="107"/>
        <v>-</v>
      </c>
      <c r="AT183" s="3">
        <f t="shared" si="108"/>
        <v>1</v>
      </c>
      <c r="AU183" s="3">
        <f t="shared" si="109"/>
        <v>1</v>
      </c>
      <c r="AV183" s="3" t="str">
        <f t="shared" si="110"/>
        <v>-</v>
      </c>
      <c r="AW183" s="3" t="str">
        <f t="shared" si="111"/>
        <v>-</v>
      </c>
      <c r="AX183" s="3">
        <f t="shared" si="112"/>
        <v>5</v>
      </c>
      <c r="AY183" s="3">
        <f t="shared" si="113"/>
        <v>5</v>
      </c>
      <c r="AZ183" s="3">
        <f t="shared" si="114"/>
        <v>1</v>
      </c>
      <c r="BA183" s="3">
        <f>IF(ISERROR(LEN(VLOOKUP(A183,Seqs!A:E,2,FALSE))-AL183),"-",LEN(VLOOKUP(A183,Seqs!A:E,2,FALSE))-AL183)</f>
        <v>33</v>
      </c>
      <c r="BB183" s="16">
        <f t="shared" si="115"/>
        <v>27</v>
      </c>
      <c r="BC183" s="9">
        <f t="shared" si="116"/>
        <v>20</v>
      </c>
      <c r="BD183" s="3">
        <f t="shared" si="117"/>
        <v>27</v>
      </c>
      <c r="BE183" s="3">
        <f t="shared" si="118"/>
        <v>43</v>
      </c>
    </row>
    <row r="184" spans="1:58" s="3" customFormat="1" x14ac:dyDescent="0.2">
      <c r="A184" s="3" t="s">
        <v>303</v>
      </c>
      <c r="B184" s="3" t="str">
        <f>LOWER(VLOOKUP(A184,Xtal_Templ!A:B,2,FALSE))</f>
        <v>pd2r2_human</v>
      </c>
      <c r="C184" s="3">
        <f>VLOOKUP($A184,'SegEnds_NonXtal_BW#'!$A:$Z,3,FALSE)+D184-50</f>
        <v>12</v>
      </c>
      <c r="D184" s="3">
        <v>30</v>
      </c>
      <c r="E184" s="3">
        <f>IF(ISERROR(VLOOKUP($A184,'SegEnds_NonXtal_BW#'!$A:$Z,4,FALSE)+VLOOKUP($A184,A:AL,4,FALSE)-50),"-",(VLOOKUP($A184,'SegEnds_NonXtal_BW#'!$A:$Z,4,FALSE)+VLOOKUP($A184,A:AL,4,FALSE)-50))</f>
        <v>40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44</v>
      </c>
      <c r="J184" s="3">
        <v>57</v>
      </c>
      <c r="K184" s="3">
        <f>VLOOKUP($A184,'SegEnds_NonXtal_BW#'!$A:$Z,8,FALSE)+VLOOKUP($A184,A:AL,10,FALSE)-50</f>
        <v>70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77</v>
      </c>
      <c r="P184" s="3">
        <v>103</v>
      </c>
      <c r="Q184" s="3">
        <f>VLOOKUP($A184,'SegEnds_NonXtal_BW#'!$A:$Z,12,FALSE)+VLOOKUP($A184,A:AL,16,FALSE)-50</f>
        <v>109</v>
      </c>
      <c r="R184" s="3">
        <f>IF(ISERROR(VLOOKUP($A184,'SegEnds_NonXtal_BW#'!$A:$Z,13,FALSE)+VLOOKUP($A184,A:AL,19,FALSE)-50),"-",VLOOKUP($A184,'SegEnds_NonXtal_BW#'!$A:$Z,13,FALSE)+VLOOKUP($A184,A:AL,19,FALSE)-50)</f>
        <v>110</v>
      </c>
      <c r="S184" s="3">
        <v>110</v>
      </c>
      <c r="T184" s="100">
        <f>IF(ISERROR(VLOOKUP($A184,'SegEnds_NonXtal_BW#'!$A:$Z,14,FALSE)+VLOOKUP($A184,A:AL,19,FALSE)-50),"-",(VLOOKUP($A184,'SegEnds_NonXtal_BW#'!$A:$Z,14,FALSE)+VLOOKUP($A184,A:AL,19,FALSE)-50))</f>
        <v>117</v>
      </c>
      <c r="U184" s="9">
        <f>IF(ISERROR(VLOOKUP($A184,'SegEnds_NonXtal_BW#'!$A:$Z,15,FALSE)+VLOOKUP($A184,A:AL,22,FALSE)-50),"-",VLOOKUP($A184,'SegEnds_NonXtal_BW#'!$A:$Z,15,FALSE)+VLOOKUP($A184,A:AL,22,FALSE)-50)</f>
        <v>118</v>
      </c>
      <c r="V184" s="3">
        <v>130</v>
      </c>
      <c r="W184" s="3">
        <f>IF(ISERROR(VLOOKUP($A184,'SegEnds_NonXtal_BW#'!$A:$Z,16,FALSE)+VLOOKUP($A184,A:AL,22,FALSE)-50),"-",(VLOOKUP($A184,'SegEnds_NonXtal_BW#'!$A:$Z,16,FALSE)+VLOOKUP($A184,A:AL,22,FALSE)-50))</f>
        <v>144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148</v>
      </c>
      <c r="AB184" s="3">
        <v>172</v>
      </c>
      <c r="AC184" s="3">
        <f>IF(ISERROR((VLOOKUP($A184,'SegEnds_NonXtal_BW#'!$A:$Z,20,FALSE)+VLOOKUP($A184,A:AL,28,FALSE)-50)),"-",(VLOOKUP($A184,'SegEnds_NonXtal_BW#'!$A:$Z,20,FALSE)+VLOOKUP($A184,A:AL,28,FALSE)-50))</f>
        <v>189</v>
      </c>
      <c r="AD184" s="3">
        <f>IF(ISERROR(VLOOKUP($A184,'SegEnds_NonXtal_BW#'!$A:$Z,21,FALSE)+VLOOKUP($A184,A:AL,31,FALSE)-50),"-",(VLOOKUP($A184,'SegEnds_NonXtal_BW#'!$A:$Z,21,FALSE)+VLOOKUP($A184,A:AL,31,FALSE)-50))</f>
        <v>193</v>
      </c>
      <c r="AE184" s="3">
        <v>213</v>
      </c>
      <c r="AF184" s="3">
        <f>IF(ISERROR((VLOOKUP($A184,'SegEnds_NonXtal_BW#'!$A:$Z,22,FALSE)+VLOOKUP($A184,A:AL,31,FALSE)-50)),"-",(VLOOKUP($A184,'SegEnds_NonXtal_BW#'!$A:$Z,22,FALSE)+VLOOKUP($A184,A:AL,31,FALSE)-50))</f>
        <v>224</v>
      </c>
      <c r="AG184" s="3">
        <f>IF(ISERROR(VLOOKUP($A184,'SegEnds_NonXtal_BW#'!$A:$Z,23,FALSE)+VLOOKUP($A184,A:AL,34,FALSE)-50),"-",(VLOOKUP($A184,'SegEnds_NonXtal_BW#'!$A:$Z,23,FALSE)+VLOOKUP($A184,A:AL,34,FALSE)-50))</f>
        <v>229</v>
      </c>
      <c r="AH184" s="3">
        <v>247</v>
      </c>
      <c r="AI184" s="3">
        <f>IF(ISERROR((VLOOKUP($A184,'SegEnds_NonXtal_BW#'!$A:$Z,24,FALSE)+VLOOKUP($A184,A:AL,34,FALSE)-50)),"-",(VLOOKUP($A184,'SegEnds_NonXtal_BW#'!$A:$Z,24,FALSE)+VLOOKUP($A184,A:AL,34,FALSE)-50))</f>
        <v>253</v>
      </c>
      <c r="AJ184" s="3">
        <f>IF(ISERROR(VLOOKUP($A184,'SegEnds_NonXtal_BW#'!$A:$Z,25,FALSE)+VLOOKUP($A184,A:AL,37,FALSE)-50),"-",(VLOOKUP($A184,'SegEnds_NonXtal_BW#'!$A:$Z,25,FALSE)+VLOOKUP($A184,A:AL,37,FALSE)-50))</f>
        <v>254</v>
      </c>
      <c r="AK184" s="3">
        <v>257</v>
      </c>
      <c r="AL184" s="3">
        <f>IF(ISERROR((VLOOKUP($A184,'SegEnds_NonXtal_BW#'!$A:$Z,26,FALSE)+VLOOKUP($A184,A:AL,37,FALSE)-50)),"-",(VLOOKUP($A184,'SegEnds_NonXtal_BW#'!$A:$Z,26,FALSE)+VLOOKUP($A184,A:AL,37,FALSE)-50))</f>
        <v>271</v>
      </c>
      <c r="AM184" s="28" t="str">
        <f>VLOOKUP(A184,Classification!A:B,2,FALSE)</f>
        <v>A</v>
      </c>
      <c r="AN184" s="28" t="b">
        <f t="shared" si="121"/>
        <v>1</v>
      </c>
      <c r="AO184" s="3" t="str">
        <f>IF(ISERROR(MATCH(A184,'SegEnds_Xtal_Prot#'!B:B, 0)), "NoXtal", "Xtal")</f>
        <v>NoXtal</v>
      </c>
      <c r="AP184" s="3" t="str">
        <f t="shared" si="104"/>
        <v>-</v>
      </c>
      <c r="AQ184" s="3" t="str">
        <f t="shared" si="105"/>
        <v>-</v>
      </c>
      <c r="AR184" s="3" t="str">
        <f t="shared" si="106"/>
        <v>-</v>
      </c>
      <c r="AS184" s="3" t="str">
        <f t="shared" si="107"/>
        <v>-</v>
      </c>
      <c r="AT184" s="3">
        <f t="shared" si="108"/>
        <v>1</v>
      </c>
      <c r="AU184" s="3">
        <f t="shared" si="109"/>
        <v>1</v>
      </c>
      <c r="AV184" s="3" t="str">
        <f t="shared" si="110"/>
        <v>-</v>
      </c>
      <c r="AW184" s="3" t="str">
        <f t="shared" si="111"/>
        <v>-</v>
      </c>
      <c r="AX184" s="3">
        <f t="shared" si="112"/>
        <v>4</v>
      </c>
      <c r="AY184" s="3">
        <f t="shared" si="113"/>
        <v>5</v>
      </c>
      <c r="AZ184" s="3">
        <f t="shared" si="114"/>
        <v>1</v>
      </c>
      <c r="BA184" s="3">
        <f>IF(ISERROR(LEN(VLOOKUP(A184,Seqs!A:E,2,FALSE))-AL184),"-",LEN(VLOOKUP(A184,Seqs!A:E,2,FALSE))-AL184)</f>
        <v>18</v>
      </c>
      <c r="BB184" s="16">
        <f t="shared" si="115"/>
        <v>27</v>
      </c>
      <c r="BC184" s="9">
        <f t="shared" si="116"/>
        <v>20</v>
      </c>
      <c r="BD184" s="3">
        <f t="shared" si="117"/>
        <v>27</v>
      </c>
      <c r="BE184" s="3">
        <f t="shared" si="118"/>
        <v>41</v>
      </c>
      <c r="BF184" s="3">
        <f>AH184-AE184</f>
        <v>34</v>
      </c>
    </row>
    <row r="185" spans="1:58" s="3" customFormat="1" x14ac:dyDescent="0.2">
      <c r="A185" s="3" t="s">
        <v>304</v>
      </c>
      <c r="B185" s="3" t="str">
        <f>LOWER(VLOOKUP(A185,Xtal_Templ!A:B,2,FALSE))</f>
        <v>agtr1_human</v>
      </c>
      <c r="C185" s="3">
        <f>VLOOKUP($A185,'SegEnds_NonXtal_BW#'!$A:$Z,3,FALSE)+D185-50</f>
        <v>23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0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244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21"/>
        <v>1</v>
      </c>
      <c r="AO185" s="3" t="str">
        <f>IF(ISERROR(MATCH(A185,'SegEnds_Xtal_Prot#'!B:B, 0)), "NoXtal", "Xtal")</f>
        <v>NoXtal</v>
      </c>
      <c r="AP185" s="3" t="str">
        <f t="shared" si="104"/>
        <v>-</v>
      </c>
      <c r="AQ185" s="3" t="str">
        <f t="shared" si="105"/>
        <v>-</v>
      </c>
      <c r="AR185" s="3" t="str">
        <f t="shared" si="106"/>
        <v>-</v>
      </c>
      <c r="AS185" s="3" t="str">
        <f t="shared" si="107"/>
        <v>-</v>
      </c>
      <c r="AT185" s="3">
        <f t="shared" si="108"/>
        <v>1</v>
      </c>
      <c r="AU185" s="3">
        <f t="shared" si="109"/>
        <v>1</v>
      </c>
      <c r="AV185" s="3" t="str">
        <f t="shared" si="110"/>
        <v>-</v>
      </c>
      <c r="AW185" s="3" t="str">
        <f t="shared" si="111"/>
        <v>-</v>
      </c>
      <c r="AX185" s="3">
        <f t="shared" si="112"/>
        <v>4</v>
      </c>
      <c r="AY185" s="3">
        <f t="shared" si="113"/>
        <v>2</v>
      </c>
      <c r="AZ185" s="3">
        <f t="shared" si="114"/>
        <v>1</v>
      </c>
      <c r="BA185" s="3">
        <f>IF(ISERROR(LEN(VLOOKUP(A185,Seqs!A:E,2,FALSE))-AL185),"-",LEN(VLOOKUP(A185,Seqs!A:E,2,FALSE))-AL185)</f>
        <v>32</v>
      </c>
      <c r="BB185" s="16">
        <f t="shared" si="115"/>
        <v>27</v>
      </c>
      <c r="BC185" s="9">
        <f t="shared" si="116"/>
        <v>20</v>
      </c>
      <c r="BD185" s="3">
        <f t="shared" si="117"/>
        <v>27</v>
      </c>
      <c r="BE185" s="3">
        <f t="shared" si="118"/>
        <v>42</v>
      </c>
    </row>
    <row r="186" spans="1:58" s="3" customFormat="1" x14ac:dyDescent="0.2">
      <c r="A186" s="3" t="s">
        <v>305</v>
      </c>
      <c r="B186" s="3" t="str">
        <f>LOWER(VLOOKUP(A186,Xtal_Templ!A:B,2,FALSE))</f>
        <v>c5ar1_human</v>
      </c>
      <c r="C186" s="3">
        <f>VLOOKUP($A186,'SegEnds_NonXtal_BW#'!$A:$Z,3,FALSE)+D186-50</f>
        <v>27</v>
      </c>
      <c r="D186" s="3">
        <v>48</v>
      </c>
      <c r="E186" s="3">
        <f>IF(ISERROR(VLOOKUP($A186,'SegEnds_NonXtal_BW#'!$A:$Z,4,FALSE)+VLOOKUP($A186,A:AL,4,FALSE)-50),"-",(VLOOKUP($A186,'SegEnds_NonXtal_BW#'!$A:$Z,4,FALSE)+VLOOKUP($A186,A:AL,4,FALSE)-50))</f>
        <v>58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62</v>
      </c>
      <c r="J186" s="3">
        <v>75</v>
      </c>
      <c r="K186" s="3">
        <f>VLOOKUP($A186,'SegEnds_NonXtal_BW#'!$A:$Z,8,FALSE)+VLOOKUP($A186,A:AL,10,FALSE)-50</f>
        <v>92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98</v>
      </c>
      <c r="P186" s="3">
        <v>127</v>
      </c>
      <c r="Q186" s="3">
        <f>VLOOKUP($A186,'SegEnds_NonXtal_BW#'!$A:$Z,12,FALSE)+VLOOKUP($A186,A:AL,16,FALSE)-50</f>
        <v>133</v>
      </c>
      <c r="R186" s="3">
        <f>IF(ISERROR(VLOOKUP($A186,'SegEnds_NonXtal_BW#'!$A:$Z,13,FALSE)+VLOOKUP($A186,A:AL,19,FALSE)-50),"-",VLOOKUP($A186,'SegEnds_NonXtal_BW#'!$A:$Z,13,FALSE)+VLOOKUP($A186,A:AL,19,FALSE)-50)</f>
        <v>134</v>
      </c>
      <c r="S186" s="3">
        <v>134</v>
      </c>
      <c r="T186" s="100">
        <f>IF(ISERROR(VLOOKUP($A186,'SegEnds_NonXtal_BW#'!$A:$Z,14,FALSE)+VLOOKUP($A186,A:AL,19,FALSE)-50),"-",(VLOOKUP($A186,'SegEnds_NonXtal_BW#'!$A:$Z,14,FALSE)+VLOOKUP($A186,A:AL,19,FALSE)-50))</f>
        <v>141</v>
      </c>
      <c r="U186" s="9">
        <f>IF(ISERROR(VLOOKUP($A186,'SegEnds_NonXtal_BW#'!$A:$Z,15,FALSE)+VLOOKUP($A186,A:AL,22,FALSE)-50),"-",VLOOKUP($A186,'SegEnds_NonXtal_BW#'!$A:$Z,15,FALSE)+VLOOKUP($A186,A:AL,22,FALSE)-50)</f>
        <v>142</v>
      </c>
      <c r="V186" s="3">
        <v>154</v>
      </c>
      <c r="W186" s="3">
        <f>IF(ISERROR(VLOOKUP($A186,'SegEnds_NonXtal_BW#'!$A:$Z,16,FALSE)+VLOOKUP($A186,A:AL,22,FALSE)-50),"-",(VLOOKUP($A186,'SegEnds_NonXtal_BW#'!$A:$Z,16,FALSE)+VLOOKUP($A186,A:AL,22,FALSE)-50))</f>
        <v>168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177</v>
      </c>
      <c r="AB186" s="3">
        <v>196</v>
      </c>
      <c r="AC186" s="3">
        <f>IF(ISERROR((VLOOKUP($A186,'SegEnds_NonXtal_BW#'!$A:$Z,20,FALSE)+VLOOKUP($A186,A:AL,28,FALSE)-50)),"-",(VLOOKUP($A186,'SegEnds_NonXtal_BW#'!$A:$Z,20,FALSE)+VLOOKUP($A186,A:AL,28,FALSE)-50))</f>
        <v>214</v>
      </c>
      <c r="AD186" s="3">
        <f>IF(ISERROR(VLOOKUP($A186,'SegEnds_NonXtal_BW#'!$A:$Z,21,FALSE)+VLOOKUP($A186,A:AL,31,FALSE)-50),"-",(VLOOKUP($A186,'SegEnds_NonXtal_BW#'!$A:$Z,21,FALSE)+VLOOKUP($A186,A:AL,31,FALSE)-50))</f>
        <v>218</v>
      </c>
      <c r="AE186" s="3">
        <v>238</v>
      </c>
      <c r="AF186" s="3">
        <f>IF(ISERROR((VLOOKUP($A186,'SegEnds_NonXtal_BW#'!$A:$Z,22,FALSE)+VLOOKUP($A186,A:AL,31,FALSE)-50)),"-",(VLOOKUP($A186,'SegEnds_NonXtal_BW#'!$A:$Z,22,FALSE)+VLOOKUP($A186,A:AL,31,FALSE)-50))</f>
        <v>249</v>
      </c>
      <c r="AG186" s="3">
        <f>IF(ISERROR(VLOOKUP($A186,'SegEnds_NonXtal_BW#'!$A:$Z,23,FALSE)+VLOOKUP($A186,A:AL,34,FALSE)-50),"-",(VLOOKUP($A186,'SegEnds_NonXtal_BW#'!$A:$Z,23,FALSE)+VLOOKUP($A186,A:AL,34,FALSE)-50))</f>
        <v>251</v>
      </c>
      <c r="AH186" s="3">
        <v>276</v>
      </c>
      <c r="AI186" s="3">
        <f>IF(ISERROR((VLOOKUP($A186,'SegEnds_NonXtal_BW#'!$A:$Z,24,FALSE)+VLOOKUP($A186,A:AL,34,FALSE)-50)),"-",(VLOOKUP($A186,'SegEnds_NonXtal_BW#'!$A:$Z,24,FALSE)+VLOOKUP($A186,A:AL,34,FALSE)-50))</f>
        <v>282</v>
      </c>
      <c r="AJ186" s="3">
        <f>IF(ISERROR(VLOOKUP($A186,'SegEnds_NonXtal_BW#'!$A:$Z,25,FALSE)+VLOOKUP($A186,A:AL,37,FALSE)-50),"-",(VLOOKUP($A186,'SegEnds_NonXtal_BW#'!$A:$Z,25,FALSE)+VLOOKUP($A186,A:AL,37,FALSE)-50))</f>
        <v>283</v>
      </c>
      <c r="AK186" s="3">
        <v>286</v>
      </c>
      <c r="AL186" s="3">
        <f>IF(ISERROR((VLOOKUP($A186,'SegEnds_NonXtal_BW#'!$A:$Z,26,FALSE)+VLOOKUP($A186,A:AL,37,FALSE)-50)),"-",(VLOOKUP($A186,'SegEnds_NonXtal_BW#'!$A:$Z,26,FALSE)+VLOOKUP($A186,A:AL,37,FALSE)-50))</f>
        <v>292</v>
      </c>
      <c r="AM186" s="28" t="str">
        <f>VLOOKUP(A186,Classification!A:B,2,FALSE)</f>
        <v>A</v>
      </c>
      <c r="AN186" s="28" t="b">
        <f t="shared" si="121"/>
        <v>1</v>
      </c>
      <c r="AO186" s="3" t="str">
        <f>IF(ISERROR(MATCH(A186,'SegEnds_Xtal_Prot#'!B:B, 0)), "NoXtal", "Xtal")</f>
        <v>NoXtal</v>
      </c>
      <c r="AP186" s="3" t="str">
        <f t="shared" si="104"/>
        <v>-</v>
      </c>
      <c r="AQ186" s="3" t="str">
        <f t="shared" si="105"/>
        <v>-</v>
      </c>
      <c r="AR186" s="3" t="str">
        <f t="shared" si="106"/>
        <v>-</v>
      </c>
      <c r="AS186" s="3" t="str">
        <f t="shared" si="107"/>
        <v>-</v>
      </c>
      <c r="AT186" s="3">
        <f t="shared" si="108"/>
        <v>1</v>
      </c>
      <c r="AU186" s="3">
        <f t="shared" si="109"/>
        <v>1</v>
      </c>
      <c r="AV186" s="3" t="str">
        <f t="shared" si="110"/>
        <v>-</v>
      </c>
      <c r="AW186" s="3" t="str">
        <f t="shared" si="111"/>
        <v>-</v>
      </c>
      <c r="AX186" s="3">
        <f t="shared" si="112"/>
        <v>4</v>
      </c>
      <c r="AY186" s="3">
        <f t="shared" si="113"/>
        <v>2</v>
      </c>
      <c r="AZ186" s="3">
        <f t="shared" si="114"/>
        <v>1</v>
      </c>
      <c r="BA186" s="3">
        <f>IF(ISERROR(LEN(VLOOKUP(A186,Seqs!A:E,2,FALSE))-AL186),"-",LEN(VLOOKUP(A186,Seqs!A:E,2,FALSE))-AL186)</f>
        <v>38</v>
      </c>
      <c r="BB186" s="16">
        <f t="shared" si="115"/>
        <v>27</v>
      </c>
      <c r="BC186" s="9">
        <f t="shared" si="116"/>
        <v>20</v>
      </c>
      <c r="BD186" s="3">
        <f t="shared" si="117"/>
        <v>27</v>
      </c>
      <c r="BE186" s="3">
        <f t="shared" si="118"/>
        <v>42</v>
      </c>
    </row>
    <row r="187" spans="1:58" s="3" customFormat="1" x14ac:dyDescent="0.2">
      <c r="A187" s="3" t="s">
        <v>306</v>
      </c>
      <c r="B187" s="3" t="str">
        <f>LOWER(VLOOKUP(A187,Xtal_Templ!A:B,2,FALSE))</f>
        <v>pd2r2_human</v>
      </c>
      <c r="C187" s="3">
        <f>VLOOKUP($A187,'SegEnds_NonXtal_BW#'!$A:$Z,3,FALSE)+D187-50</f>
        <v>27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165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246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293</v>
      </c>
      <c r="AM187" s="28" t="str">
        <f>VLOOKUP(A187,Classification!A:B,2,FALSE)</f>
        <v>A</v>
      </c>
      <c r="AN187" s="28" t="b">
        <f t="shared" si="121"/>
        <v>1</v>
      </c>
      <c r="AO187" s="3" t="str">
        <f>IF(ISERROR(MATCH(A187,'SegEnds_Xtal_Prot#'!B:B, 0)), "NoXtal", "Xtal")</f>
        <v>NoXtal</v>
      </c>
      <c r="AP187" s="3" t="str">
        <f t="shared" si="104"/>
        <v>-</v>
      </c>
      <c r="AQ187" s="3" t="str">
        <f t="shared" si="105"/>
        <v>-</v>
      </c>
      <c r="AR187" s="3" t="str">
        <f t="shared" si="106"/>
        <v>-</v>
      </c>
      <c r="AS187" s="3" t="str">
        <f t="shared" si="107"/>
        <v>-</v>
      </c>
      <c r="AT187" s="3">
        <f t="shared" si="108"/>
        <v>1</v>
      </c>
      <c r="AU187" s="3">
        <f t="shared" si="109"/>
        <v>1</v>
      </c>
      <c r="AV187" s="3" t="str">
        <f t="shared" si="110"/>
        <v>-</v>
      </c>
      <c r="AW187" s="3" t="str">
        <f t="shared" si="111"/>
        <v>-</v>
      </c>
      <c r="AX187" s="3">
        <f t="shared" si="112"/>
        <v>4</v>
      </c>
      <c r="AY187" s="3">
        <f t="shared" si="113"/>
        <v>4</v>
      </c>
      <c r="AZ187" s="3">
        <f t="shared" si="114"/>
        <v>1</v>
      </c>
      <c r="BA187" s="3">
        <f>IF(ISERROR(LEN(VLOOKUP(A187,Seqs!A:E,2,FALSE))-AL187),"-",LEN(VLOOKUP(A187,Seqs!A:E,2,FALSE))-AL187)</f>
        <v>29</v>
      </c>
      <c r="BB187" s="16">
        <f t="shared" si="115"/>
        <v>27</v>
      </c>
      <c r="BC187" s="9">
        <f t="shared" si="116"/>
        <v>20</v>
      </c>
      <c r="BD187" s="3">
        <f t="shared" si="117"/>
        <v>27</v>
      </c>
      <c r="BE187" s="3">
        <f t="shared" si="118"/>
        <v>42</v>
      </c>
    </row>
    <row r="188" spans="1:58" s="3" customFormat="1" x14ac:dyDescent="0.2">
      <c r="A188" s="3" t="s">
        <v>307</v>
      </c>
      <c r="B188" s="3" t="str">
        <f>LOWER(VLOOKUP(A188,Xtal_Templ!A:B,2,FALSE))</f>
        <v>c5ar1_human</v>
      </c>
      <c r="C188" s="3">
        <f>VLOOKUP($A188,'SegEnds_NonXtal_BW#'!$A:$Z,3,FALSE)+D188-50</f>
        <v>24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 t="str">
        <f>IF(ISERROR(VLOOKUP($A188,'SegEnds_NonXtal_BW#'!$A:$Z,5,FALSE)+VLOOKUP($A188,A:AL,7,FALSE)-50),"-",(VLOOKUP($A188,'SegEnds_NonXtal_BW#'!$A:$Z,5,FALSE)+VLOOKUP($A188,A:AL,7,FALSE)-50))</f>
        <v>-</v>
      </c>
      <c r="G188" s="3" t="s">
        <v>23</v>
      </c>
      <c r="H188" s="3" t="str">
        <f>IF(ISERROR(VLOOKUP($A188,'SegEnds_NonXtal_BW#'!$A:$Z,6,FALSE)+VLOOKUP($A188,A:AL,7,FALSE)-50),"-",(VLOOKUP($A188,'SegEnds_NonXtal_BW#'!$A:$Z,6,FALSE)+VLOOKUP($A188,A:AL,7,FALSE)-50))</f>
        <v>-</v>
      </c>
      <c r="I188" s="3">
        <f>VLOOKUP($A188,'SegEnds_NonXtal_BW#'!$A:$Z,7,FALSE)+J188-50</f>
        <v>59</v>
      </c>
      <c r="J188" s="3">
        <v>72</v>
      </c>
      <c r="K188" s="3">
        <f>VLOOKUP($A188,'SegEnds_NonXtal_BW#'!$A:$Z,8,FALSE)+VLOOKUP($A188,A:AL,10,FALSE)-50</f>
        <v>88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94</v>
      </c>
      <c r="P188" s="3">
        <v>120</v>
      </c>
      <c r="Q188" s="3">
        <f>VLOOKUP($A188,'SegEnds_NonXtal_BW#'!$A:$Z,12,FALSE)+VLOOKUP($A188,A:AL,16,FALSE)-50</f>
        <v>126</v>
      </c>
      <c r="R188" s="3">
        <f>IF(ISERROR(VLOOKUP($A188,'SegEnds_NonXtal_BW#'!$A:$Z,13,FALSE)+VLOOKUP($A188,A:AL,19,FALSE)-50),"-",VLOOKUP($A188,'SegEnds_NonXtal_BW#'!$A:$Z,13,FALSE)+VLOOKUP($A188,A:AL,19,FALSE)-50)</f>
        <v>127</v>
      </c>
      <c r="S188" s="3">
        <v>127</v>
      </c>
      <c r="T188" s="100">
        <f>IF(ISERROR(VLOOKUP($A188,'SegEnds_NonXtal_BW#'!$A:$Z,14,FALSE)+VLOOKUP($A188,A:AL,19,FALSE)-50),"-",(VLOOKUP($A188,'SegEnds_NonXtal_BW#'!$A:$Z,14,FALSE)+VLOOKUP($A188,A:AL,19,FALSE)-50))</f>
        <v>134</v>
      </c>
      <c r="U188" s="9">
        <f>IF(ISERROR(VLOOKUP($A188,'SegEnds_NonXtal_BW#'!$A:$Z,15,FALSE)+VLOOKUP($A188,A:AL,22,FALSE)-50),"-",VLOOKUP($A188,'SegEnds_NonXtal_BW#'!$A:$Z,15,FALSE)+VLOOKUP($A188,A:AL,22,FALSE)-50)</f>
        <v>135</v>
      </c>
      <c r="V188" s="3">
        <v>147</v>
      </c>
      <c r="W188" s="3">
        <f>IF(ISERROR(VLOOKUP($A188,'SegEnds_NonXtal_BW#'!$A:$Z,16,FALSE)+VLOOKUP($A188,A:AL,22,FALSE)-50),"-",(VLOOKUP($A188,'SegEnds_NonXtal_BW#'!$A:$Z,16,FALSE)+VLOOKUP($A188,A:AL,22,FALSE)-50))</f>
        <v>161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170</v>
      </c>
      <c r="AB188" s="3">
        <v>189</v>
      </c>
      <c r="AC188" s="3">
        <f>IF(ISERROR((VLOOKUP($A188,'SegEnds_NonXtal_BW#'!$A:$Z,20,FALSE)+VLOOKUP($A188,A:AL,28,FALSE)-50)),"-",(VLOOKUP($A188,'SegEnds_NonXtal_BW#'!$A:$Z,20,FALSE)+VLOOKUP($A188,A:AL,28,FALSE)-50))</f>
        <v>207</v>
      </c>
      <c r="AD188" s="3">
        <f>IF(ISERROR(VLOOKUP($A188,'SegEnds_NonXtal_BW#'!$A:$Z,21,FALSE)+VLOOKUP($A188,A:AL,31,FALSE)-50),"-",(VLOOKUP($A188,'SegEnds_NonXtal_BW#'!$A:$Z,21,FALSE)+VLOOKUP($A188,A:AL,31,FALSE)-50))</f>
        <v>211</v>
      </c>
      <c r="AE188" s="3">
        <v>231</v>
      </c>
      <c r="AF188" s="3">
        <f>IF(ISERROR((VLOOKUP($A188,'SegEnds_NonXtal_BW#'!$A:$Z,22,FALSE)+VLOOKUP($A188,A:AL,31,FALSE)-50)),"-",(VLOOKUP($A188,'SegEnds_NonXtal_BW#'!$A:$Z,22,FALSE)+VLOOKUP($A188,A:AL,31,FALSE)-50))</f>
        <v>242</v>
      </c>
      <c r="AG188" s="3">
        <f>IF(ISERROR(VLOOKUP($A188,'SegEnds_NonXtal_BW#'!$A:$Z,23,FALSE)+VLOOKUP($A188,A:AL,34,FALSE)-50),"-",(VLOOKUP($A188,'SegEnds_NonXtal_BW#'!$A:$Z,23,FALSE)+VLOOKUP($A188,A:AL,34,FALSE)-50))</f>
        <v>244</v>
      </c>
      <c r="AH188" s="3">
        <v>269</v>
      </c>
      <c r="AI188" s="3">
        <f>IF(ISERROR((VLOOKUP($A188,'SegEnds_NonXtal_BW#'!$A:$Z,24,FALSE)+VLOOKUP($A188,A:AL,34,FALSE)-50)),"-",(VLOOKUP($A188,'SegEnds_NonXtal_BW#'!$A:$Z,24,FALSE)+VLOOKUP($A188,A:AL,34,FALSE)-50))</f>
        <v>275</v>
      </c>
      <c r="AJ188" s="3">
        <f>IF(ISERROR(VLOOKUP($A188,'SegEnds_NonXtal_BW#'!$A:$Z,25,FALSE)+VLOOKUP($A188,A:AL,37,FALSE)-50),"-",(VLOOKUP($A188,'SegEnds_NonXtal_BW#'!$A:$Z,25,FALSE)+VLOOKUP($A188,A:AL,37,FALSE)-50))</f>
        <v>276</v>
      </c>
      <c r="AK188" s="3">
        <v>279</v>
      </c>
      <c r="AL188" s="3">
        <f>IF(ISERROR((VLOOKUP($A188,'SegEnds_NonXtal_BW#'!$A:$Z,26,FALSE)+VLOOKUP($A188,A:AL,37,FALSE)-50)),"-",(VLOOKUP($A188,'SegEnds_NonXtal_BW#'!$A:$Z,26,FALSE)+VLOOKUP($A188,A:AL,37,FALSE)-50))</f>
        <v>285</v>
      </c>
      <c r="AM188" s="28" t="str">
        <f>VLOOKUP(A188,Classification!A:B,2,FALSE)</f>
        <v>A</v>
      </c>
      <c r="AN188" s="28" t="b">
        <f t="shared" si="121"/>
        <v>1</v>
      </c>
      <c r="AO188" s="3" t="str">
        <f>IF(ISERROR(MATCH(A188,'SegEnds_Xtal_Prot#'!B:B, 0)), "NoXtal", "Xtal")</f>
        <v>NoXtal</v>
      </c>
      <c r="AP188" s="3" t="str">
        <f t="shared" si="104"/>
        <v>-</v>
      </c>
      <c r="AQ188" s="3" t="str">
        <f t="shared" si="105"/>
        <v>-</v>
      </c>
      <c r="AR188" s="3" t="str">
        <f t="shared" si="106"/>
        <v>-</v>
      </c>
      <c r="AS188" s="3" t="str">
        <f t="shared" si="107"/>
        <v>-</v>
      </c>
      <c r="AT188" s="3">
        <f t="shared" si="108"/>
        <v>1</v>
      </c>
      <c r="AU188" s="3">
        <f t="shared" si="109"/>
        <v>1</v>
      </c>
      <c r="AV188" s="3" t="str">
        <f t="shared" si="110"/>
        <v>-</v>
      </c>
      <c r="AW188" s="3" t="str">
        <f t="shared" si="111"/>
        <v>-</v>
      </c>
      <c r="AX188" s="3">
        <f t="shared" si="112"/>
        <v>4</v>
      </c>
      <c r="AY188" s="3">
        <f t="shared" si="113"/>
        <v>2</v>
      </c>
      <c r="AZ188" s="3">
        <f t="shared" si="114"/>
        <v>1</v>
      </c>
      <c r="BA188" s="3">
        <f>IF(ISERROR(LEN(VLOOKUP(A188,Seqs!A:E,2,FALSE))-AL188),"-",LEN(VLOOKUP(A188,Seqs!A:E,2,FALSE))-AL188)</f>
        <v>37</v>
      </c>
      <c r="BB188" s="16">
        <f t="shared" si="115"/>
        <v>27</v>
      </c>
      <c r="BC188" s="9">
        <f t="shared" si="116"/>
        <v>20</v>
      </c>
      <c r="BD188" s="3">
        <f t="shared" si="117"/>
        <v>27</v>
      </c>
      <c r="BE188" s="3">
        <f t="shared" si="118"/>
        <v>42</v>
      </c>
    </row>
    <row r="189" spans="1:58" s="3" customFormat="1" x14ac:dyDescent="0.2">
      <c r="A189" s="3" t="s">
        <v>308</v>
      </c>
      <c r="B189" s="3" t="str">
        <f>LOWER(VLOOKUP(A189,Xtal_Templ!A:B,2,FALSE))</f>
        <v>mc4r_human</v>
      </c>
      <c r="C189" s="3">
        <f>VLOOKUP($A189,'SegEnds_NonXtal_BW#'!$A:$Z,3,FALSE)+D189-50</f>
        <v>41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ref="F189:F196" si="135">G189-2</f>
        <v>67</v>
      </c>
      <c r="G189" s="3">
        <v>69</v>
      </c>
      <c r="H189" s="3">
        <f t="shared" ref="H189:I196" si="136">G189+1</f>
        <v>70</v>
      </c>
      <c r="I189" s="3">
        <f t="shared" si="136"/>
        <v>71</v>
      </c>
      <c r="J189" s="3">
        <v>84</v>
      </c>
      <c r="K189" s="3">
        <f>VLOOKUP($A189,'SegEnds_NonXtal_BW#'!$A:$Z,8,FALSE)+VLOOKUP($A189,A:AL,10,FALSE)-50</f>
        <v>101</v>
      </c>
      <c r="L189" s="3" t="str">
        <f>IF(ISERROR(VLOOKUP($A189,'SegEnds_NonXtal_BW#'!$A:$Z,9,FALSE)+VLOOKUP($A189,A:AL,13,FALSE)-50),"-",(VLOOKUP($A189,'SegEnds_NonXtal_BW#'!$A:$Z,9,FALSE)+VLOOKUP($A189,A:AL,13,FALSE)-50))</f>
        <v>-</v>
      </c>
      <c r="M189" s="3" t="s">
        <v>23</v>
      </c>
      <c r="N189" s="3" t="str">
        <f>IF(ISERROR(VLOOKUP($A189,'SegEnds_NonXtal_BW#'!$A:$Z,10,FALSE)+VLOOKUP($A189,A:AL,13,FALSE)-50),"-",(VLOOKUP($A189,'SegEnds_NonXtal_BW#'!$A:$Z,10,FALSE)+VLOOKUP($A189,A:AL,13,FALSE)-50))</f>
        <v>-</v>
      </c>
      <c r="O189" s="3">
        <f>VLOOKUP($A189,'SegEnds_NonXtal_BW#'!$A:$Z,11,FALSE)+VLOOKUP($A189,A:AL,16,FALSE)-50</f>
        <v>110</v>
      </c>
      <c r="P189" s="3">
        <v>142</v>
      </c>
      <c r="Q189" s="3">
        <f>VLOOKUP($A189,'SegEnds_NonXtal_BW#'!$A:$Z,12,FALSE)+VLOOKUP($A189,A:AL,16,FALSE)-50</f>
        <v>148</v>
      </c>
      <c r="R189" s="3">
        <f>S189</f>
        <v>149</v>
      </c>
      <c r="S189" s="3">
        <v>149</v>
      </c>
      <c r="T189" s="100">
        <f>S189+7</f>
        <v>156</v>
      </c>
      <c r="U189" s="9">
        <f>IF(ISERROR(VLOOKUP($A189,'SegEnds_NonXtal_BW#'!$A:$Z,15,FALSE)+VLOOKUP($A189,A:AL,22,FALSE)-50),"-",VLOOKUP($A189,'SegEnds_NonXtal_BW#'!$A:$Z,15,FALSE)+VLOOKUP($A189,A:AL,22,FALSE)-50)</f>
        <v>157</v>
      </c>
      <c r="V189" s="3">
        <v>169</v>
      </c>
      <c r="W189" s="3">
        <f>IF(ISERROR(VLOOKUP($A189,'SegEnds_NonXtal_BW#'!$A:$Z,16,FALSE)+VLOOKUP($A189,A:AL,22,FALSE)-50),"-",(VLOOKUP($A189,'SegEnds_NonXtal_BW#'!$A:$Z,16,FALSE)+VLOOKUP($A189,A:AL,22,FALSE)-50))</f>
        <v>183</v>
      </c>
      <c r="X189" s="3" t="str">
        <f>IF(ISERROR(VLOOKUP($A189,'SegEnds_NonXtal_BW#'!$A:$Z,17,FALSE)+VLOOKUP($A189,A:AL,25,FALSE)-50),"-",(VLOOKUP($A189,'SegEnds_NonXtal_BW#'!$A:$Z,17,FALSE)+VLOOKUP($A189,A:AL,25,FALSE)-50))</f>
        <v>-</v>
      </c>
      <c r="Y189" s="3" t="s">
        <v>23</v>
      </c>
      <c r="Z189" s="3" t="str">
        <f>IF(ISERROR(VLOOKUP($A189,'SegEnds_NonXtal_BW#'!$A:$Z,18,FALSE)+VLOOKUP($A189,A:AL,25,FALSE)-50),"-",(VLOOKUP($A189,'SegEnds_NonXtal_BW#'!$A:$Z,18,FALSE)+VLOOKUP($A189,A:AL,25,FALSE)-50))</f>
        <v>-</v>
      </c>
      <c r="AA189" s="3">
        <f>IF(ISERROR(VLOOKUP($A189,'SegEnds_NonXtal_BW#'!$A:$Z,19,FALSE)+VLOOKUP($A189,A:AL,28,FALSE)-50),"-",(VLOOKUP($A189,'SegEnds_NonXtal_BW#'!$A:$Z,19,FALSE)+VLOOKUP($A189,A:AL,28,FALSE)-50))</f>
        <v>185</v>
      </c>
      <c r="AB189" s="9">
        <v>199</v>
      </c>
      <c r="AC189" s="3">
        <f>IF(ISERROR((VLOOKUP($A189,'SegEnds_NonXtal_BW#'!$A:$Z,20,FALSE)+VLOOKUP($A189,A:AL,28,FALSE)-50)),"-",(VLOOKUP($A189,'SegEnds_NonXtal_BW#'!$A:$Z,20,FALSE)+VLOOKUP($A189,A:AL,28,FALSE)-50))</f>
        <v>222</v>
      </c>
      <c r="AD189" s="3">
        <f>IF(ISERROR(VLOOKUP($A189,'SegEnds_NonXtal_BW#'!$A:$Z,21,FALSE)+VLOOKUP($A189,A:AL,31,FALSE)-50),"-",(VLOOKUP($A189,'SegEnds_NonXtal_BW#'!$A:$Z,21,FALSE)+VLOOKUP($A189,A:AL,31,FALSE)-50))</f>
        <v>233</v>
      </c>
      <c r="AE189" s="3">
        <v>256</v>
      </c>
      <c r="AF189" s="3">
        <f>IF(ISERROR((VLOOKUP($A189,'SegEnds_NonXtal_BW#'!$A:$Z,22,FALSE)+VLOOKUP($A189,A:AL,31,FALSE)-50)),"-",(VLOOKUP($A189,'SegEnds_NonXtal_BW#'!$A:$Z,22,FALSE)+VLOOKUP($A189,A:AL,31,FALSE)-50))</f>
        <v>267</v>
      </c>
      <c r="AG189" s="3">
        <f>IF(ISERROR(VLOOKUP($A189,'SegEnds_NonXtal_BW#'!$A:$Z,23,FALSE)+VLOOKUP($A189,A:AL,34,FALSE)-50),"-",(VLOOKUP($A189,'SegEnds_NonXtal_BW#'!$A:$Z,23,FALSE)+VLOOKUP($A189,A:AL,34,FALSE)-50))</f>
        <v>279</v>
      </c>
      <c r="AH189" s="3">
        <v>295</v>
      </c>
      <c r="AI189" s="3">
        <f>IF(ISERROR((VLOOKUP($A189,'SegEnds_NonXtal_BW#'!$A:$Z,24,FALSE)+VLOOKUP($A189,A:AL,34,FALSE)-50)),"-",(VLOOKUP($A189,'SegEnds_NonXtal_BW#'!$A:$Z,24,FALSE)+VLOOKUP($A189,A:AL,34,FALSE)-50))</f>
        <v>301</v>
      </c>
      <c r="AJ189" s="3">
        <f>IF(ISERROR(VLOOKUP($A189,'SegEnds_NonXtal_BW#'!$A:$Z,25,FALSE)+VLOOKUP($A189,A:AL,37,FALSE)-50),"-",(VLOOKUP($A189,'SegEnds_NonXtal_BW#'!$A:$Z,25,FALSE)+VLOOKUP($A189,A:AL,37,FALSE)-50))</f>
        <v>302</v>
      </c>
      <c r="AK189" s="3">
        <v>305</v>
      </c>
      <c r="AL189" s="3">
        <f>IF(ISERROR((VLOOKUP($A189,'SegEnds_NonXtal_BW#'!$A:$Z,26,FALSE)+VLOOKUP($A189,A:AL,37,FALSE)-50)),"-",(VLOOKUP($A189,'SegEnds_NonXtal_BW#'!$A:$Z,26,FALSE)+VLOOKUP($A189,A:AL,37,FALSE)-50))</f>
        <v>316</v>
      </c>
      <c r="AM189" s="28" t="str">
        <f>VLOOKUP(A189,Classification!A:B,2,FALSE)</f>
        <v>A</v>
      </c>
      <c r="AN189" s="28" t="b">
        <f>AND(IF(Y189="-",IF(AA189-W189&gt;1,TRUE,FALSE),TRUE),IF(M189="-",IF(O189-K189&gt;3,TRUE,FALSE),TRUE),IF(AG189-AF189&gt;1,TRUE,FALS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 t="shared" si="104"/>
        <v>1</v>
      </c>
      <c r="AQ189" s="3">
        <f t="shared" si="105"/>
        <v>1</v>
      </c>
      <c r="AR189" s="3" t="str">
        <f t="shared" si="106"/>
        <v>-</v>
      </c>
      <c r="AS189" s="3" t="str">
        <f t="shared" si="107"/>
        <v>-</v>
      </c>
      <c r="AT189" s="3">
        <f t="shared" si="108"/>
        <v>1</v>
      </c>
      <c r="AU189" s="3">
        <f t="shared" si="109"/>
        <v>1</v>
      </c>
      <c r="AV189" s="3" t="str">
        <f t="shared" si="110"/>
        <v>-</v>
      </c>
      <c r="AW189" s="3" t="str">
        <f t="shared" si="111"/>
        <v>-</v>
      </c>
      <c r="AX189" s="3">
        <f t="shared" si="112"/>
        <v>11</v>
      </c>
      <c r="AY189" s="3">
        <f t="shared" si="113"/>
        <v>12</v>
      </c>
      <c r="AZ189" s="3">
        <f t="shared" si="114"/>
        <v>1</v>
      </c>
      <c r="BA189" s="3">
        <f>IF(ISERROR(LEN(VLOOKUP(A189,Seqs!A:E,2,FALSE))-AL189),"-",LEN(VLOOKUP(A189,Seqs!A:E,2,FALSE))-AL189)</f>
        <v>1</v>
      </c>
      <c r="BB189" s="16">
        <f t="shared" si="115"/>
        <v>28</v>
      </c>
      <c r="BC189" s="9">
        <f t="shared" si="116"/>
        <v>20</v>
      </c>
      <c r="BD189" s="3">
        <f t="shared" si="117"/>
        <v>28</v>
      </c>
      <c r="BE189" s="3">
        <f t="shared" si="118"/>
        <v>57</v>
      </c>
      <c r="BF189" s="3">
        <f>AH189-AE189</f>
        <v>39</v>
      </c>
    </row>
    <row r="190" spans="1:58" s="3" customFormat="1" x14ac:dyDescent="0.2">
      <c r="A190" s="3" t="s">
        <v>309</v>
      </c>
      <c r="B190" s="3" t="str">
        <f>LOWER(VLOOKUP(A190,Xtal_Templ!A:B,2,FALSE))</f>
        <v>ntr1_human</v>
      </c>
      <c r="C190" s="3">
        <f>VLOOKUP($A190,'SegEnds_NonXtal_BW#'!$A:$Z,3,FALSE)+D190-50</f>
        <v>34</v>
      </c>
      <c r="D190" s="3">
        <v>56</v>
      </c>
      <c r="E190" s="3">
        <f>IF(ISERROR(VLOOKUP($A190,'SegEnds_NonXtal_BW#'!$A:$Z,4,FALSE)+VLOOKUP($A190,A:AL,4,FALSE)-50),"-",(VLOOKUP($A190,'SegEnds_NonXtal_BW#'!$A:$Z,4,FALSE)+VLOOKUP($A190,A:AL,4,FALSE)-50))</f>
        <v>66</v>
      </c>
      <c r="F190" s="3">
        <f t="shared" si="135"/>
        <v>67</v>
      </c>
      <c r="G190" s="3">
        <v>69</v>
      </c>
      <c r="H190" s="3">
        <f t="shared" si="136"/>
        <v>70</v>
      </c>
      <c r="I190" s="3">
        <f t="shared" si="136"/>
        <v>71</v>
      </c>
      <c r="J190" s="3">
        <v>84</v>
      </c>
      <c r="K190" s="3">
        <f>VLOOKUP($A190,'SegEnds_NonXtal_BW#'!$A:$Z,8,FALSE)+VLOOKUP($A190,A:AL,10,FALSE)-50</f>
        <v>101</v>
      </c>
      <c r="L190" s="3">
        <f t="shared" ref="L190:L197" si="137">M190-1</f>
        <v>103</v>
      </c>
      <c r="M190" s="3">
        <v>104</v>
      </c>
      <c r="N190" s="3">
        <f t="shared" ref="N190:N197" si="138">M190+2</f>
        <v>106</v>
      </c>
      <c r="O190" s="3">
        <f t="shared" ref="O190:O215" si="139">N190+1</f>
        <v>107</v>
      </c>
      <c r="P190" s="3">
        <v>136</v>
      </c>
      <c r="Q190" s="3">
        <f>VLOOKUP($A190,'SegEnds_NonXtal_BW#'!$A:$Z,12,FALSE)+VLOOKUP($A190,A:AL,16,FALSE)-50</f>
        <v>142</v>
      </c>
      <c r="R190" s="3">
        <f>IF(ISERROR(VLOOKUP($A190,'SegEnds_NonXtal_BW#'!$A:$Z,13,FALSE)+VLOOKUP($A190,A:AL,19,FALSE)-50),"-",VLOOKUP($A190,'SegEnds_NonXtal_BW#'!$A:$Z,13,FALSE)+VLOOKUP($A190,A:AL,19,FALSE)-50)</f>
        <v>143</v>
      </c>
      <c r="S190" s="3">
        <v>143</v>
      </c>
      <c r="T190" s="100">
        <f>IF(ISERROR(VLOOKUP($A190,'SegEnds_NonXtal_BW#'!$A:$Z,14,FALSE)+VLOOKUP($A190,A:AL,19,FALSE)-50),"-",(VLOOKUP($A190,'SegEnds_NonXtal_BW#'!$A:$Z,14,FALSE)+VLOOKUP($A190,A:AL,19,FALSE)-50))</f>
        <v>150</v>
      </c>
      <c r="U190" s="9">
        <f>IF(ISERROR(VLOOKUP($A190,'SegEnds_NonXtal_BW#'!$A:$Z,15,FALSE)+VLOOKUP($A190,A:AL,22,FALSE)-50),"-",VLOOKUP($A190,'SegEnds_NonXtal_BW#'!$A:$Z,15,FALSE)+VLOOKUP($A190,A:AL,22,FALSE)-50)</f>
        <v>151</v>
      </c>
      <c r="V190" s="3">
        <v>163</v>
      </c>
      <c r="W190" s="3">
        <f>IF(ISERROR(VLOOKUP($A190,'SegEnds_NonXtal_BW#'!$A:$Z,16,FALSE)+VLOOKUP($A190,A:AL,22,FALSE)-50),"-",(VLOOKUP($A190,'SegEnds_NonXtal_BW#'!$A:$Z,16,FALSE)+VLOOKUP($A190,A:AL,22,FALSE)-50))</f>
        <v>177</v>
      </c>
      <c r="X190" s="3">
        <f>IF(ISERROR(VLOOKUP($A190,'SegEnds_NonXtal_BW#'!$A:$Z,17,FALSE)+VLOOKUP($A190,A:AL,25,FALSE)-50),"-",(VLOOKUP($A190,'SegEnds_NonXtal_BW#'!$A:$Z,17,FALSE)+VLOOKUP($A190,A:AL,25,FALSE)-50))</f>
        <v>235</v>
      </c>
      <c r="Y190" s="3">
        <v>235</v>
      </c>
      <c r="Z190" s="3">
        <f t="shared" ref="Z190:Z226" si="140">Y190+2</f>
        <v>237</v>
      </c>
      <c r="AA190" s="3">
        <f>IF(ISERROR(VLOOKUP($A190,'SegEnds_NonXtal_BW#'!$A:$Z,19,FALSE)+VLOOKUP($A190,A:AL,28,FALSE)-50),"-",(VLOOKUP($A190,'SegEnds_NonXtal_BW#'!$A:$Z,19,FALSE)+VLOOKUP($A190,A:AL,28,FALSE)-50))</f>
        <v>240</v>
      </c>
      <c r="AB190" s="3">
        <v>259</v>
      </c>
      <c r="AC190" s="3">
        <f>IF(ISERROR((VLOOKUP($A190,'SegEnds_NonXtal_BW#'!$A:$Z,20,FALSE)+VLOOKUP($A190,A:AL,28,FALSE)-50)),"-",(VLOOKUP($A190,'SegEnds_NonXtal_BW#'!$A:$Z,20,FALSE)+VLOOKUP($A190,A:AL,28,FALSE)-50))</f>
        <v>281</v>
      </c>
      <c r="AD190" s="3">
        <f>IF(ISERROR(VLOOKUP($A190,'SegEnds_NonXtal_BW#'!$A:$Z,21,FALSE)+VLOOKUP($A190,A:AL,31,FALSE)-50),"-",(VLOOKUP($A190,'SegEnds_NonXtal_BW#'!$A:$Z,21,FALSE)+VLOOKUP($A190,A:AL,31,FALSE)-50))</f>
        <v>287</v>
      </c>
      <c r="AE190" s="3">
        <v>313</v>
      </c>
      <c r="AF190" s="3">
        <f>IF(ISERROR((VLOOKUP($A190,'SegEnds_NonXtal_BW#'!$A:$Z,22,FALSE)+VLOOKUP($A190,A:AL,31,FALSE)-50)),"-",(VLOOKUP($A190,'SegEnds_NonXtal_BW#'!$A:$Z,22,FALSE)+VLOOKUP($A190,A:AL,31,FALSE)-50))</f>
        <v>324</v>
      </c>
      <c r="AG190" s="3">
        <f>IF(ISERROR(VLOOKUP($A190,'SegEnds_NonXtal_BW#'!$A:$Z,23,FALSE)+VLOOKUP($A190,A:AL,34,FALSE)-50),"-",(VLOOKUP($A190,'SegEnds_NonXtal_BW#'!$A:$Z,23,FALSE)+VLOOKUP($A190,A:AL,34,FALSE)-50))</f>
        <v>326</v>
      </c>
      <c r="AH190" s="3">
        <v>352</v>
      </c>
      <c r="AI190" s="3">
        <f>IF(ISERROR((VLOOKUP($A190,'SegEnds_NonXtal_BW#'!$A:$Z,24,FALSE)+VLOOKUP($A190,A:AL,34,FALSE)-50)),"-",(VLOOKUP($A190,'SegEnds_NonXtal_BW#'!$A:$Z,24,FALSE)+VLOOKUP($A190,A:AL,34,FALSE)-50))</f>
        <v>358</v>
      </c>
      <c r="AJ190" s="3">
        <f>IF(ISERROR(VLOOKUP($A190,'SegEnds_NonXtal_BW#'!$A:$Z,25,FALSE)+VLOOKUP($A190,A:AL,37,FALSE)-50),"-",(VLOOKUP($A190,'SegEnds_NonXtal_BW#'!$A:$Z,25,FALSE)+VLOOKUP($A190,A:AL,37,FALSE)-50))</f>
        <v>359</v>
      </c>
      <c r="AK190" s="3">
        <v>362</v>
      </c>
      <c r="AL190" s="3">
        <f>IF(ISERROR((VLOOKUP($A190,'SegEnds_NonXtal_BW#'!$A:$Z,26,FALSE)+VLOOKUP($A190,A:AL,37,FALSE)-50)),"-",(VLOOKUP($A190,'SegEnds_NonXtal_BW#'!$A:$Z,26,FALSE)+VLOOKUP($A190,A:AL,37,FALSE)-50))</f>
        <v>374</v>
      </c>
      <c r="AM190" s="28" t="str">
        <f>VLOOKUP(A190,Classification!A:B,2,FALSE)</f>
        <v>A</v>
      </c>
      <c r="AN190" s="28" t="b">
        <f t="shared" si="121"/>
        <v>1</v>
      </c>
      <c r="AO190" s="3" t="str">
        <f>IF(ISERROR(MATCH(A190,'SegEnds_Xtal_Prot#'!B:B, 0)), "NoXtal", "Xtal")</f>
        <v>NoXtal</v>
      </c>
      <c r="AP190" s="3">
        <f t="shared" si="104"/>
        <v>1</v>
      </c>
      <c r="AQ190" s="3">
        <f t="shared" si="105"/>
        <v>1</v>
      </c>
      <c r="AR190" s="3">
        <f t="shared" si="106"/>
        <v>2</v>
      </c>
      <c r="AS190" s="3">
        <f t="shared" si="107"/>
        <v>1</v>
      </c>
      <c r="AT190" s="3">
        <f t="shared" si="108"/>
        <v>1</v>
      </c>
      <c r="AU190" s="3">
        <f t="shared" si="109"/>
        <v>1</v>
      </c>
      <c r="AV190" s="3">
        <f t="shared" si="110"/>
        <v>58</v>
      </c>
      <c r="AW190" s="3">
        <f t="shared" si="111"/>
        <v>3</v>
      </c>
      <c r="AX190" s="3">
        <f t="shared" si="112"/>
        <v>6</v>
      </c>
      <c r="AY190" s="3">
        <f t="shared" si="113"/>
        <v>2</v>
      </c>
      <c r="AZ190" s="3">
        <f t="shared" si="114"/>
        <v>1</v>
      </c>
      <c r="BA190" s="3">
        <f>IF(ISERROR(LEN(VLOOKUP(A190,Seqs!A:E,2,FALSE))-AL190),"-",LEN(VLOOKUP(A190,Seqs!A:E,2,FALSE))-AL190)</f>
        <v>38</v>
      </c>
      <c r="BB190" s="16">
        <f t="shared" si="115"/>
        <v>28</v>
      </c>
      <c r="BC190" s="9">
        <f t="shared" si="116"/>
        <v>20</v>
      </c>
      <c r="BD190" s="3">
        <f t="shared" si="117"/>
        <v>28</v>
      </c>
      <c r="BE190" s="3">
        <f t="shared" si="118"/>
        <v>54</v>
      </c>
    </row>
    <row r="191" spans="1:58" s="3" customFormat="1" x14ac:dyDescent="0.2">
      <c r="A191" s="3" t="s">
        <v>310</v>
      </c>
      <c r="B191" s="3" t="str">
        <f>LOWER(VLOOKUP(A191,Xtal_Templ!A:B,2,FALSE))</f>
        <v>mtr1a_human</v>
      </c>
      <c r="C191" s="3">
        <f>VLOOKUP($A191,'SegEnds_NonXtal_BW#'!$A:$Z,3,FALSE)+D191-50</f>
        <v>23</v>
      </c>
      <c r="D191" s="3">
        <v>45</v>
      </c>
      <c r="E191" s="3">
        <f>IF(ISERROR(VLOOKUP($A191,'SegEnds_NonXtal_BW#'!$A:$Z,4,FALSE)+VLOOKUP($A191,A:AL,4,FALSE)-50),"-",(VLOOKUP($A191,'SegEnds_NonXtal_BW#'!$A:$Z,4,FALSE)+VLOOKUP($A191,A:AL,4,FALSE)-50))</f>
        <v>55</v>
      </c>
      <c r="F191" s="3">
        <f t="shared" si="135"/>
        <v>56</v>
      </c>
      <c r="G191" s="3">
        <v>58</v>
      </c>
      <c r="H191" s="3">
        <f t="shared" si="136"/>
        <v>59</v>
      </c>
      <c r="I191" s="3">
        <f t="shared" si="136"/>
        <v>60</v>
      </c>
      <c r="J191" s="3">
        <v>73</v>
      </c>
      <c r="K191" s="3">
        <f>VLOOKUP($A191,'SegEnds_NonXtal_BW#'!$A:$Z,8,FALSE)+VLOOKUP($A191,A:AL,10,FALSE)-50</f>
        <v>91</v>
      </c>
      <c r="L191" s="3">
        <f t="shared" si="137"/>
        <v>92</v>
      </c>
      <c r="M191" s="3">
        <v>93</v>
      </c>
      <c r="N191" s="3">
        <f t="shared" si="138"/>
        <v>95</v>
      </c>
      <c r="O191" s="3">
        <f t="shared" si="139"/>
        <v>96</v>
      </c>
      <c r="P191" s="3">
        <v>125</v>
      </c>
      <c r="Q191" s="3">
        <f>VLOOKUP($A191,'SegEnds_NonXtal_BW#'!$A:$Z,12,FALSE)+VLOOKUP($A191,A:AL,16,FALSE)-50</f>
        <v>131</v>
      </c>
      <c r="R191" s="3">
        <f>IF(ISERROR(VLOOKUP($A191,'SegEnds_NonXtal_BW#'!$A:$Z,13,FALSE)+VLOOKUP($A191,A:AL,19,FALSE)-50),"-",VLOOKUP($A191,'SegEnds_NonXtal_BW#'!$A:$Z,13,FALSE)+VLOOKUP($A191,A:AL,19,FALSE)-50)</f>
        <v>132</v>
      </c>
      <c r="S191" s="3">
        <v>132</v>
      </c>
      <c r="T191" s="100">
        <f>IF(ISERROR(VLOOKUP($A191,'SegEnds_NonXtal_BW#'!$A:$Z,14,FALSE)+VLOOKUP($A191,A:AL,19,FALSE)-50),"-",(VLOOKUP($A191,'SegEnds_NonXtal_BW#'!$A:$Z,14,FALSE)+VLOOKUP($A191,A:AL,19,FALSE)-50))</f>
        <v>139</v>
      </c>
      <c r="U191" s="9">
        <f>IF(ISERROR(VLOOKUP($A191,'SegEnds_NonXtal_BW#'!$A:$Z,15,FALSE)+VLOOKUP($A191,A:AL,22,FALSE)-50),"-",VLOOKUP($A191,'SegEnds_NonXtal_BW#'!$A:$Z,15,FALSE)+VLOOKUP($A191,A:AL,22,FALSE)-50)</f>
        <v>140</v>
      </c>
      <c r="V191" s="3">
        <v>152</v>
      </c>
      <c r="W191" s="3">
        <f>IF(ISERROR(VLOOKUP($A191,'SegEnds_NonXtal_BW#'!$A:$Z,16,FALSE)+VLOOKUP($A191,A:AL,22,FALSE)-50),"-",(VLOOKUP($A191,'SegEnds_NonXtal_BW#'!$A:$Z,16,FALSE)+VLOOKUP($A191,A:AL,22,FALSE)-50))</f>
        <v>166</v>
      </c>
      <c r="X191" s="3">
        <f>IF(ISERROR(VLOOKUP($A191,'SegEnds_NonXtal_BW#'!$A:$Z,17,FALSE)+VLOOKUP($A191,A:AL,25,FALSE)-50),"-",(VLOOKUP($A191,'SegEnds_NonXtal_BW#'!$A:$Z,17,FALSE)+VLOOKUP($A191,A:AL,25,FALSE)-50))</f>
        <v>177</v>
      </c>
      <c r="Y191" s="3">
        <v>177</v>
      </c>
      <c r="Z191" s="3">
        <f t="shared" si="140"/>
        <v>179</v>
      </c>
      <c r="AA191" s="3">
        <f>IF(ISERROR(VLOOKUP($A191,'SegEnds_NonXtal_BW#'!$A:$Z,19,FALSE)+VLOOKUP($A191,A:AL,28,FALSE)-50),"-",(VLOOKUP($A191,'SegEnds_NonXtal_BW#'!$A:$Z,19,FALSE)+VLOOKUP($A191,A:AL,28,FALSE)-50))</f>
        <v>184</v>
      </c>
      <c r="AB191" s="3">
        <v>199</v>
      </c>
      <c r="AC191" s="3">
        <f>IF(ISERROR((VLOOKUP($A191,'SegEnds_NonXtal_BW#'!$A:$Z,20,FALSE)+VLOOKUP($A191,A:AL,28,FALSE)-50)),"-",(VLOOKUP($A191,'SegEnds_NonXtal_BW#'!$A:$Z,20,FALSE)+VLOOKUP($A191,A:AL,28,FALSE)-50))</f>
        <v>221</v>
      </c>
      <c r="AD191" s="3">
        <f>IF(ISERROR(VLOOKUP($A191,'SegEnds_NonXtal_BW#'!$A:$Z,21,FALSE)+VLOOKUP($A191,A:AL,31,FALSE)-50),"-",(VLOOKUP($A191,'SegEnds_NonXtal_BW#'!$A:$Z,21,FALSE)+VLOOKUP($A191,A:AL,31,FALSE)-50))</f>
        <v>227</v>
      </c>
      <c r="AE191" s="3">
        <v>253</v>
      </c>
      <c r="AF191" s="3">
        <f>IF(ISERROR((VLOOKUP($A191,'SegEnds_NonXtal_BW#'!$A:$Z,22,FALSE)+VLOOKUP($A191,A:AL,31,FALSE)-50)),"-",(VLOOKUP($A191,'SegEnds_NonXtal_BW#'!$A:$Z,22,FALSE)+VLOOKUP($A191,A:AL,31,FALSE)-50))</f>
        <v>264</v>
      </c>
      <c r="AG191" s="3">
        <f>IF(ISERROR(VLOOKUP($A191,'SegEnds_NonXtal_BW#'!$A:$Z,23,FALSE)+VLOOKUP($A191,A:AL,34,FALSE)-50),"-",(VLOOKUP($A191,'SegEnds_NonXtal_BW#'!$A:$Z,23,FALSE)+VLOOKUP($A191,A:AL,34,FALSE)-50))</f>
        <v>273</v>
      </c>
      <c r="AH191" s="3">
        <v>292</v>
      </c>
      <c r="AI191" s="3">
        <f>IF(ISERROR((VLOOKUP($A191,'SegEnds_NonXtal_BW#'!$A:$Z,24,FALSE)+VLOOKUP($A191,A:AL,34,FALSE)-50)),"-",(VLOOKUP($A191,'SegEnds_NonXtal_BW#'!$A:$Z,24,FALSE)+VLOOKUP($A191,A:AL,34,FALSE)-50))</f>
        <v>298</v>
      </c>
      <c r="AJ191" s="3">
        <f>IF(ISERROR(VLOOKUP($A191,'SegEnds_NonXtal_BW#'!$A:$Z,25,FALSE)+VLOOKUP($A191,A:AL,37,FALSE)-50),"-",(VLOOKUP($A191,'SegEnds_NonXtal_BW#'!$A:$Z,25,FALSE)+VLOOKUP($A191,A:AL,37,FALSE)-50))</f>
        <v>299</v>
      </c>
      <c r="AK191" s="3">
        <v>302</v>
      </c>
      <c r="AL191" s="3">
        <f>IF(ISERROR((VLOOKUP($A191,'SegEnds_NonXtal_BW#'!$A:$Z,26,FALSE)+VLOOKUP($A191,A:AL,37,FALSE)-50)),"-",(VLOOKUP($A191,'SegEnds_NonXtal_BW#'!$A:$Z,26,FALSE)+VLOOKUP($A191,A:AL,37,FALSE)-50))</f>
        <v>315</v>
      </c>
      <c r="AM191" s="28" t="str">
        <f>VLOOKUP(A191,Classification!A:B,2,FALSE)</f>
        <v>A</v>
      </c>
      <c r="AN191" s="28" t="b">
        <f t="shared" si="121"/>
        <v>1</v>
      </c>
      <c r="AO191" s="3" t="str">
        <f>IF(ISERROR(MATCH(A191,'SegEnds_Xtal_Prot#'!B:B, 0)), "NoXtal", "Xtal")</f>
        <v>Xtal</v>
      </c>
      <c r="AP191" s="3">
        <f t="shared" si="104"/>
        <v>1</v>
      </c>
      <c r="AQ191" s="3">
        <f t="shared" si="105"/>
        <v>1</v>
      </c>
      <c r="AR191" s="3">
        <f t="shared" si="106"/>
        <v>1</v>
      </c>
      <c r="AS191" s="3">
        <f t="shared" si="107"/>
        <v>1</v>
      </c>
      <c r="AT191" s="3">
        <f t="shared" si="108"/>
        <v>1</v>
      </c>
      <c r="AU191" s="3">
        <f t="shared" si="109"/>
        <v>1</v>
      </c>
      <c r="AV191" s="3">
        <f t="shared" si="110"/>
        <v>11</v>
      </c>
      <c r="AW191" s="3">
        <f t="shared" si="111"/>
        <v>5</v>
      </c>
      <c r="AX191" s="3">
        <f t="shared" si="112"/>
        <v>6</v>
      </c>
      <c r="AY191" s="3">
        <f t="shared" si="113"/>
        <v>9</v>
      </c>
      <c r="AZ191" s="3">
        <f t="shared" si="114"/>
        <v>1</v>
      </c>
      <c r="BA191" s="3">
        <f>IF(ISERROR(LEN(VLOOKUP(A191,Seqs!A:E,2,FALSE))-AL191),"-",LEN(VLOOKUP(A191,Seqs!A:E,2,FALSE))-AL191)</f>
        <v>35</v>
      </c>
      <c r="BB191" s="16">
        <f t="shared" si="115"/>
        <v>28</v>
      </c>
      <c r="BC191" s="9">
        <f t="shared" si="116"/>
        <v>20</v>
      </c>
      <c r="BD191" s="3">
        <f t="shared" si="117"/>
        <v>28</v>
      </c>
      <c r="BE191" s="3">
        <f t="shared" si="118"/>
        <v>54</v>
      </c>
    </row>
    <row r="192" spans="1:58" s="3" customFormat="1" x14ac:dyDescent="0.2">
      <c r="A192" s="3" t="s">
        <v>311</v>
      </c>
      <c r="B192" s="3" t="str">
        <f>LOWER(VLOOKUP(A192,Xtal_Templ!A:B,2,FALSE))</f>
        <v>mtr1b_human</v>
      </c>
      <c r="C192" s="3">
        <f>VLOOKUP($A192,'SegEnds_NonXtal_BW#'!$A:$Z,3,FALSE)+D192-50</f>
        <v>38</v>
      </c>
      <c r="D192" s="3">
        <v>58</v>
      </c>
      <c r="E192" s="3">
        <f>IF(ISERROR(VLOOKUP($A192,'SegEnds_NonXtal_BW#'!$A:$Z,4,FALSE)+VLOOKUP($A192,A:AL,4,FALSE)-50),"-",(VLOOKUP($A192,'SegEnds_NonXtal_BW#'!$A:$Z,4,FALSE)+VLOOKUP($A192,A:AL,4,FALSE)-50))</f>
        <v>68</v>
      </c>
      <c r="F192" s="3">
        <f t="shared" si="135"/>
        <v>69</v>
      </c>
      <c r="G192" s="3">
        <v>71</v>
      </c>
      <c r="H192" s="3">
        <f t="shared" si="136"/>
        <v>72</v>
      </c>
      <c r="I192" s="3">
        <f t="shared" si="136"/>
        <v>73</v>
      </c>
      <c r="J192" s="3">
        <v>86</v>
      </c>
      <c r="K192" s="3">
        <f>VLOOKUP($A192,'SegEnds_NonXtal_BW#'!$A:$Z,8,FALSE)+VLOOKUP($A192,A:AL,10,FALSE)-50</f>
        <v>104</v>
      </c>
      <c r="L192" s="3">
        <f t="shared" si="137"/>
        <v>105</v>
      </c>
      <c r="M192" s="3">
        <v>106</v>
      </c>
      <c r="N192" s="3">
        <f t="shared" si="138"/>
        <v>108</v>
      </c>
      <c r="O192" s="3">
        <f t="shared" si="139"/>
        <v>109</v>
      </c>
      <c r="P192" s="3">
        <v>138</v>
      </c>
      <c r="Q192" s="3">
        <f>VLOOKUP($A192,'SegEnds_NonXtal_BW#'!$A:$Z,12,FALSE)+VLOOKUP($A192,A:AL,16,FALSE)-50</f>
        <v>144</v>
      </c>
      <c r="R192" s="3">
        <f>IF(ISERROR(VLOOKUP($A192,'SegEnds_NonXtal_BW#'!$A:$Z,13,FALSE)+VLOOKUP($A192,A:AL,19,FALSE)-50),"-",VLOOKUP($A192,'SegEnds_NonXtal_BW#'!$A:$Z,13,FALSE)+VLOOKUP($A192,A:AL,19,FALSE)-50)</f>
        <v>145</v>
      </c>
      <c r="S192" s="3">
        <v>145</v>
      </c>
      <c r="T192" s="100">
        <f>IF(ISERROR(VLOOKUP($A192,'SegEnds_NonXtal_BW#'!$A:$Z,14,FALSE)+VLOOKUP($A192,A:AL,19,FALSE)-50),"-",(VLOOKUP($A192,'SegEnds_NonXtal_BW#'!$A:$Z,14,FALSE)+VLOOKUP($A192,A:AL,19,FALSE)-50))</f>
        <v>152</v>
      </c>
      <c r="U192" s="9">
        <f>IF(ISERROR(VLOOKUP($A192,'SegEnds_NonXtal_BW#'!$A:$Z,15,FALSE)+VLOOKUP($A192,A:AL,22,FALSE)-50),"-",VLOOKUP($A192,'SegEnds_NonXtal_BW#'!$A:$Z,15,FALSE)+VLOOKUP($A192,A:AL,22,FALSE)-50)</f>
        <v>153</v>
      </c>
      <c r="V192" s="3">
        <v>165</v>
      </c>
      <c r="W192" s="3">
        <f>IF(ISERROR(VLOOKUP($A192,'SegEnds_NonXtal_BW#'!$A:$Z,16,FALSE)+VLOOKUP($A192,A:AL,22,FALSE)-50),"-",(VLOOKUP($A192,'SegEnds_NonXtal_BW#'!$A:$Z,16,FALSE)+VLOOKUP($A192,A:AL,22,FALSE)-50))</f>
        <v>179</v>
      </c>
      <c r="X192" s="3">
        <f>IF(ISERROR(VLOOKUP($A192,'SegEnds_NonXtal_BW#'!$A:$Z,17,FALSE)+VLOOKUP($A192,A:AL,25,FALSE)-50),"-",(VLOOKUP($A192,'SegEnds_NonXtal_BW#'!$A:$Z,17,FALSE)+VLOOKUP($A192,A:AL,25,FALSE)-50))</f>
        <v>190</v>
      </c>
      <c r="Y192" s="3">
        <v>190</v>
      </c>
      <c r="Z192" s="3">
        <f t="shared" si="140"/>
        <v>192</v>
      </c>
      <c r="AA192" s="3">
        <f>IF(ISERROR(VLOOKUP($A192,'SegEnds_NonXtal_BW#'!$A:$Z,19,FALSE)+VLOOKUP($A192,A:AL,28,FALSE)-50),"-",(VLOOKUP($A192,'SegEnds_NonXtal_BW#'!$A:$Z,19,FALSE)+VLOOKUP($A192,A:AL,28,FALSE)-50))</f>
        <v>197</v>
      </c>
      <c r="AB192" s="3">
        <v>212</v>
      </c>
      <c r="AC192" s="3">
        <f>IF(ISERROR((VLOOKUP($A192,'SegEnds_NonXtal_BW#'!$A:$Z,20,FALSE)+VLOOKUP($A192,A:AL,28,FALSE)-50)),"-",(VLOOKUP($A192,'SegEnds_NonXtal_BW#'!$A:$Z,20,FALSE)+VLOOKUP($A192,A:AL,28,FALSE)-50))</f>
        <v>234</v>
      </c>
      <c r="AD192" s="3">
        <f>IF(ISERROR(VLOOKUP($A192,'SegEnds_NonXtal_BW#'!$A:$Z,21,FALSE)+VLOOKUP($A192,A:AL,31,FALSE)-50),"-",(VLOOKUP($A192,'SegEnds_NonXtal_BW#'!$A:$Z,21,FALSE)+VLOOKUP($A192,A:AL,31,FALSE)-50))</f>
        <v>240</v>
      </c>
      <c r="AE192" s="3">
        <v>266</v>
      </c>
      <c r="AF192" s="3">
        <f>IF(ISERROR((VLOOKUP($A192,'SegEnds_NonXtal_BW#'!$A:$Z,22,FALSE)+VLOOKUP($A192,A:AL,31,FALSE)-50)),"-",(VLOOKUP($A192,'SegEnds_NonXtal_BW#'!$A:$Z,22,FALSE)+VLOOKUP($A192,A:AL,31,FALSE)-50))</f>
        <v>277</v>
      </c>
      <c r="AG192" s="3">
        <f>IF(ISERROR(VLOOKUP($A192,'SegEnds_NonXtal_BW#'!$A:$Z,23,FALSE)+VLOOKUP($A192,A:AL,34,FALSE)-50),"-",(VLOOKUP($A192,'SegEnds_NonXtal_BW#'!$A:$Z,23,FALSE)+VLOOKUP($A192,A:AL,34,FALSE)-50))</f>
        <v>286</v>
      </c>
      <c r="AH192" s="3">
        <v>305</v>
      </c>
      <c r="AI192" s="3">
        <f>IF(ISERROR((VLOOKUP($A192,'SegEnds_NonXtal_BW#'!$A:$Z,24,FALSE)+VLOOKUP($A192,A:AL,34,FALSE)-50)),"-",(VLOOKUP($A192,'SegEnds_NonXtal_BW#'!$A:$Z,24,FALSE)+VLOOKUP($A192,A:AL,34,FALSE)-50))</f>
        <v>311</v>
      </c>
      <c r="AJ192" s="3">
        <f>IF(ISERROR(VLOOKUP($A192,'SegEnds_NonXtal_BW#'!$A:$Z,25,FALSE)+VLOOKUP($A192,A:AL,37,FALSE)-50),"-",(VLOOKUP($A192,'SegEnds_NonXtal_BW#'!$A:$Z,25,FALSE)+VLOOKUP($A192,A:AL,37,FALSE)-50))</f>
        <v>312</v>
      </c>
      <c r="AK192" s="3">
        <v>315</v>
      </c>
      <c r="AL192" s="3">
        <f>IF(ISERROR((VLOOKUP($A192,'SegEnds_NonXtal_BW#'!$A:$Z,26,FALSE)+VLOOKUP($A192,A:AL,37,FALSE)-50)),"-",(VLOOKUP($A192,'SegEnds_NonXtal_BW#'!$A:$Z,26,FALSE)+VLOOKUP($A192,A:AL,37,FALSE)-50))</f>
        <v>328</v>
      </c>
      <c r="AM192" s="28" t="str">
        <f>VLOOKUP(A192,Classification!A:B,2,FALSE)</f>
        <v>A</v>
      </c>
      <c r="AN192" s="28" t="b">
        <f t="shared" si="121"/>
        <v>1</v>
      </c>
      <c r="AO192" s="3" t="str">
        <f>IF(ISERROR(MATCH(A192,'SegEnds_Xtal_Prot#'!B:B, 0)), "NoXtal", "Xtal")</f>
        <v>Xtal</v>
      </c>
      <c r="AP192" s="3">
        <f t="shared" si="104"/>
        <v>1</v>
      </c>
      <c r="AQ192" s="3">
        <f t="shared" si="105"/>
        <v>1</v>
      </c>
      <c r="AR192" s="3">
        <f t="shared" si="106"/>
        <v>1</v>
      </c>
      <c r="AS192" s="3">
        <f t="shared" si="107"/>
        <v>1</v>
      </c>
      <c r="AT192" s="3">
        <f t="shared" si="108"/>
        <v>1</v>
      </c>
      <c r="AU192" s="3">
        <f t="shared" si="109"/>
        <v>1</v>
      </c>
      <c r="AV192" s="3">
        <f t="shared" si="110"/>
        <v>11</v>
      </c>
      <c r="AW192" s="3">
        <f t="shared" si="111"/>
        <v>5</v>
      </c>
      <c r="AX192" s="3">
        <f t="shared" si="112"/>
        <v>6</v>
      </c>
      <c r="AY192" s="3">
        <f t="shared" si="113"/>
        <v>9</v>
      </c>
      <c r="AZ192" s="3">
        <f t="shared" si="114"/>
        <v>1</v>
      </c>
      <c r="BA192" s="3">
        <f>IF(ISERROR(LEN(VLOOKUP(A192,Seqs!A:E,2,FALSE))-AL192),"-",LEN(VLOOKUP(A192,Seqs!A:E,2,FALSE))-AL192)</f>
        <v>34</v>
      </c>
      <c r="BB192" s="16">
        <f t="shared" si="115"/>
        <v>28</v>
      </c>
      <c r="BC192" s="9">
        <f t="shared" si="116"/>
        <v>20</v>
      </c>
      <c r="BD192" s="3">
        <f t="shared" si="117"/>
        <v>28</v>
      </c>
      <c r="BE192" s="3">
        <f t="shared" si="118"/>
        <v>54</v>
      </c>
    </row>
    <row r="193" spans="1:57" s="3" customFormat="1" x14ac:dyDescent="0.2">
      <c r="A193" s="3" t="s">
        <v>312</v>
      </c>
      <c r="B193" s="3" t="str">
        <f>LOWER(VLOOKUP(A193,Xtal_Templ!A:B,2,FALSE))</f>
        <v>mtr1a_human</v>
      </c>
      <c r="C193" s="3">
        <f>VLOOKUP($A193,'SegEnds_NonXtal_BW#'!$A:$Z,3,FALSE)+D193-50</f>
        <v>24</v>
      </c>
      <c r="D193" s="3">
        <v>46</v>
      </c>
      <c r="E193" s="3">
        <f>IF(ISERROR(VLOOKUP($A193,'SegEnds_NonXtal_BW#'!$A:$Z,4,FALSE)+VLOOKUP($A193,A:AL,4,FALSE)-50),"-",(VLOOKUP($A193,'SegEnds_NonXtal_BW#'!$A:$Z,4,FALSE)+VLOOKUP($A193,A:AL,4,FALSE)-50))</f>
        <v>56</v>
      </c>
      <c r="F193" s="3">
        <f t="shared" si="135"/>
        <v>57</v>
      </c>
      <c r="G193" s="3">
        <v>59</v>
      </c>
      <c r="H193" s="3">
        <f t="shared" si="136"/>
        <v>60</v>
      </c>
      <c r="I193" s="3">
        <f t="shared" si="136"/>
        <v>61</v>
      </c>
      <c r="J193" s="3">
        <v>74</v>
      </c>
      <c r="K193" s="3">
        <f>VLOOKUP($A193,'SegEnds_NonXtal_BW#'!$A:$Z,8,FALSE)+VLOOKUP($A193,A:AL,10,FALSE)-50</f>
        <v>92</v>
      </c>
      <c r="L193" s="3">
        <f t="shared" si="137"/>
        <v>93</v>
      </c>
      <c r="M193" s="3">
        <v>94</v>
      </c>
      <c r="N193" s="3">
        <f t="shared" si="138"/>
        <v>96</v>
      </c>
      <c r="O193" s="3">
        <f t="shared" si="139"/>
        <v>97</v>
      </c>
      <c r="P193" s="3">
        <v>126</v>
      </c>
      <c r="Q193" s="3">
        <f>VLOOKUP($A193,'SegEnds_NonXtal_BW#'!$A:$Z,12,FALSE)+VLOOKUP($A193,A:AL,16,FALSE)-50</f>
        <v>132</v>
      </c>
      <c r="R193" s="3">
        <f>IF(ISERROR(VLOOKUP($A193,'SegEnds_NonXtal_BW#'!$A:$Z,13,FALSE)+VLOOKUP($A193,A:AL,19,FALSE)-50),"-",VLOOKUP($A193,'SegEnds_NonXtal_BW#'!$A:$Z,13,FALSE)+VLOOKUP($A193,A:AL,19,FALSE)-50)</f>
        <v>133</v>
      </c>
      <c r="S193" s="3">
        <v>133</v>
      </c>
      <c r="T193" s="100">
        <f>IF(ISERROR(VLOOKUP($A193,'SegEnds_NonXtal_BW#'!$A:$Z,14,FALSE)+VLOOKUP($A193,A:AL,19,FALSE)-50),"-",(VLOOKUP($A193,'SegEnds_NonXtal_BW#'!$A:$Z,14,FALSE)+VLOOKUP($A193,A:AL,19,FALSE)-50))</f>
        <v>140</v>
      </c>
      <c r="U193" s="9">
        <f>IF(ISERROR(VLOOKUP($A193,'SegEnds_NonXtal_BW#'!$A:$Z,15,FALSE)+VLOOKUP($A193,A:AL,22,FALSE)-50),"-",VLOOKUP($A193,'SegEnds_NonXtal_BW#'!$A:$Z,15,FALSE)+VLOOKUP($A193,A:AL,22,FALSE)-50)</f>
        <v>141</v>
      </c>
      <c r="V193" s="3">
        <v>153</v>
      </c>
      <c r="W193" s="3">
        <f>IF(ISERROR(VLOOKUP($A193,'SegEnds_NonXtal_BW#'!$A:$Z,16,FALSE)+VLOOKUP($A193,A:AL,22,FALSE)-50),"-",(VLOOKUP($A193,'SegEnds_NonXtal_BW#'!$A:$Z,16,FALSE)+VLOOKUP($A193,A:AL,22,FALSE)-50))</f>
        <v>167</v>
      </c>
      <c r="X193" s="3">
        <f>IF(ISERROR(VLOOKUP($A193,'SegEnds_NonXtal_BW#'!$A:$Z,17,FALSE)+VLOOKUP($A193,A:AL,25,FALSE)-50),"-",(VLOOKUP($A193,'SegEnds_NonXtal_BW#'!$A:$Z,17,FALSE)+VLOOKUP($A193,A:AL,25,FALSE)-50))</f>
        <v>178</v>
      </c>
      <c r="Y193" s="3">
        <v>178</v>
      </c>
      <c r="Z193" s="3">
        <f t="shared" si="140"/>
        <v>180</v>
      </c>
      <c r="AA193" s="3">
        <f>IF(ISERROR(VLOOKUP($A193,'SegEnds_NonXtal_BW#'!$A:$Z,19,FALSE)+VLOOKUP($A193,A:AL,28,FALSE)-50),"-",(VLOOKUP($A193,'SegEnds_NonXtal_BW#'!$A:$Z,19,FALSE)+VLOOKUP($A193,A:AL,28,FALSE)-50))</f>
        <v>185</v>
      </c>
      <c r="AB193" s="3">
        <v>200</v>
      </c>
      <c r="AC193" s="3">
        <f>IF(ISERROR((VLOOKUP($A193,'SegEnds_NonXtal_BW#'!$A:$Z,20,FALSE)+VLOOKUP($A193,A:AL,28,FALSE)-50)),"-",(VLOOKUP($A193,'SegEnds_NonXtal_BW#'!$A:$Z,20,FALSE)+VLOOKUP($A193,A:AL,28,FALSE)-50))</f>
        <v>222</v>
      </c>
      <c r="AD193" s="3">
        <f>IF(ISERROR(VLOOKUP($A193,'SegEnds_NonXtal_BW#'!$A:$Z,21,FALSE)+VLOOKUP($A193,A:AL,31,FALSE)-50),"-",(VLOOKUP($A193,'SegEnds_NonXtal_BW#'!$A:$Z,21,FALSE)+VLOOKUP($A193,A:AL,31,FALSE)-50))</f>
        <v>225</v>
      </c>
      <c r="AE193" s="3">
        <v>252</v>
      </c>
      <c r="AF193" s="3">
        <f>IF(ISERROR((VLOOKUP($A193,'SegEnds_NonXtal_BW#'!$A:$Z,22,FALSE)+VLOOKUP($A193,A:AL,31,FALSE)-50)),"-",(VLOOKUP($A193,'SegEnds_NonXtal_BW#'!$A:$Z,22,FALSE)+VLOOKUP($A193,A:AL,31,FALSE)-50))</f>
        <v>263</v>
      </c>
      <c r="AG193" s="3">
        <f>IF(ISERROR(VLOOKUP($A193,'SegEnds_NonXtal_BW#'!$A:$Z,23,FALSE)+VLOOKUP($A193,A:AL,34,FALSE)-50),"-",(VLOOKUP($A193,'SegEnds_NonXtal_BW#'!$A:$Z,23,FALSE)+VLOOKUP($A193,A:AL,34,FALSE)-50))</f>
        <v>272</v>
      </c>
      <c r="AH193" s="3">
        <v>291</v>
      </c>
      <c r="AI193" s="3">
        <f>IF(ISERROR((VLOOKUP($A193,'SegEnds_NonXtal_BW#'!$A:$Z,24,FALSE)+VLOOKUP($A193,A:AL,34,FALSE)-50)),"-",(VLOOKUP($A193,'SegEnds_NonXtal_BW#'!$A:$Z,24,FALSE)+VLOOKUP($A193,A:AL,34,FALSE)-50))</f>
        <v>297</v>
      </c>
      <c r="AJ193" s="3">
        <f>IF(ISERROR(VLOOKUP($A193,'SegEnds_NonXtal_BW#'!$A:$Z,25,FALSE)+VLOOKUP($A193,A:AL,37,FALSE)-50),"-",(VLOOKUP($A193,'SegEnds_NonXtal_BW#'!$A:$Z,25,FALSE)+VLOOKUP($A193,A:AL,37,FALSE)-50))</f>
        <v>298</v>
      </c>
      <c r="AK193" s="3">
        <v>301</v>
      </c>
      <c r="AL193" s="3">
        <f>IF(ISERROR((VLOOKUP($A193,'SegEnds_NonXtal_BW#'!$A:$Z,26,FALSE)+VLOOKUP($A193,A:AL,37,FALSE)-50)),"-",(VLOOKUP($A193,'SegEnds_NonXtal_BW#'!$A:$Z,26,FALSE)+VLOOKUP($A193,A:AL,37,FALSE)-50))</f>
        <v>314</v>
      </c>
      <c r="AM193" s="28" t="str">
        <f>VLOOKUP(A193,Classification!A:B,2,FALSE)</f>
        <v>A</v>
      </c>
      <c r="AN193" s="28" t="b">
        <f t="shared" si="121"/>
        <v>1</v>
      </c>
      <c r="AO193" s="3" t="str">
        <f>IF(ISERROR(MATCH(A193,'SegEnds_Xtal_Prot#'!B:B, 0)), "NoXtal", "Xtal")</f>
        <v>NoXtal</v>
      </c>
      <c r="AP193" s="3">
        <f t="shared" si="104"/>
        <v>1</v>
      </c>
      <c r="AQ193" s="3">
        <f t="shared" si="105"/>
        <v>1</v>
      </c>
      <c r="AR193" s="3">
        <f t="shared" si="106"/>
        <v>1</v>
      </c>
      <c r="AS193" s="3">
        <f t="shared" si="107"/>
        <v>1</v>
      </c>
      <c r="AT193" s="3">
        <f t="shared" si="108"/>
        <v>1</v>
      </c>
      <c r="AU193" s="3">
        <f t="shared" si="109"/>
        <v>1</v>
      </c>
      <c r="AV193" s="3">
        <f t="shared" si="110"/>
        <v>11</v>
      </c>
      <c r="AW193" s="3">
        <f t="shared" si="111"/>
        <v>5</v>
      </c>
      <c r="AX193" s="3">
        <f t="shared" si="112"/>
        <v>3</v>
      </c>
      <c r="AY193" s="3">
        <f t="shared" si="113"/>
        <v>9</v>
      </c>
      <c r="AZ193" s="3">
        <f t="shared" si="114"/>
        <v>1</v>
      </c>
      <c r="BA193" s="3">
        <f>IF(ISERROR(LEN(VLOOKUP(A193,Seqs!A:E,2,FALSE))-AL193),"-",LEN(VLOOKUP(A193,Seqs!A:E,2,FALSE))-AL193)</f>
        <v>303</v>
      </c>
      <c r="BB193" s="16">
        <f t="shared" si="115"/>
        <v>28</v>
      </c>
      <c r="BC193" s="9">
        <f t="shared" si="116"/>
        <v>20</v>
      </c>
      <c r="BD193" s="3">
        <f t="shared" si="117"/>
        <v>28</v>
      </c>
      <c r="BE193" s="3">
        <f t="shared" si="118"/>
        <v>52</v>
      </c>
    </row>
    <row r="194" spans="1:57" s="3" customFormat="1" x14ac:dyDescent="0.2">
      <c r="A194" s="3" t="s">
        <v>316</v>
      </c>
      <c r="B194" s="3" t="str">
        <f>LOWER(VLOOKUP(A194,Xtal_Templ!A:B,2,FALSE))</f>
        <v>ednrb_human</v>
      </c>
      <c r="C194" s="3">
        <f>VLOOKUP($A194,'SegEnds_NonXtal_BW#'!$A:$Z,3,FALSE)+D194-50</f>
        <v>33</v>
      </c>
      <c r="D194" s="3">
        <v>61</v>
      </c>
      <c r="E194" s="3">
        <f>IF(ISERROR(VLOOKUP($A194,'SegEnds_NonXtal_BW#'!$A:$Z,4,FALSE)+VLOOKUP($A194,A:AL,4,FALSE)-50),"-",(VLOOKUP($A194,'SegEnds_NonXtal_BW#'!$A:$Z,4,FALSE)+VLOOKUP($A194,A:AL,4,FALSE)-50))</f>
        <v>71</v>
      </c>
      <c r="F194" s="3">
        <f t="shared" si="135"/>
        <v>72</v>
      </c>
      <c r="G194" s="3">
        <v>74</v>
      </c>
      <c r="H194" s="3">
        <f t="shared" si="136"/>
        <v>75</v>
      </c>
      <c r="I194" s="3">
        <f t="shared" si="136"/>
        <v>76</v>
      </c>
      <c r="J194" s="3">
        <v>89</v>
      </c>
      <c r="K194" s="3">
        <f>VLOOKUP($A194,'SegEnds_NonXtal_BW#'!$A:$Z,8,FALSE)+VLOOKUP($A194,A:AL,10,FALSE)-50</f>
        <v>106</v>
      </c>
      <c r="L194" s="3">
        <f t="shared" si="137"/>
        <v>108</v>
      </c>
      <c r="M194" s="3">
        <v>109</v>
      </c>
      <c r="N194" s="3">
        <f t="shared" si="138"/>
        <v>111</v>
      </c>
      <c r="O194" s="3">
        <f t="shared" si="139"/>
        <v>112</v>
      </c>
      <c r="P194" s="3">
        <v>141</v>
      </c>
      <c r="Q194" s="3">
        <f>VLOOKUP($A194,'SegEnds_NonXtal_BW#'!$A:$Z,12,FALSE)+VLOOKUP($A194,A:AL,16,FALSE)-50</f>
        <v>147</v>
      </c>
      <c r="R194" s="3">
        <f>IF(ISERROR(VLOOKUP($A194,'SegEnds_NonXtal_BW#'!$A:$Z,13,FALSE)+VLOOKUP($A194,A:AL,19,FALSE)-50),"-",VLOOKUP($A194,'SegEnds_NonXtal_BW#'!$A:$Z,13,FALSE)+VLOOKUP($A194,A:AL,19,FALSE)-50)</f>
        <v>148</v>
      </c>
      <c r="S194" s="3">
        <v>148</v>
      </c>
      <c r="T194" s="100">
        <f>IF(ISERROR(VLOOKUP($A194,'SegEnds_NonXtal_BW#'!$A:$Z,14,FALSE)+VLOOKUP($A194,A:AL,19,FALSE)-50),"-",(VLOOKUP($A194,'SegEnds_NonXtal_BW#'!$A:$Z,14,FALSE)+VLOOKUP($A194,A:AL,19,FALSE)-50))</f>
        <v>155</v>
      </c>
      <c r="U194" s="9">
        <f>IF(ISERROR(VLOOKUP($A194,'SegEnds_NonXtal_BW#'!$A:$Z,15,FALSE)+VLOOKUP($A194,A:AL,22,FALSE)-50),"-",VLOOKUP($A194,'SegEnds_NonXtal_BW#'!$A:$Z,15,FALSE)+VLOOKUP($A194,A:AL,22,FALSE)-50)</f>
        <v>156</v>
      </c>
      <c r="V194" s="3">
        <v>168</v>
      </c>
      <c r="W194" s="3">
        <f>IF(ISERROR(VLOOKUP($A194,'SegEnds_NonXtal_BW#'!$A:$Z,16,FALSE)+VLOOKUP($A194,A:AL,22,FALSE)-50),"-",(VLOOKUP($A194,'SegEnds_NonXtal_BW#'!$A:$Z,16,FALSE)+VLOOKUP($A194,A:AL,22,FALSE)-50))</f>
        <v>182</v>
      </c>
      <c r="X194" s="3">
        <f>IF(ISERROR(VLOOKUP($A194,'SegEnds_NonXtal_BW#'!$A:$Z,17,FALSE)+VLOOKUP($A194,A:AL,25,FALSE)-50),"-",(VLOOKUP($A194,'SegEnds_NonXtal_BW#'!$A:$Z,17,FALSE)+VLOOKUP($A194,A:AL,25,FALSE)-50))</f>
        <v>198</v>
      </c>
      <c r="Y194" s="3">
        <v>198</v>
      </c>
      <c r="Z194" s="3">
        <f t="shared" si="140"/>
        <v>200</v>
      </c>
      <c r="AA194" s="3">
        <f>IF(ISERROR(VLOOKUP($A194,'SegEnds_NonXtal_BW#'!$A:$Z,19,FALSE)+VLOOKUP($A194,A:AL,28,FALSE)-50),"-",(VLOOKUP($A194,'SegEnds_NonXtal_BW#'!$A:$Z,19,FALSE)+VLOOKUP($A194,A:AL,28,FALSE)-50))</f>
        <v>202</v>
      </c>
      <c r="AB194" s="3">
        <v>224</v>
      </c>
      <c r="AC194" s="3">
        <f>IF(ISERROR((VLOOKUP($A194,'SegEnds_NonXtal_BW#'!$A:$Z,20,FALSE)+VLOOKUP($A194,A:AL,28,FALSE)-50)),"-",(VLOOKUP($A194,'SegEnds_NonXtal_BW#'!$A:$Z,20,FALSE)+VLOOKUP($A194,A:AL,28,FALSE)-50))</f>
        <v>247</v>
      </c>
      <c r="AD194" s="3">
        <f>IF(ISERROR(VLOOKUP($A194,'SegEnds_NonXtal_BW#'!$A:$Z,21,FALSE)+VLOOKUP($A194,A:AL,31,FALSE)-50),"-",(VLOOKUP($A194,'SegEnds_NonXtal_BW#'!$A:$Z,21,FALSE)+VLOOKUP($A194,A:AL,31,FALSE)-50))</f>
        <v>253</v>
      </c>
      <c r="AE194" s="3">
        <v>281</v>
      </c>
      <c r="AF194" s="3">
        <f>IF(ISERROR((VLOOKUP($A194,'SegEnds_NonXtal_BW#'!$A:$Z,22,FALSE)+VLOOKUP($A194,A:AL,31,FALSE)-50)),"-",(VLOOKUP($A194,'SegEnds_NonXtal_BW#'!$A:$Z,22,FALSE)+VLOOKUP($A194,A:AL,31,FALSE)-50))</f>
        <v>292</v>
      </c>
      <c r="AG194" s="3">
        <f>IF(ISERROR(VLOOKUP($A194,'SegEnds_NonXtal_BW#'!$A:$Z,23,FALSE)+VLOOKUP($A194,A:AL,34,FALSE)-50),"-",(VLOOKUP($A194,'SegEnds_NonXtal_BW#'!$A:$Z,23,FALSE)+VLOOKUP($A194,A:AL,34,FALSE)-50))</f>
        <v>299</v>
      </c>
      <c r="AH194" s="3">
        <v>321</v>
      </c>
      <c r="AI194" s="3">
        <f>IF(ISERROR((VLOOKUP($A194,'SegEnds_NonXtal_BW#'!$A:$Z,24,FALSE)+VLOOKUP($A194,A:AL,34,FALSE)-50)),"-",(VLOOKUP($A194,'SegEnds_NonXtal_BW#'!$A:$Z,24,FALSE)+VLOOKUP($A194,A:AL,34,FALSE)-50))</f>
        <v>327</v>
      </c>
      <c r="AJ194" s="3">
        <f>IF(ISERROR(VLOOKUP($A194,'SegEnds_NonXtal_BW#'!$A:$Z,25,FALSE)+VLOOKUP($A194,A:AL,37,FALSE)-50),"-",(VLOOKUP($A194,'SegEnds_NonXtal_BW#'!$A:$Z,25,FALSE)+VLOOKUP($A194,A:AL,37,FALSE)-50))</f>
        <v>328</v>
      </c>
      <c r="AK194" s="3">
        <v>331</v>
      </c>
      <c r="AL194" s="3">
        <f>IF(ISERROR((VLOOKUP($A194,'SegEnds_NonXtal_BW#'!$A:$Z,26,FALSE)+VLOOKUP($A194,A:AL,37,FALSE)-50)),"-",(VLOOKUP($A194,'SegEnds_NonXtal_BW#'!$A:$Z,26,FALSE)+VLOOKUP($A194,A:AL,37,FALSE)-50))</f>
        <v>341</v>
      </c>
      <c r="AM194" s="28" t="str">
        <f>VLOOKUP(A194,Classification!A:B,2,FALSE)</f>
        <v>A</v>
      </c>
      <c r="AN194" s="28" t="b">
        <f t="shared" si="121"/>
        <v>1</v>
      </c>
      <c r="AO194" s="3" t="str">
        <f>IF(ISERROR(MATCH(A194,'SegEnds_Xtal_Prot#'!B:B, 0)), "NoXtal", "Xtal")</f>
        <v>NoXtal</v>
      </c>
      <c r="AP194" s="3">
        <f t="shared" si="104"/>
        <v>1</v>
      </c>
      <c r="AQ194" s="3">
        <f t="shared" si="105"/>
        <v>1</v>
      </c>
      <c r="AR194" s="3">
        <f t="shared" si="106"/>
        <v>2</v>
      </c>
      <c r="AS194" s="3">
        <f t="shared" si="107"/>
        <v>1</v>
      </c>
      <c r="AT194" s="3">
        <f t="shared" si="108"/>
        <v>1</v>
      </c>
      <c r="AU194" s="3">
        <f t="shared" si="109"/>
        <v>1</v>
      </c>
      <c r="AV194" s="3">
        <f t="shared" si="110"/>
        <v>16</v>
      </c>
      <c r="AW194" s="3">
        <f t="shared" si="111"/>
        <v>2</v>
      </c>
      <c r="AX194" s="3">
        <f t="shared" si="112"/>
        <v>6</v>
      </c>
      <c r="AY194" s="3">
        <f t="shared" si="113"/>
        <v>7</v>
      </c>
      <c r="AZ194" s="3">
        <f t="shared" si="114"/>
        <v>1</v>
      </c>
      <c r="BA194" s="3">
        <f>IF(ISERROR(LEN(VLOOKUP(A194,Seqs!A:E,2,FALSE))-AL194),"-",LEN(VLOOKUP(A194,Seqs!A:E,2,FALSE))-AL194)</f>
        <v>49</v>
      </c>
      <c r="BB194" s="16">
        <f t="shared" si="115"/>
        <v>28</v>
      </c>
      <c r="BC194" s="9">
        <f t="shared" si="116"/>
        <v>20</v>
      </c>
      <c r="BD194" s="3">
        <f t="shared" si="117"/>
        <v>28</v>
      </c>
      <c r="BE194" s="3">
        <f t="shared" si="118"/>
        <v>57</v>
      </c>
    </row>
    <row r="195" spans="1:57" s="3" customFormat="1" x14ac:dyDescent="0.2">
      <c r="A195" s="3" t="s">
        <v>317</v>
      </c>
      <c r="B195" s="3" t="str">
        <f>LOWER(VLOOKUP(A195,Xtal_Templ!A:B,2,FALSE))</f>
        <v>ntr1_rat</v>
      </c>
      <c r="C195" s="3">
        <f>VLOOKUP($A195,'SegEnds_NonXtal_BW#'!$A:$Z,3,FALSE)+D195-50</f>
        <v>57</v>
      </c>
      <c r="D195" s="3">
        <v>78</v>
      </c>
      <c r="E195" s="3">
        <f>IF(ISERROR(VLOOKUP($A195,'SegEnds_NonXtal_BW#'!$A:$Z,4,FALSE)+VLOOKUP($A195,A:AL,4,FALSE)-50),"-",(VLOOKUP($A195,'SegEnds_NonXtal_BW#'!$A:$Z,4,FALSE)+VLOOKUP($A195,A:AL,4,FALSE)-50))</f>
        <v>88</v>
      </c>
      <c r="F195" s="3">
        <f t="shared" si="135"/>
        <v>89</v>
      </c>
      <c r="G195" s="3">
        <v>91</v>
      </c>
      <c r="H195" s="3">
        <f t="shared" si="136"/>
        <v>92</v>
      </c>
      <c r="I195" s="3">
        <f t="shared" si="136"/>
        <v>93</v>
      </c>
      <c r="J195" s="3">
        <v>106</v>
      </c>
      <c r="K195" s="3">
        <f>VLOOKUP($A195,'SegEnds_NonXtal_BW#'!$A:$Z,8,FALSE)+VLOOKUP($A195,A:AL,10,FALSE)-50</f>
        <v>122</v>
      </c>
      <c r="L195" s="3">
        <f t="shared" si="137"/>
        <v>124</v>
      </c>
      <c r="M195" s="3">
        <v>125</v>
      </c>
      <c r="N195" s="3">
        <f t="shared" si="138"/>
        <v>127</v>
      </c>
      <c r="O195" s="3">
        <f t="shared" si="139"/>
        <v>128</v>
      </c>
      <c r="P195" s="3">
        <v>159</v>
      </c>
      <c r="Q195" s="3">
        <f>VLOOKUP($A195,'SegEnds_NonXtal_BW#'!$A:$Z,12,FALSE)+VLOOKUP($A195,A:AL,16,FALSE)-50</f>
        <v>165</v>
      </c>
      <c r="R195" s="3">
        <f>IF(ISERROR(VLOOKUP($A195,'SegEnds_NonXtal_BW#'!$A:$Z,13,FALSE)+VLOOKUP($A195,A:AL,19,FALSE)-50),"-",VLOOKUP($A195,'SegEnds_NonXtal_BW#'!$A:$Z,13,FALSE)+VLOOKUP($A195,A:AL,19,FALSE)-50)</f>
        <v>166</v>
      </c>
      <c r="S195" s="3">
        <v>166</v>
      </c>
      <c r="T195" s="100">
        <f>IF(ISERROR(VLOOKUP($A195,'SegEnds_NonXtal_BW#'!$A:$Z,14,FALSE)+VLOOKUP($A195,A:AL,19,FALSE)-50),"-",(VLOOKUP($A195,'SegEnds_NonXtal_BW#'!$A:$Z,14,FALSE)+VLOOKUP($A195,A:AL,19,FALSE)-50))</f>
        <v>173</v>
      </c>
      <c r="U195" s="9">
        <f>IF(ISERROR(VLOOKUP($A195,'SegEnds_NonXtal_BW#'!$A:$Z,15,FALSE)+VLOOKUP($A195,A:AL,22,FALSE)-50),"-",VLOOKUP($A195,'SegEnds_NonXtal_BW#'!$A:$Z,15,FALSE)+VLOOKUP($A195,A:AL,22,FALSE)-50)</f>
        <v>174</v>
      </c>
      <c r="V195" s="3">
        <v>186</v>
      </c>
      <c r="W195" s="3">
        <f>IF(ISERROR(VLOOKUP($A195,'SegEnds_NonXtal_BW#'!$A:$Z,16,FALSE)+VLOOKUP($A195,A:AL,22,FALSE)-50),"-",(VLOOKUP($A195,'SegEnds_NonXtal_BW#'!$A:$Z,16,FALSE)+VLOOKUP($A195,A:AL,22,FALSE)-50))</f>
        <v>200</v>
      </c>
      <c r="X195" s="3">
        <f>IF(ISERROR(VLOOKUP($A195,'SegEnds_NonXtal_BW#'!$A:$Z,17,FALSE)+VLOOKUP($A195,A:AL,25,FALSE)-50),"-",(VLOOKUP($A195,'SegEnds_NonXtal_BW#'!$A:$Z,17,FALSE)+VLOOKUP($A195,A:AL,25,FALSE)-50))</f>
        <v>219</v>
      </c>
      <c r="Y195" s="3">
        <v>219</v>
      </c>
      <c r="Z195" s="3">
        <f t="shared" si="140"/>
        <v>221</v>
      </c>
      <c r="AA195" s="3">
        <f>IF(ISERROR(VLOOKUP($A195,'SegEnds_NonXtal_BW#'!$A:$Z,19,FALSE)+VLOOKUP($A195,A:AL,28,FALSE)-50),"-",(VLOOKUP($A195,'SegEnds_NonXtal_BW#'!$A:$Z,19,FALSE)+VLOOKUP($A195,A:AL,28,FALSE)-50))</f>
        <v>225</v>
      </c>
      <c r="AB195" s="3">
        <v>243</v>
      </c>
      <c r="AC195" s="3">
        <f>IF(ISERROR((VLOOKUP($A195,'SegEnds_NonXtal_BW#'!$A:$Z,20,FALSE)+VLOOKUP($A195,A:AL,28,FALSE)-50)),"-",(VLOOKUP($A195,'SegEnds_NonXtal_BW#'!$A:$Z,20,FALSE)+VLOOKUP($A195,A:AL,28,FALSE)-50))</f>
        <v>269</v>
      </c>
      <c r="AD195" s="3">
        <f>IF(ISERROR(VLOOKUP($A195,'SegEnds_NonXtal_BW#'!$A:$Z,21,FALSE)+VLOOKUP($A195,A:AL,31,FALSE)-50),"-",(VLOOKUP($A195,'SegEnds_NonXtal_BW#'!$A:$Z,21,FALSE)+VLOOKUP($A195,A:AL,31,FALSE)-50))</f>
        <v>286</v>
      </c>
      <c r="AE195" s="3">
        <v>312</v>
      </c>
      <c r="AF195" s="3">
        <f>IF(ISERROR((VLOOKUP($A195,'SegEnds_NonXtal_BW#'!$A:$Z,22,FALSE)+VLOOKUP($A195,A:AL,31,FALSE)-50)),"-",(VLOOKUP($A195,'SegEnds_NonXtal_BW#'!$A:$Z,22,FALSE)+VLOOKUP($A195,A:AL,31,FALSE)-50))</f>
        <v>323</v>
      </c>
      <c r="AG195" s="3">
        <f>IF(ISERROR(VLOOKUP($A195,'SegEnds_NonXtal_BW#'!$A:$Z,23,FALSE)+VLOOKUP($A195,A:AL,34,FALSE)-50),"-",(VLOOKUP($A195,'SegEnds_NonXtal_BW#'!$A:$Z,23,FALSE)+VLOOKUP($A195,A:AL,34,FALSE)-50))</f>
        <v>331</v>
      </c>
      <c r="AH195" s="3">
        <v>353</v>
      </c>
      <c r="AI195" s="3">
        <f>IF(ISERROR((VLOOKUP($A195,'SegEnds_NonXtal_BW#'!$A:$Z,24,FALSE)+VLOOKUP($A195,A:AL,34,FALSE)-50)),"-",(VLOOKUP($A195,'SegEnds_NonXtal_BW#'!$A:$Z,24,FALSE)+VLOOKUP($A195,A:AL,34,FALSE)-50))</f>
        <v>359</v>
      </c>
      <c r="AJ195" s="3">
        <f>IF(ISERROR(VLOOKUP($A195,'SegEnds_NonXtal_BW#'!$A:$Z,25,FALSE)+VLOOKUP($A195,A:AL,37,FALSE)-50),"-",(VLOOKUP($A195,'SegEnds_NonXtal_BW#'!$A:$Z,25,FALSE)+VLOOKUP($A195,A:AL,37,FALSE)-50))</f>
        <v>360</v>
      </c>
      <c r="AK195" s="3">
        <v>363</v>
      </c>
      <c r="AL195" s="3">
        <f>IF(ISERROR((VLOOKUP($A195,'SegEnds_NonXtal_BW#'!$A:$Z,26,FALSE)+VLOOKUP($A195,A:AL,37,FALSE)-50)),"-",(VLOOKUP($A195,'SegEnds_NonXtal_BW#'!$A:$Z,26,FALSE)+VLOOKUP($A195,A:AL,37,FALSE)-50))</f>
        <v>375</v>
      </c>
      <c r="AM195" s="28" t="str">
        <f>VLOOKUP(A195,Classification!A:B,2,FALSE)</f>
        <v>A</v>
      </c>
      <c r="AN195" s="28" t="b">
        <f t="shared" si="121"/>
        <v>1</v>
      </c>
      <c r="AO195" s="3" t="str">
        <f>IF(ISERROR(MATCH(A195,'SegEnds_Xtal_Prot#'!B:B, 0)), "NoXtal", "Xtal")</f>
        <v>NoXtal</v>
      </c>
      <c r="AP195" s="3">
        <f t="shared" si="104"/>
        <v>1</v>
      </c>
      <c r="AQ195" s="3">
        <f t="shared" si="105"/>
        <v>1</v>
      </c>
      <c r="AR195" s="3">
        <f t="shared" si="106"/>
        <v>2</v>
      </c>
      <c r="AS195" s="3">
        <f t="shared" si="107"/>
        <v>1</v>
      </c>
      <c r="AT195" s="3">
        <f t="shared" si="108"/>
        <v>1</v>
      </c>
      <c r="AU195" s="3">
        <f t="shared" si="109"/>
        <v>1</v>
      </c>
      <c r="AV195" s="3">
        <f t="shared" si="110"/>
        <v>19</v>
      </c>
      <c r="AW195" s="3">
        <f t="shared" si="111"/>
        <v>4</v>
      </c>
      <c r="AX195" s="3">
        <f t="shared" si="112"/>
        <v>17</v>
      </c>
      <c r="AY195" s="3">
        <f t="shared" si="113"/>
        <v>8</v>
      </c>
      <c r="AZ195" s="3">
        <f t="shared" si="114"/>
        <v>1</v>
      </c>
      <c r="BA195" s="3">
        <f>IF(ISERROR(LEN(VLOOKUP(A195,Seqs!A:E,2,FALSE))-AL195),"-",LEN(VLOOKUP(A195,Seqs!A:E,2,FALSE))-AL195)</f>
        <v>51</v>
      </c>
      <c r="BB195" s="16">
        <f t="shared" si="115"/>
        <v>28</v>
      </c>
      <c r="BC195" s="9">
        <f t="shared" si="116"/>
        <v>20</v>
      </c>
      <c r="BD195" s="3">
        <f t="shared" si="117"/>
        <v>28</v>
      </c>
      <c r="BE195" s="3">
        <f t="shared" si="118"/>
        <v>69</v>
      </c>
    </row>
    <row r="196" spans="1:57" s="3" customFormat="1" x14ac:dyDescent="0.2">
      <c r="A196" s="3" t="s">
        <v>318</v>
      </c>
      <c r="B196" s="3" t="str">
        <f>LOWER(VLOOKUP(A196,Xtal_Templ!A:B,2,FALSE))</f>
        <v>ntr1_rat</v>
      </c>
      <c r="C196" s="3">
        <f>VLOOKUP($A196,'SegEnds_NonXtal_BW#'!$A:$Z,3,FALSE)+D196-50</f>
        <v>42</v>
      </c>
      <c r="D196" s="3">
        <v>63</v>
      </c>
      <c r="E196" s="3">
        <f>IF(ISERROR(VLOOKUP($A196,'SegEnds_NonXtal_BW#'!$A:$Z,4,FALSE)+VLOOKUP($A196,A:AL,4,FALSE)-50),"-",(VLOOKUP($A196,'SegEnds_NonXtal_BW#'!$A:$Z,4,FALSE)+VLOOKUP($A196,A:AL,4,FALSE)-50))</f>
        <v>73</v>
      </c>
      <c r="F196" s="3">
        <f t="shared" si="135"/>
        <v>74</v>
      </c>
      <c r="G196" s="3">
        <v>76</v>
      </c>
      <c r="H196" s="3">
        <f t="shared" si="136"/>
        <v>77</v>
      </c>
      <c r="I196" s="3">
        <f t="shared" si="136"/>
        <v>78</v>
      </c>
      <c r="J196" s="3">
        <v>91</v>
      </c>
      <c r="K196" s="3">
        <f>VLOOKUP($A196,'SegEnds_NonXtal_BW#'!$A:$Z,8,FALSE)+VLOOKUP($A196,A:AL,10,FALSE)-50</f>
        <v>107</v>
      </c>
      <c r="L196" s="3">
        <f t="shared" si="137"/>
        <v>109</v>
      </c>
      <c r="M196" s="3">
        <v>110</v>
      </c>
      <c r="N196" s="3">
        <f t="shared" si="138"/>
        <v>112</v>
      </c>
      <c r="O196" s="3">
        <f t="shared" si="139"/>
        <v>113</v>
      </c>
      <c r="P196" s="3">
        <v>144</v>
      </c>
      <c r="Q196" s="3">
        <f>VLOOKUP($A196,'SegEnds_NonXtal_BW#'!$A:$Z,12,FALSE)+VLOOKUP($A196,A:AL,16,FALSE)-50</f>
        <v>150</v>
      </c>
      <c r="R196" s="3">
        <f>IF(ISERROR(VLOOKUP($A196,'SegEnds_NonXtal_BW#'!$A:$Z,13,FALSE)+VLOOKUP($A196,A:AL,19,FALSE)-50),"-",VLOOKUP($A196,'SegEnds_NonXtal_BW#'!$A:$Z,13,FALSE)+VLOOKUP($A196,A:AL,19,FALSE)-50)</f>
        <v>151</v>
      </c>
      <c r="S196" s="3">
        <v>151</v>
      </c>
      <c r="T196" s="100">
        <f>IF(ISERROR(VLOOKUP($A196,'SegEnds_NonXtal_BW#'!$A:$Z,14,FALSE)+VLOOKUP($A196,A:AL,19,FALSE)-50),"-",(VLOOKUP($A196,'SegEnds_NonXtal_BW#'!$A:$Z,14,FALSE)+VLOOKUP($A196,A:AL,19,FALSE)-50))</f>
        <v>158</v>
      </c>
      <c r="U196" s="9">
        <f>IF(ISERROR(VLOOKUP($A196,'SegEnds_NonXtal_BW#'!$A:$Z,15,FALSE)+VLOOKUP($A196,A:AL,22,FALSE)-50),"-",VLOOKUP($A196,'SegEnds_NonXtal_BW#'!$A:$Z,15,FALSE)+VLOOKUP($A196,A:AL,22,FALSE)-50)</f>
        <v>159</v>
      </c>
      <c r="V196" s="3">
        <v>171</v>
      </c>
      <c r="W196" s="3">
        <f>IF(ISERROR(VLOOKUP($A196,'SegEnds_NonXtal_BW#'!$A:$Z,16,FALSE)+VLOOKUP($A196,A:AL,22,FALSE)-50),"-",(VLOOKUP($A196,'SegEnds_NonXtal_BW#'!$A:$Z,16,FALSE)+VLOOKUP($A196,A:AL,22,FALSE)-50))</f>
        <v>185</v>
      </c>
      <c r="X196" s="3">
        <f>IF(ISERROR(VLOOKUP($A196,'SegEnds_NonXtal_BW#'!$A:$Z,17,FALSE)+VLOOKUP($A196,A:AL,25,FALSE)-50),"-",(VLOOKUP($A196,'SegEnds_NonXtal_BW#'!$A:$Z,17,FALSE)+VLOOKUP($A196,A:AL,25,FALSE)-50))</f>
        <v>204</v>
      </c>
      <c r="Y196" s="3">
        <v>204</v>
      </c>
      <c r="Z196" s="3">
        <f t="shared" si="140"/>
        <v>206</v>
      </c>
      <c r="AA196" s="3">
        <f>IF(ISERROR(VLOOKUP($A196,'SegEnds_NonXtal_BW#'!$A:$Z,19,FALSE)+VLOOKUP($A196,A:AL,28,FALSE)-50),"-",(VLOOKUP($A196,'SegEnds_NonXtal_BW#'!$A:$Z,19,FALSE)+VLOOKUP($A196,A:AL,28,FALSE)-50))</f>
        <v>210</v>
      </c>
      <c r="AB196" s="3">
        <v>228</v>
      </c>
      <c r="AC196" s="3">
        <f>IF(ISERROR((VLOOKUP($A196,'SegEnds_NonXtal_BW#'!$A:$Z,20,FALSE)+VLOOKUP($A196,A:AL,28,FALSE)-50)),"-",(VLOOKUP($A196,'SegEnds_NonXtal_BW#'!$A:$Z,20,FALSE)+VLOOKUP($A196,A:AL,28,FALSE)-50))</f>
        <v>251</v>
      </c>
      <c r="AD196" s="3">
        <f>IF(ISERROR(VLOOKUP($A196,'SegEnds_NonXtal_BW#'!$A:$Z,21,FALSE)+VLOOKUP($A196,A:AL,31,FALSE)-50),"-",(VLOOKUP($A196,'SegEnds_NonXtal_BW#'!$A:$Z,21,FALSE)+VLOOKUP($A196,A:AL,31,FALSE)-50))</f>
        <v>255</v>
      </c>
      <c r="AE196" s="3">
        <v>283</v>
      </c>
      <c r="AF196" s="3">
        <f>IF(ISERROR((VLOOKUP($A196,'SegEnds_NonXtal_BW#'!$A:$Z,22,FALSE)+VLOOKUP($A196,A:AL,31,FALSE)-50)),"-",(VLOOKUP($A196,'SegEnds_NonXtal_BW#'!$A:$Z,22,FALSE)+VLOOKUP($A196,A:AL,31,FALSE)-50))</f>
        <v>294</v>
      </c>
      <c r="AG196" s="3">
        <f>IF(ISERROR(VLOOKUP($A196,'SegEnds_NonXtal_BW#'!$A:$Z,23,FALSE)+VLOOKUP($A196,A:AL,34,FALSE)-50),"-",(VLOOKUP($A196,'SegEnds_NonXtal_BW#'!$A:$Z,23,FALSE)+VLOOKUP($A196,A:AL,34,FALSE)-50))</f>
        <v>302</v>
      </c>
      <c r="AH196" s="3">
        <v>324</v>
      </c>
      <c r="AI196" s="3">
        <f>IF(ISERROR((VLOOKUP($A196,'SegEnds_NonXtal_BW#'!$A:$Z,24,FALSE)+VLOOKUP($A196,A:AL,34,FALSE)-50)),"-",(VLOOKUP($A196,'SegEnds_NonXtal_BW#'!$A:$Z,24,FALSE)+VLOOKUP($A196,A:AL,34,FALSE)-50))</f>
        <v>330</v>
      </c>
      <c r="AJ196" s="3">
        <f>IF(ISERROR(VLOOKUP($A196,'SegEnds_NonXtal_BW#'!$A:$Z,25,FALSE)+VLOOKUP($A196,A:AL,37,FALSE)-50),"-",(VLOOKUP($A196,'SegEnds_NonXtal_BW#'!$A:$Z,25,FALSE)+VLOOKUP($A196,A:AL,37,FALSE)-50))</f>
        <v>331</v>
      </c>
      <c r="AK196" s="3">
        <v>334</v>
      </c>
      <c r="AL196" s="3">
        <f>IF(ISERROR((VLOOKUP($A196,'SegEnds_NonXtal_BW#'!$A:$Z,26,FALSE)+VLOOKUP($A196,A:AL,37,FALSE)-50)),"-",(VLOOKUP($A196,'SegEnds_NonXtal_BW#'!$A:$Z,26,FALSE)+VLOOKUP($A196,A:AL,37,FALSE)-50))</f>
        <v>346</v>
      </c>
      <c r="AM196" s="28" t="str">
        <f>VLOOKUP(A196,Classification!A:B,2,FALSE)</f>
        <v>A</v>
      </c>
      <c r="AN196" s="28" t="b">
        <f t="shared" si="121"/>
        <v>1</v>
      </c>
      <c r="AO196" s="3" t="str">
        <f>IF(ISERROR(MATCH(A196,'SegEnds_Xtal_Prot#'!B:B, 0)), "NoXtal", "Xtal")</f>
        <v>NoXtal</v>
      </c>
      <c r="AP196" s="3">
        <f t="shared" si="104"/>
        <v>1</v>
      </c>
      <c r="AQ196" s="3">
        <f t="shared" si="105"/>
        <v>1</v>
      </c>
      <c r="AR196" s="3">
        <f t="shared" si="106"/>
        <v>2</v>
      </c>
      <c r="AS196" s="3">
        <f t="shared" si="107"/>
        <v>1</v>
      </c>
      <c r="AT196" s="3">
        <f t="shared" si="108"/>
        <v>1</v>
      </c>
      <c r="AU196" s="3">
        <f t="shared" si="109"/>
        <v>1</v>
      </c>
      <c r="AV196" s="3">
        <f t="shared" si="110"/>
        <v>19</v>
      </c>
      <c r="AW196" s="3">
        <f t="shared" si="111"/>
        <v>4</v>
      </c>
      <c r="AX196" s="3">
        <f t="shared" si="112"/>
        <v>4</v>
      </c>
      <c r="AY196" s="3">
        <f t="shared" si="113"/>
        <v>8</v>
      </c>
      <c r="AZ196" s="3">
        <f t="shared" si="114"/>
        <v>1</v>
      </c>
      <c r="BA196" s="3">
        <f>IF(ISERROR(LEN(VLOOKUP(A196,Seqs!A:E,2,FALSE))-AL196),"-",LEN(VLOOKUP(A196,Seqs!A:E,2,FALSE))-AL196)</f>
        <v>69</v>
      </c>
      <c r="BB196" s="16">
        <f t="shared" si="115"/>
        <v>28</v>
      </c>
      <c r="BC196" s="9">
        <f t="shared" si="116"/>
        <v>20</v>
      </c>
      <c r="BD196" s="3">
        <f t="shared" si="117"/>
        <v>28</v>
      </c>
      <c r="BE196" s="3">
        <f t="shared" si="118"/>
        <v>55</v>
      </c>
    </row>
    <row r="197" spans="1:57" s="3" customFormat="1" x14ac:dyDescent="0.2">
      <c r="A197" s="3" t="s">
        <v>127</v>
      </c>
      <c r="B197" s="3" t="str">
        <f>LOWER(VLOOKUP(A197,Xtal_Templ!A:B,2,FALSE))</f>
        <v>ntr1_human</v>
      </c>
      <c r="C197" s="3">
        <f>VLOOKUP($A197,'SegEnds_NonXtal_BW#'!$A:$Z,3,FALSE)+D197-50</f>
        <v>59</v>
      </c>
      <c r="D197" s="3">
        <v>81</v>
      </c>
      <c r="E197" s="3">
        <f>IF(ISERROR(VLOOKUP($A197,'SegEnds_NonXtal_BW#'!$A:$Z,4,FALSE)+VLOOKUP($A197,A:AL,4,FALSE)-50),"-",(VLOOKUP($A197,'SegEnds_NonXtal_BW#'!$A:$Z,4,FALSE)+VLOOKUP($A197,A:AL,4,FALSE)-50))</f>
        <v>91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99</v>
      </c>
      <c r="J197" s="3">
        <v>112</v>
      </c>
      <c r="K197" s="3">
        <f>VLOOKUP($A197,'SegEnds_NonXtal_BW#'!$A:$Z,8,FALSE)+VLOOKUP($A197,A:AL,10,FALSE)-50</f>
        <v>130</v>
      </c>
      <c r="L197" s="3">
        <f t="shared" si="137"/>
        <v>133</v>
      </c>
      <c r="M197" s="3">
        <v>134</v>
      </c>
      <c r="N197" s="3">
        <f t="shared" si="138"/>
        <v>136</v>
      </c>
      <c r="O197" s="3">
        <f t="shared" si="139"/>
        <v>137</v>
      </c>
      <c r="P197" s="3">
        <v>166</v>
      </c>
      <c r="Q197" s="3">
        <f>VLOOKUP($A197,'SegEnds_NonXtal_BW#'!$A:$Z,12,FALSE)+VLOOKUP($A197,A:AL,16,FALSE)-50</f>
        <v>172</v>
      </c>
      <c r="R197" s="3">
        <f>IF(ISERROR(VLOOKUP($A197,'SegEnds_NonXtal_BW#'!$A:$Z,13,FALSE)+VLOOKUP($A197,A:AL,19,FALSE)-50),"-",VLOOKUP($A197,'SegEnds_NonXtal_BW#'!$A:$Z,13,FALSE)+VLOOKUP($A197,A:AL,19,FALSE)-50)</f>
        <v>173</v>
      </c>
      <c r="S197" s="3">
        <v>173</v>
      </c>
      <c r="T197" s="100">
        <f>IF(ISERROR(VLOOKUP($A197,'SegEnds_NonXtal_BW#'!$A:$Z,14,FALSE)+VLOOKUP($A197,A:AL,19,FALSE)-50),"-",(VLOOKUP($A197,'SegEnds_NonXtal_BW#'!$A:$Z,14,FALSE)+VLOOKUP($A197,A:AL,19,FALSE)-50))</f>
        <v>180</v>
      </c>
      <c r="U197" s="9">
        <f>IF(ISERROR(VLOOKUP($A197,'SegEnds_NonXtal_BW#'!$A:$Z,15,FALSE)+VLOOKUP($A197,A:AL,22,FALSE)-50),"-",VLOOKUP($A197,'SegEnds_NonXtal_BW#'!$A:$Z,15,FALSE)+VLOOKUP($A197,A:AL,22,FALSE)-50)</f>
        <v>181</v>
      </c>
      <c r="V197" s="3">
        <v>193</v>
      </c>
      <c r="W197" s="3">
        <f>IF(ISERROR(VLOOKUP($A197,'SegEnds_NonXtal_BW#'!$A:$Z,16,FALSE)+VLOOKUP($A197,A:AL,22,FALSE)-50),"-",(VLOOKUP($A197,'SegEnds_NonXtal_BW#'!$A:$Z,16,FALSE)+VLOOKUP($A197,A:AL,22,FALSE)-50))</f>
        <v>207</v>
      </c>
      <c r="X197" s="3">
        <f>IF(ISERROR(VLOOKUP($A197,'SegEnds_NonXtal_BW#'!$A:$Z,17,FALSE)+VLOOKUP($A197,A:AL,25,FALSE)-50),"-",(VLOOKUP($A197,'SegEnds_NonXtal_BW#'!$A:$Z,17,FALSE)+VLOOKUP($A197,A:AL,25,FALSE)-50))</f>
        <v>224</v>
      </c>
      <c r="Y197" s="3">
        <v>224</v>
      </c>
      <c r="Z197" s="3">
        <f t="shared" si="140"/>
        <v>226</v>
      </c>
      <c r="AA197" s="3">
        <f>IF(ISERROR(VLOOKUP($A197,'SegEnds_NonXtal_BW#'!$A:$Z,19,FALSE)+VLOOKUP($A197,A:AL,28,FALSE)-50),"-",(VLOOKUP($A197,'SegEnds_NonXtal_BW#'!$A:$Z,19,FALSE)+VLOOKUP($A197,A:AL,28,FALSE)-50))</f>
        <v>229</v>
      </c>
      <c r="AB197" s="3">
        <v>248</v>
      </c>
      <c r="AC197" s="3">
        <f>IF(ISERROR((VLOOKUP($A197,'SegEnds_NonXtal_BW#'!$A:$Z,20,FALSE)+VLOOKUP($A197,A:AL,28,FALSE)-50)),"-",(VLOOKUP($A197,'SegEnds_NonXtal_BW#'!$A:$Z,20,FALSE)+VLOOKUP($A197,A:AL,28,FALSE)-50))</f>
        <v>274</v>
      </c>
      <c r="AD197" s="3">
        <f>IF(ISERROR(VLOOKUP($A197,'SegEnds_NonXtal_BW#'!$A:$Z,21,FALSE)+VLOOKUP($A197,A:AL,31,FALSE)-50),"-",(VLOOKUP($A197,'SegEnds_NonXtal_BW#'!$A:$Z,21,FALSE)+VLOOKUP($A197,A:AL,31,FALSE)-50))</f>
        <v>292</v>
      </c>
      <c r="AE197" s="3">
        <v>318</v>
      </c>
      <c r="AF197" s="3">
        <f>IF(ISERROR((VLOOKUP($A197,'SegEnds_NonXtal_BW#'!$A:$Z,22,FALSE)+VLOOKUP($A197,A:AL,31,FALSE)-50)),"-",(VLOOKUP($A197,'SegEnds_NonXtal_BW#'!$A:$Z,22,FALSE)+VLOOKUP($A197,A:AL,31,FALSE)-50))</f>
        <v>329</v>
      </c>
      <c r="AG197" s="3">
        <f>IF(ISERROR(VLOOKUP($A197,'SegEnds_NonXtal_BW#'!$A:$Z,23,FALSE)+VLOOKUP($A197,A:AL,34,FALSE)-50),"-",(VLOOKUP($A197,'SegEnds_NonXtal_BW#'!$A:$Z,23,FALSE)+VLOOKUP($A197,A:AL,34,FALSE)-50))</f>
        <v>335</v>
      </c>
      <c r="AH197" s="3">
        <v>361</v>
      </c>
      <c r="AI197" s="3">
        <f>IF(ISERROR((VLOOKUP($A197,'SegEnds_NonXtal_BW#'!$A:$Z,24,FALSE)+VLOOKUP($A197,A:AL,34,FALSE)-50)),"-",(VLOOKUP($A197,'SegEnds_NonXtal_BW#'!$A:$Z,24,FALSE)+VLOOKUP($A197,A:AL,34,FALSE)-50))</f>
        <v>367</v>
      </c>
      <c r="AJ197" s="3">
        <f>IF(ISERROR(VLOOKUP($A197,'SegEnds_NonXtal_BW#'!$A:$Z,25,FALSE)+VLOOKUP($A197,A:AL,37,FALSE)-50),"-",(VLOOKUP($A197,'SegEnds_NonXtal_BW#'!$A:$Z,25,FALSE)+VLOOKUP($A197,A:AL,37,FALSE)-50))</f>
        <v>368</v>
      </c>
      <c r="AK197" s="3">
        <v>371</v>
      </c>
      <c r="AL197" s="3">
        <f>IF(ISERROR((VLOOKUP($A197,'SegEnds_NonXtal_BW#'!$A:$Z,26,FALSE)+VLOOKUP($A197,A:AL,37,FALSE)-50)),"-",(VLOOKUP($A197,'SegEnds_NonXtal_BW#'!$A:$Z,26,FALSE)+VLOOKUP($A197,A:AL,37,FALSE)-50))</f>
        <v>383</v>
      </c>
      <c r="AM197" s="28" t="str">
        <f>VLOOKUP(A197,Classification!A:B,2,FALSE)</f>
        <v>A</v>
      </c>
      <c r="AN197" s="28" t="b">
        <f t="shared" si="121"/>
        <v>1</v>
      </c>
      <c r="AO197" s="3" t="str">
        <f>IF(ISERROR(MATCH(A197,'SegEnds_Xtal_Prot#'!B:B, 0)), "NoXtal", "Xtal")</f>
        <v>Xtal</v>
      </c>
      <c r="AP197" s="3" t="str">
        <f t="shared" ref="AP197:AP261" si="141">IF(ISERROR(F197-E197),"-",F197-E197)</f>
        <v>-</v>
      </c>
      <c r="AQ197" s="3" t="str">
        <f t="shared" ref="AQ197:AQ261" si="142">IF(ISERROR(I197-H197),"-",I197-H197)</f>
        <v>-</v>
      </c>
      <c r="AR197" s="3">
        <f t="shared" ref="AR197:AR261" si="143">IF(ISERROR(L197-K197),"-",L197-K197)</f>
        <v>3</v>
      </c>
      <c r="AS197" s="3">
        <f t="shared" ref="AS197:AS261" si="144">IF(ISERROR(O197-N197),"-",O197-N197)</f>
        <v>1</v>
      </c>
      <c r="AT197" s="3">
        <f t="shared" ref="AT197:AT261" si="145">IF(ISERROR(R197-Q197),"-",R197-Q197)</f>
        <v>1</v>
      </c>
      <c r="AU197" s="3">
        <f t="shared" ref="AU197:AU261" si="146">IF(ISERROR(U197-T197),"-",U197-T197)</f>
        <v>1</v>
      </c>
      <c r="AV197" s="3">
        <f t="shared" ref="AV197:AV261" si="147">IF(ISERROR(X197-W197),"-",X197-W197)</f>
        <v>17</v>
      </c>
      <c r="AW197" s="3">
        <f t="shared" ref="AW197:AW261" si="148">IF(ISERROR(AA197-Z197),"-",AA197-Z197)</f>
        <v>3</v>
      </c>
      <c r="AX197" s="3">
        <f t="shared" ref="AX197:AX261" si="149">IF(ISERROR(AD197-AC197),"-",AD197-AC197)</f>
        <v>18</v>
      </c>
      <c r="AY197" s="3">
        <f t="shared" ref="AY197:AY261" si="150">IF(ISERROR(AG197-AF197),"-",AG197-AF197)</f>
        <v>6</v>
      </c>
      <c r="AZ197" s="3">
        <f t="shared" ref="AZ197:AZ261" si="151">IF(ISERROR(AJ197-AI197),"-",AJ197-AI197)</f>
        <v>1</v>
      </c>
      <c r="BA197" s="3">
        <f>IF(ISERROR(LEN(VLOOKUP(A197,Seqs!A:E,2,FALSE))-AL197),"-",LEN(VLOOKUP(A197,Seqs!A:E,2,FALSE))-AL197)</f>
        <v>35</v>
      </c>
      <c r="BB197" s="16">
        <f t="shared" ref="BB197:BB261" si="152">J197-D197</f>
        <v>31</v>
      </c>
      <c r="BC197" s="9">
        <f t="shared" ref="BC197:BC261" si="153">IF(ISERROR(V197-S197),"-",V197-S197)</f>
        <v>20</v>
      </c>
      <c r="BD197" s="3">
        <f t="shared" ref="BD197:BD261" si="154">J197-D197</f>
        <v>31</v>
      </c>
      <c r="BE197" s="3">
        <f t="shared" ref="BE197:BE261" si="155">AE197-AB197</f>
        <v>70</v>
      </c>
    </row>
    <row r="198" spans="1:57" s="3" customFormat="1" x14ac:dyDescent="0.2">
      <c r="A198" s="3" t="s">
        <v>909</v>
      </c>
      <c r="B198" s="3" t="str">
        <f>LOWER(VLOOKUP(A198,Xtal_Templ!A:B,2,FALSE))</f>
        <v>ntr1_rat</v>
      </c>
      <c r="C198" s="3">
        <f>VLOOKUP($A198,'SegEnds_NonXtal_BW#'!$A:$Z,3,FALSE)+D198-50</f>
        <v>61</v>
      </c>
      <c r="D198" s="3">
        <v>82</v>
      </c>
      <c r="E198" s="3">
        <f>IF(ISERROR(VLOOKUP($A198,'SegEnds_NonXtal_BW#'!$A:$Z,4,FALSE)+VLOOKUP($A198,A:AL,4,FALSE)-50),"-",(VLOOKUP($A198,'SegEnds_NonXtal_BW#'!$A:$Z,4,FALSE)+VLOOKUP($A198,A:AL,4,FALSE)-50))</f>
        <v>92</v>
      </c>
      <c r="F198" s="3" t="s">
        <v>23</v>
      </c>
      <c r="G198" s="3" t="s">
        <v>23</v>
      </c>
      <c r="H198" s="3" t="s">
        <v>23</v>
      </c>
      <c r="I198" s="3">
        <f>VLOOKUP($A198,'SegEnds_NonXtal_BW#'!$A:$Z,7,FALSE)+J198-50</f>
        <v>100</v>
      </c>
      <c r="J198" s="3">
        <v>113</v>
      </c>
      <c r="K198" s="3">
        <f>VLOOKUP($A198,'SegEnds_NonXtal_BW#'!$A:$Z,8,FALSE)+VLOOKUP($A198,A:AL,10,FALSE)-50</f>
        <v>131</v>
      </c>
      <c r="L198" s="3">
        <f>IF(ISERROR(VLOOKUP($A198,'SegEnds_NonXtal_BW#'!$A:$Z,9,FALSE)+VLOOKUP($A198,A:AL,13,FALSE)-50),"-",(VLOOKUP($A198,'SegEnds_NonXtal_BW#'!$A:$Z,9,FALSE)+VLOOKUP($A198,A:AL,13,FALSE)-50))</f>
        <v>134</v>
      </c>
      <c r="M198" s="3">
        <v>135</v>
      </c>
      <c r="N198" s="3">
        <f>IF(ISERROR(VLOOKUP($A198,'SegEnds_NonXtal_BW#'!$A:$Z,10,FALSE)+VLOOKUP($A198,A:AL,13,FALSE)-50),"-",(VLOOKUP($A198,'SegEnds_NonXtal_BW#'!$A:$Z,10,FALSE)+VLOOKUP($A198,A:AL,13,FALSE)-50))</f>
        <v>137</v>
      </c>
      <c r="O198" s="3">
        <f t="shared" si="139"/>
        <v>138</v>
      </c>
      <c r="P198" s="3">
        <v>167</v>
      </c>
      <c r="Q198" s="3">
        <f>VLOOKUP($A198,'SegEnds_NonXtal_BW#'!$A:$Z,12,FALSE)+VLOOKUP($A198,A:AL,16,FALSE)-50</f>
        <v>173</v>
      </c>
      <c r="R198" s="3">
        <f>IF(ISERROR(VLOOKUP($A198,'SegEnds_NonXtal_BW#'!$A:$Z,13,FALSE)+VLOOKUP($A198,A:AL,19,FALSE)-50),"-",VLOOKUP($A198,'SegEnds_NonXtal_BW#'!$A:$Z,13,FALSE)+VLOOKUP($A198,A:AL,19,FALSE)-50)</f>
        <v>174</v>
      </c>
      <c r="S198" s="3">
        <v>174</v>
      </c>
      <c r="T198" s="100">
        <f>IF(ISERROR(VLOOKUP($A198,'SegEnds_NonXtal_BW#'!$A:$Z,14,FALSE)+VLOOKUP($A198,A:AL,19,FALSE)-50),"-",(VLOOKUP($A198,'SegEnds_NonXtal_BW#'!$A:$Z,14,FALSE)+VLOOKUP($A198,A:AL,19,FALSE)-50))</f>
        <v>181</v>
      </c>
      <c r="U198" s="9">
        <f>IF(ISERROR(VLOOKUP($A198,'SegEnds_NonXtal_BW#'!$A:$Z,15,FALSE)+VLOOKUP($A198,A:AL,22,FALSE)-50),"-",VLOOKUP($A198,'SegEnds_NonXtal_BW#'!$A:$Z,15,FALSE)+VLOOKUP($A198,A:AL,22,FALSE)-50)</f>
        <v>182</v>
      </c>
      <c r="V198" s="3">
        <v>194</v>
      </c>
      <c r="W198" s="3">
        <f>IF(ISERROR(VLOOKUP($A198,'SegEnds_NonXtal_BW#'!$A:$Z,16,FALSE)+VLOOKUP($A198,A:AL,22,FALSE)-50),"-",(VLOOKUP($A198,'SegEnds_NonXtal_BW#'!$A:$Z,16,FALSE)+VLOOKUP($A198,A:AL,22,FALSE)-50))</f>
        <v>208</v>
      </c>
      <c r="X198" s="3">
        <f>IF(ISERROR(VLOOKUP($A198,'SegEnds_NonXtal_BW#'!$A:$Z,17,FALSE)+VLOOKUP($A198,A:AL,25,FALSE)-50),"-",(VLOOKUP($A198,'SegEnds_NonXtal_BW#'!$A:$Z,17,FALSE)+VLOOKUP($A198,A:AL,25,FALSE)-50))</f>
        <v>225</v>
      </c>
      <c r="Y198" s="3">
        <v>225</v>
      </c>
      <c r="Z198" s="3">
        <f t="shared" si="140"/>
        <v>227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249</v>
      </c>
      <c r="AC198" s="3">
        <f>IF(ISERROR((VLOOKUP($A198,'SegEnds_NonXtal_BW#'!$A:$Z,20,FALSE)+VLOOKUP($A198,A:AL,28,FALSE)-50)),"-",(VLOOKUP($A198,'SegEnds_NonXtal_BW#'!$A:$Z,20,FALSE)+VLOOKUP($A198,A:AL,28,FALSE)-50))</f>
        <v>275</v>
      </c>
      <c r="AD198" s="3">
        <f>IF(ISERROR(VLOOKUP($A198,'SegEnds_NonXtal_BW#'!$A:$Z,21,FALSE)+VLOOKUP($A198,A:AL,31,FALSE)-50),"-",(VLOOKUP($A198,'SegEnds_NonXtal_BW#'!$A:$Z,21,FALSE)+VLOOKUP($A198,A:AL,31,FALSE)-50))</f>
        <v>297</v>
      </c>
      <c r="AE198" s="3">
        <v>323</v>
      </c>
      <c r="AF198" s="3">
        <f>IF(ISERROR((VLOOKUP($A198,'SegEnds_NonXtal_BW#'!$A:$Z,22,FALSE)+VLOOKUP($A198,A:AL,31,FALSE)-50)),"-",(VLOOKUP($A198,'SegEnds_NonXtal_BW#'!$A:$Z,22,FALSE)+VLOOKUP($A198,A:AL,31,FALSE)-50))</f>
        <v>334</v>
      </c>
      <c r="AG198" s="3">
        <f>IF(ISERROR(VLOOKUP($A198,'SegEnds_NonXtal_BW#'!$A:$Z,23,FALSE)+VLOOKUP($A198,A:AL,34,FALSE)-50),"-",(VLOOKUP($A198,'SegEnds_NonXtal_BW#'!$A:$Z,23,FALSE)+VLOOKUP($A198,A:AL,34,FALSE)-50))</f>
        <v>340</v>
      </c>
      <c r="AH198" s="3">
        <v>366</v>
      </c>
      <c r="AI198" s="3">
        <f>IF(ISERROR((VLOOKUP($A198,'SegEnds_NonXtal_BW#'!$A:$Z,24,FALSE)+VLOOKUP($A198,A:AL,34,FALSE)-50)),"-",(VLOOKUP($A198,'SegEnds_NonXtal_BW#'!$A:$Z,24,FALSE)+VLOOKUP($A198,A:AL,34,FALSE)-50))</f>
        <v>372</v>
      </c>
      <c r="AJ198" s="3">
        <f>IF(ISERROR(VLOOKUP($A198,'SegEnds_NonXtal_BW#'!$A:$Z,25,FALSE)+VLOOKUP($A198,A:AL,37,FALSE)-50),"-",(VLOOKUP($A198,'SegEnds_NonXtal_BW#'!$A:$Z,25,FALSE)+VLOOKUP($A198,A:AL,37,FALSE)-50))</f>
        <v>373</v>
      </c>
      <c r="AK198" s="3">
        <v>376</v>
      </c>
      <c r="AL198" s="3">
        <f>IF(ISERROR((VLOOKUP($A198,'SegEnds_NonXtal_BW#'!$A:$Z,26,FALSE)+VLOOKUP($A198,A:AL,37,FALSE)-50)),"-",(VLOOKUP($A198,'SegEnds_NonXtal_BW#'!$A:$Z,26,FALSE)+VLOOKUP($A198,A:AL,37,FALSE)-50))</f>
        <v>388</v>
      </c>
      <c r="AM198" s="28" t="str">
        <f>VLOOKUP(A198,Classification!A:B,2,FALSE)</f>
        <v>A</v>
      </c>
      <c r="AN198" s="28" t="b">
        <f t="shared" ref="AN198:AN262" si="156">AND(IF(Y198="-",IF(AA198-W198&gt;3,TRUE,FALSE),TRUE),IF(M198="-",IF(O198-K198&gt;3,TRUE,FALSE),TRUE),IF(AG198-AF198&gt;1,TRUE,FALS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Xtal</v>
      </c>
      <c r="AP198" s="3" t="str">
        <f t="shared" si="141"/>
        <v>-</v>
      </c>
      <c r="AQ198" s="3" t="str">
        <f t="shared" si="142"/>
        <v>-</v>
      </c>
      <c r="AR198" s="3">
        <f t="shared" si="143"/>
        <v>3</v>
      </c>
      <c r="AS198" s="3">
        <f t="shared" si="144"/>
        <v>1</v>
      </c>
      <c r="AT198" s="3">
        <f t="shared" si="145"/>
        <v>1</v>
      </c>
      <c r="AU198" s="3">
        <f t="shared" si="146"/>
        <v>1</v>
      </c>
      <c r="AV198" s="3">
        <f t="shared" si="147"/>
        <v>17</v>
      </c>
      <c r="AW198" s="3">
        <f t="shared" si="148"/>
        <v>4</v>
      </c>
      <c r="AX198" s="3">
        <f t="shared" si="149"/>
        <v>22</v>
      </c>
      <c r="AY198" s="3">
        <f t="shared" si="150"/>
        <v>6</v>
      </c>
      <c r="AZ198" s="3">
        <f t="shared" si="151"/>
        <v>1</v>
      </c>
      <c r="BA198" s="3">
        <f>IF(ISERROR(LEN(VLOOKUP(A198,Seqs!A:E,2,FALSE))-AL198),"-",LEN(VLOOKUP(A198,Seqs!A:E,2,FALSE))-AL198)</f>
        <v>36</v>
      </c>
      <c r="BB198" s="16">
        <f t="shared" si="152"/>
        <v>31</v>
      </c>
      <c r="BC198" s="9">
        <f t="shared" si="153"/>
        <v>20</v>
      </c>
      <c r="BD198" s="3">
        <f t="shared" si="154"/>
        <v>31</v>
      </c>
      <c r="BE198" s="3">
        <f t="shared" si="155"/>
        <v>74</v>
      </c>
    </row>
    <row r="199" spans="1:57" s="3" customFormat="1" x14ac:dyDescent="0.2">
      <c r="A199" s="3" t="s">
        <v>329</v>
      </c>
      <c r="B199" s="3" t="str">
        <f>LOWER(VLOOKUP(A199,Xtal_Templ!A:B,2,FALSE))</f>
        <v>ntr1_rat</v>
      </c>
      <c r="C199" s="3">
        <f>VLOOKUP($A199,'SegEnds_NonXtal_BW#'!$A:$Z,3,FALSE)+D199-50</f>
        <v>29</v>
      </c>
      <c r="D199" s="3">
        <v>50</v>
      </c>
      <c r="E199" s="3">
        <f>IF(ISERROR(VLOOKUP($A199,'SegEnds_NonXtal_BW#'!$A:$Z,4,FALSE)+VLOOKUP($A199,A:AL,4,FALSE)-50),"-",(VLOOKUP($A199,'SegEnds_NonXtal_BW#'!$A:$Z,4,FALSE)+VLOOKUP($A199,A:AL,4,FALSE)-50))</f>
        <v>60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66</v>
      </c>
      <c r="J199" s="3">
        <v>79</v>
      </c>
      <c r="K199" s="3">
        <f>VLOOKUP($A199,'SegEnds_NonXtal_BW#'!$A:$Z,8,FALSE)+VLOOKUP($A199,A:AL,10,FALSE)-50</f>
        <v>97</v>
      </c>
      <c r="L199" s="3">
        <f>M199-1</f>
        <v>100</v>
      </c>
      <c r="M199" s="3">
        <v>101</v>
      </c>
      <c r="N199" s="3">
        <f>M199+2</f>
        <v>103</v>
      </c>
      <c r="O199" s="3">
        <f t="shared" si="139"/>
        <v>104</v>
      </c>
      <c r="P199" s="3">
        <v>133</v>
      </c>
      <c r="Q199" s="3">
        <f>VLOOKUP($A199,'SegEnds_NonXtal_BW#'!$A:$Z,12,FALSE)+VLOOKUP($A199,A:AL,16,FALSE)-50</f>
        <v>139</v>
      </c>
      <c r="R199" s="3">
        <f>IF(ISERROR(VLOOKUP($A199,'SegEnds_NonXtal_BW#'!$A:$Z,13,FALSE)+VLOOKUP($A199,A:AL,19,FALSE)-50),"-",VLOOKUP($A199,'SegEnds_NonXtal_BW#'!$A:$Z,13,FALSE)+VLOOKUP($A199,A:AL,19,FALSE)-50)</f>
        <v>140</v>
      </c>
      <c r="S199" s="3">
        <v>140</v>
      </c>
      <c r="T199" s="100">
        <f>IF(ISERROR(VLOOKUP($A199,'SegEnds_NonXtal_BW#'!$A:$Z,14,FALSE)+VLOOKUP($A199,A:AL,19,FALSE)-50),"-",(VLOOKUP($A199,'SegEnds_NonXtal_BW#'!$A:$Z,14,FALSE)+VLOOKUP($A199,A:AL,19,FALSE)-50))</f>
        <v>147</v>
      </c>
      <c r="U199" s="9">
        <f>IF(ISERROR(VLOOKUP($A199,'SegEnds_NonXtal_BW#'!$A:$Z,15,FALSE)+VLOOKUP($A199,A:AL,22,FALSE)-50),"-",VLOOKUP($A199,'SegEnds_NonXtal_BW#'!$A:$Z,15,FALSE)+VLOOKUP($A199,A:AL,22,FALSE)-50)</f>
        <v>148</v>
      </c>
      <c r="V199" s="3">
        <v>160</v>
      </c>
      <c r="W199" s="3">
        <f>IF(ISERROR(VLOOKUP($A199,'SegEnds_NonXtal_BW#'!$A:$Z,16,FALSE)+VLOOKUP($A199,A:AL,22,FALSE)-50),"-",(VLOOKUP($A199,'SegEnds_NonXtal_BW#'!$A:$Z,16,FALSE)+VLOOKUP($A199,A:AL,22,FALSE)-50))</f>
        <v>174</v>
      </c>
      <c r="X199" s="3">
        <f>IF(ISERROR(VLOOKUP($A199,'SegEnds_NonXtal_BW#'!$A:$Z,17,FALSE)+VLOOKUP($A199,A:AL,25,FALSE)-50),"-",(VLOOKUP($A199,'SegEnds_NonXtal_BW#'!$A:$Z,17,FALSE)+VLOOKUP($A199,A:AL,25,FALSE)-50))</f>
        <v>194</v>
      </c>
      <c r="Y199" s="3">
        <v>194</v>
      </c>
      <c r="Z199" s="3">
        <f t="shared" si="140"/>
        <v>196</v>
      </c>
      <c r="AA199" s="3">
        <f>IF(ISERROR(VLOOKUP($A199,'SegEnds_NonXtal_BW#'!$A:$Z,19,FALSE)+VLOOKUP($A199,A:AL,28,FALSE)-50),"-",(VLOOKUP($A199,'SegEnds_NonXtal_BW#'!$A:$Z,19,FALSE)+VLOOKUP($A199,A:AL,28,FALSE)-50))</f>
        <v>200</v>
      </c>
      <c r="AB199" s="3">
        <v>218</v>
      </c>
      <c r="AC199" s="3">
        <f>IF(ISERROR((VLOOKUP($A199,'SegEnds_NonXtal_BW#'!$A:$Z,20,FALSE)+VLOOKUP($A199,A:AL,28,FALSE)-50)),"-",(VLOOKUP($A199,'SegEnds_NonXtal_BW#'!$A:$Z,20,FALSE)+VLOOKUP($A199,A:AL,28,FALSE)-50))</f>
        <v>242</v>
      </c>
      <c r="AD199" s="3">
        <f>IF(ISERROR(VLOOKUP($A199,'SegEnds_NonXtal_BW#'!$A:$Z,21,FALSE)+VLOOKUP($A199,A:AL,31,FALSE)-50),"-",(VLOOKUP($A199,'SegEnds_NonXtal_BW#'!$A:$Z,21,FALSE)+VLOOKUP($A199,A:AL,31,FALSE)-50))</f>
        <v>286</v>
      </c>
      <c r="AE199" s="3">
        <v>312</v>
      </c>
      <c r="AF199" s="3">
        <f>IF(ISERROR((VLOOKUP($A199,'SegEnds_NonXtal_BW#'!$A:$Z,22,FALSE)+VLOOKUP($A199,A:AL,31,FALSE)-50)),"-",(VLOOKUP($A199,'SegEnds_NonXtal_BW#'!$A:$Z,22,FALSE)+VLOOKUP($A199,A:AL,31,FALSE)-50))</f>
        <v>323</v>
      </c>
      <c r="AG199" s="3">
        <f>IF(ISERROR(VLOOKUP($A199,'SegEnds_NonXtal_BW#'!$A:$Z,23,FALSE)+VLOOKUP($A199,A:AL,34,FALSE)-50),"-",(VLOOKUP($A199,'SegEnds_NonXtal_BW#'!$A:$Z,23,FALSE)+VLOOKUP($A199,A:AL,34,FALSE)-50))</f>
        <v>329</v>
      </c>
      <c r="AH199" s="3">
        <v>355</v>
      </c>
      <c r="AI199" s="3">
        <f>IF(ISERROR((VLOOKUP($A199,'SegEnds_NonXtal_BW#'!$A:$Z,24,FALSE)+VLOOKUP($A199,A:AL,34,FALSE)-50)),"-",(VLOOKUP($A199,'SegEnds_NonXtal_BW#'!$A:$Z,24,FALSE)+VLOOKUP($A199,A:AL,34,FALSE)-50))</f>
        <v>361</v>
      </c>
      <c r="AJ199" s="3">
        <f>IF(ISERROR(VLOOKUP($A199,'SegEnds_NonXtal_BW#'!$A:$Z,25,FALSE)+VLOOKUP($A199,A:AL,37,FALSE)-50),"-",(VLOOKUP($A199,'SegEnds_NonXtal_BW#'!$A:$Z,25,FALSE)+VLOOKUP($A199,A:AL,37,FALSE)-50))</f>
        <v>362</v>
      </c>
      <c r="AK199" s="3">
        <v>365</v>
      </c>
      <c r="AL199" s="3">
        <f>IF(ISERROR((VLOOKUP($A199,'SegEnds_NonXtal_BW#'!$A:$Z,26,FALSE)+VLOOKUP($A199,A:AL,37,FALSE)-50)),"-",(VLOOKUP($A199,'SegEnds_NonXtal_BW#'!$A:$Z,26,FALSE)+VLOOKUP($A199,A:AL,37,FALSE)-50))</f>
        <v>377</v>
      </c>
      <c r="AM199" s="28" t="str">
        <f>VLOOKUP(A199,Classification!A:B,2,FALSE)</f>
        <v>A</v>
      </c>
      <c r="AN199" s="28" t="b">
        <f t="shared" si="156"/>
        <v>1</v>
      </c>
      <c r="AO199" s="3" t="str">
        <f>IF(ISERROR(MATCH(A199,'SegEnds_Xtal_Prot#'!B:B, 0)), "NoXtal", "Xtal")</f>
        <v>NoXtal</v>
      </c>
      <c r="AP199" s="3" t="str">
        <f t="shared" si="141"/>
        <v>-</v>
      </c>
      <c r="AQ199" s="3" t="str">
        <f t="shared" si="142"/>
        <v>-</v>
      </c>
      <c r="AR199" s="3">
        <f t="shared" si="143"/>
        <v>3</v>
      </c>
      <c r="AS199" s="3">
        <f t="shared" si="144"/>
        <v>1</v>
      </c>
      <c r="AT199" s="3">
        <f t="shared" si="145"/>
        <v>1</v>
      </c>
      <c r="AU199" s="3">
        <f t="shared" si="146"/>
        <v>1</v>
      </c>
      <c r="AV199" s="3">
        <f t="shared" si="147"/>
        <v>20</v>
      </c>
      <c r="AW199" s="3">
        <f t="shared" si="148"/>
        <v>4</v>
      </c>
      <c r="AX199" s="3">
        <f t="shared" si="149"/>
        <v>44</v>
      </c>
      <c r="AY199" s="3">
        <f t="shared" si="150"/>
        <v>6</v>
      </c>
      <c r="AZ199" s="3">
        <f t="shared" si="151"/>
        <v>1</v>
      </c>
      <c r="BA199" s="3">
        <f>IF(ISERROR(LEN(VLOOKUP(A199,Seqs!A:E,2,FALSE))-AL199),"-",LEN(VLOOKUP(A199,Seqs!A:E,2,FALSE))-AL199)</f>
        <v>33</v>
      </c>
      <c r="BB199" s="16">
        <f t="shared" si="152"/>
        <v>29</v>
      </c>
      <c r="BC199" s="9">
        <f t="shared" si="153"/>
        <v>20</v>
      </c>
      <c r="BD199" s="3">
        <f t="shared" si="154"/>
        <v>29</v>
      </c>
      <c r="BE199" s="3">
        <f t="shared" si="155"/>
        <v>94</v>
      </c>
    </row>
    <row r="200" spans="1:57" s="3" customFormat="1" x14ac:dyDescent="0.2">
      <c r="A200" s="3" t="s">
        <v>330</v>
      </c>
      <c r="B200" s="3" t="str">
        <f>LOWER(VLOOKUP(A200,Xtal_Templ!A:B,2,FALSE))</f>
        <v>agtr2_human</v>
      </c>
      <c r="C200" s="3">
        <f>VLOOKUP($A200,'SegEnds_NonXtal_BW#'!$A:$Z,3,FALSE)+D200-50</f>
        <v>22</v>
      </c>
      <c r="D200" s="3">
        <v>39</v>
      </c>
      <c r="E200" s="3">
        <f>IF(ISERROR(VLOOKUP($A200,'SegEnds_NonXtal_BW#'!$A:$Z,4,FALSE)+VLOOKUP($A200,A:AL,4,FALSE)-50),"-",(VLOOKUP($A200,'SegEnds_NonXtal_BW#'!$A:$Z,4,FALSE)+VLOOKUP($A200,A:AL,4,FALSE)-50))</f>
        <v>49</v>
      </c>
      <c r="F200" s="3">
        <f>IF(ISERROR(VLOOKUP($A200,'SegEnds_NonXtal_BW#'!$A:$Z,5,FALSE)+VLOOKUP($A200,A:AL,7,FALSE)-50),"-",(VLOOKUP($A200,'SegEnds_NonXtal_BW#'!$A:$Z,5,FALSE)+VLOOKUP($A200,A:AL,7,FALSE)-50))</f>
        <v>50</v>
      </c>
      <c r="G200" s="3">
        <v>52</v>
      </c>
      <c r="H200" s="3">
        <f>IF(ISERROR(VLOOKUP($A200,'SegEnds_NonXtal_BW#'!$A:$Z,6,FALSE)+VLOOKUP($A200,A:AL,7,FALSE)-50),"-",(VLOOKUP($A200,'SegEnds_NonXtal_BW#'!$A:$Z,6,FALSE)+VLOOKUP($A200,A:AL,7,FALSE)-50))</f>
        <v>53</v>
      </c>
      <c r="I200" s="3">
        <f>VLOOKUP($A200,'SegEnds_NonXtal_BW#'!$A:$Z,7,FALSE)+J200-50</f>
        <v>54</v>
      </c>
      <c r="J200" s="3">
        <v>67</v>
      </c>
      <c r="K200" s="3">
        <f>VLOOKUP($A200,'SegEnds_NonXtal_BW#'!$A:$Z,8,FALSE)+VLOOKUP($A200,A:AL,10,FALSE)-50</f>
        <v>83</v>
      </c>
      <c r="L200" s="3">
        <f>M200-1</f>
        <v>86</v>
      </c>
      <c r="M200" s="3">
        <v>87</v>
      </c>
      <c r="N200" s="3">
        <f>M200+2</f>
        <v>89</v>
      </c>
      <c r="O200" s="3">
        <f t="shared" si="139"/>
        <v>90</v>
      </c>
      <c r="P200" s="3">
        <v>119</v>
      </c>
      <c r="Q200" s="3">
        <f>VLOOKUP($A200,'SegEnds_NonXtal_BW#'!$A:$Z,12,FALSE)+VLOOKUP($A200,A:AL,16,FALSE)-50</f>
        <v>125</v>
      </c>
      <c r="R200" s="3">
        <f>IF(ISERROR(VLOOKUP($A200,'SegEnds_NonXtal_BW#'!$A:$Z,13,FALSE)+VLOOKUP($A200,A:AL,19,FALSE)-50),"-",VLOOKUP($A200,'SegEnds_NonXtal_BW#'!$A:$Z,13,FALSE)+VLOOKUP($A200,A:AL,19,FALSE)-50)</f>
        <v>126</v>
      </c>
      <c r="S200" s="3">
        <v>126</v>
      </c>
      <c r="T200" s="100">
        <f>IF(ISERROR(VLOOKUP($A200,'SegEnds_NonXtal_BW#'!$A:$Z,14,FALSE)+VLOOKUP($A200,A:AL,19,FALSE)-50),"-",(VLOOKUP($A200,'SegEnds_NonXtal_BW#'!$A:$Z,14,FALSE)+VLOOKUP($A200,A:AL,19,FALSE)-50))</f>
        <v>133</v>
      </c>
      <c r="U200" s="9">
        <f>IF(ISERROR(VLOOKUP($A200,'SegEnds_NonXtal_BW#'!$A:$Z,15,FALSE)+VLOOKUP($A200,A:AL,22,FALSE)-50),"-",VLOOKUP($A200,'SegEnds_NonXtal_BW#'!$A:$Z,15,FALSE)+VLOOKUP($A200,A:AL,22,FALSE)-50)</f>
        <v>134</v>
      </c>
      <c r="V200" s="3">
        <v>146</v>
      </c>
      <c r="W200" s="3">
        <f>IF(ISERROR(VLOOKUP($A200,'SegEnds_NonXtal_BW#'!$A:$Z,16,FALSE)+VLOOKUP($A200,A:AL,22,FALSE)-50),"-",(VLOOKUP($A200,'SegEnds_NonXtal_BW#'!$A:$Z,16,FALSE)+VLOOKUP($A200,A:AL,22,FALSE)-50))</f>
        <v>160</v>
      </c>
      <c r="X200" s="3">
        <f>IF(ISERROR(VLOOKUP($A200,'SegEnds_NonXtal_BW#'!$A:$Z,17,FALSE)+VLOOKUP($A200,A:AL,25,FALSE)-50),"-",(VLOOKUP($A200,'SegEnds_NonXtal_BW#'!$A:$Z,17,FALSE)+VLOOKUP($A200,A:AL,25,FALSE)-50))</f>
        <v>172</v>
      </c>
      <c r="Y200" s="3">
        <v>172</v>
      </c>
      <c r="Z200" s="3">
        <f t="shared" si="140"/>
        <v>174</v>
      </c>
      <c r="AA200" s="3">
        <f>IF(ISERROR(VLOOKUP($A200,'SegEnds_NonXtal_BW#'!$A:$Z,19,FALSE)+VLOOKUP($A200,A:AL,28,FALSE)-50),"-",(VLOOKUP($A200,'SegEnds_NonXtal_BW#'!$A:$Z,19,FALSE)+VLOOKUP($A200,A:AL,28,FALSE)-50))</f>
        <v>177</v>
      </c>
      <c r="AB200" s="3">
        <v>197</v>
      </c>
      <c r="AC200" s="3">
        <f>IF(ISERROR((VLOOKUP($A200,'SegEnds_NonXtal_BW#'!$A:$Z,20,FALSE)+VLOOKUP($A200,A:AL,28,FALSE)-50)),"-",(VLOOKUP($A200,'SegEnds_NonXtal_BW#'!$A:$Z,20,FALSE)+VLOOKUP($A200,A:AL,28,FALSE)-50))</f>
        <v>214</v>
      </c>
      <c r="AD200" s="3">
        <f>IF(ISERROR(VLOOKUP($A200,'SegEnds_NonXtal_BW#'!$A:$Z,21,FALSE)+VLOOKUP($A200,A:AL,31,FALSE)-50),"-",(VLOOKUP($A200,'SegEnds_NonXtal_BW#'!$A:$Z,21,FALSE)+VLOOKUP($A200,A:AL,31,FALSE)-50))</f>
        <v>219</v>
      </c>
      <c r="AE200" s="3">
        <v>243</v>
      </c>
      <c r="AF200" s="3">
        <f>IF(ISERROR((VLOOKUP($A200,'SegEnds_NonXtal_BW#'!$A:$Z,22,FALSE)+VLOOKUP($A200,A:AL,31,FALSE)-50)),"-",(VLOOKUP($A200,'SegEnds_NonXtal_BW#'!$A:$Z,22,FALSE)+VLOOKUP($A200,A:AL,31,FALSE)-50))</f>
        <v>254</v>
      </c>
      <c r="AG200" s="3">
        <f>IF(ISERROR(VLOOKUP($A200,'SegEnds_NonXtal_BW#'!$A:$Z,23,FALSE)+VLOOKUP($A200,A:AL,34,FALSE)-50),"-",(VLOOKUP($A200,'SegEnds_NonXtal_BW#'!$A:$Z,23,FALSE)+VLOOKUP($A200,A:AL,34,FALSE)-50))</f>
        <v>261</v>
      </c>
      <c r="AH200" s="3">
        <v>283</v>
      </c>
      <c r="AI200" s="3">
        <f>IF(ISERROR((VLOOKUP($A200,'SegEnds_NonXtal_BW#'!$A:$Z,24,FALSE)+VLOOKUP($A200,A:AL,34,FALSE)-50)),"-",(VLOOKUP($A200,'SegEnds_NonXtal_BW#'!$A:$Z,24,FALSE)+VLOOKUP($A200,A:AL,34,FALSE)-50))</f>
        <v>289</v>
      </c>
      <c r="AJ200" s="3">
        <f>IF(ISERROR(VLOOKUP($A200,'SegEnds_NonXtal_BW#'!$A:$Z,25,FALSE)+VLOOKUP($A200,A:AL,37,FALSE)-50),"-",(VLOOKUP($A200,'SegEnds_NonXtal_BW#'!$A:$Z,25,FALSE)+VLOOKUP($A200,A:AL,37,FALSE)-50))</f>
        <v>290</v>
      </c>
      <c r="AK200" s="3">
        <v>293</v>
      </c>
      <c r="AL200" s="3">
        <f>IF(ISERROR((VLOOKUP($A200,'SegEnds_NonXtal_BW#'!$A:$Z,26,FALSE)+VLOOKUP($A200,A:AL,37,FALSE)-50)),"-",(VLOOKUP($A200,'SegEnds_NonXtal_BW#'!$A:$Z,26,FALSE)+VLOOKUP($A200,A:AL,37,FALSE)-50))</f>
        <v>304</v>
      </c>
      <c r="AM200" s="28" t="str">
        <f>VLOOKUP(A200,Classification!A:B,2,FALSE)</f>
        <v>A</v>
      </c>
      <c r="AN200" s="28" t="b">
        <f t="shared" si="156"/>
        <v>1</v>
      </c>
      <c r="AO200" s="3" t="str">
        <f>IF(ISERROR(MATCH(A200,'SegEnds_Xtal_Prot#'!B:B, 0)), "NoXtal", "Xtal")</f>
        <v>NoXtal</v>
      </c>
      <c r="AP200" s="3">
        <f t="shared" si="141"/>
        <v>1</v>
      </c>
      <c r="AQ200" s="3">
        <f t="shared" si="142"/>
        <v>1</v>
      </c>
      <c r="AR200" s="3">
        <f t="shared" si="143"/>
        <v>3</v>
      </c>
      <c r="AS200" s="3">
        <f t="shared" si="144"/>
        <v>1</v>
      </c>
      <c r="AT200" s="3">
        <f t="shared" si="145"/>
        <v>1</v>
      </c>
      <c r="AU200" s="3">
        <f t="shared" si="146"/>
        <v>1</v>
      </c>
      <c r="AV200" s="3">
        <f t="shared" si="147"/>
        <v>12</v>
      </c>
      <c r="AW200" s="3">
        <f t="shared" si="148"/>
        <v>3</v>
      </c>
      <c r="AX200" s="3">
        <f t="shared" si="149"/>
        <v>5</v>
      </c>
      <c r="AY200" s="3">
        <f t="shared" si="150"/>
        <v>7</v>
      </c>
      <c r="AZ200" s="3">
        <f t="shared" si="151"/>
        <v>1</v>
      </c>
      <c r="BA200" s="3">
        <f>IF(ISERROR(LEN(VLOOKUP(A200,Seqs!A:E,2,FALSE))-AL200),"-",LEN(VLOOKUP(A200,Seqs!A:E,2,FALSE))-AL200)</f>
        <v>61</v>
      </c>
      <c r="BB200" s="16">
        <f t="shared" si="152"/>
        <v>28</v>
      </c>
      <c r="BC200" s="9">
        <f t="shared" si="153"/>
        <v>20</v>
      </c>
      <c r="BD200" s="3">
        <f t="shared" si="154"/>
        <v>28</v>
      </c>
      <c r="BE200" s="3">
        <f t="shared" si="155"/>
        <v>46</v>
      </c>
    </row>
    <row r="201" spans="1:57" s="3" customFormat="1" x14ac:dyDescent="0.2">
      <c r="A201" s="3" t="s">
        <v>332</v>
      </c>
      <c r="B201" s="3" t="s">
        <v>915</v>
      </c>
      <c r="C201" s="3">
        <f>VLOOKUP($A201,'SegEnds_NonXtal_BW#'!$A:$Z,3,FALSE)+D201-50</f>
        <v>66</v>
      </c>
      <c r="D201" s="3">
        <v>88</v>
      </c>
      <c r="E201" s="3">
        <f>IF(ISERROR(VLOOKUP($A201,'SegEnds_NonXtal_BW#'!$A:$Z,4,FALSE)+VLOOKUP($A201,A:AL,4,FALSE)-50),"-",(VLOOKUP($A201,'SegEnds_NonXtal_BW#'!$A:$Z,4,FALSE)+VLOOKUP($A201,A:AL,4,FALSE)-50))</f>
        <v>98</v>
      </c>
      <c r="F201" s="3">
        <f t="shared" ref="F201:F209" si="157">G201-2</f>
        <v>99</v>
      </c>
      <c r="G201" s="3">
        <v>101</v>
      </c>
      <c r="H201" s="3">
        <f t="shared" ref="H201:I209" si="158">G201+1</f>
        <v>102</v>
      </c>
      <c r="I201" s="3">
        <f t="shared" si="158"/>
        <v>103</v>
      </c>
      <c r="J201" s="3">
        <v>116</v>
      </c>
      <c r="K201" s="3">
        <v>134</v>
      </c>
      <c r="L201" s="3">
        <f>M201-1</f>
        <v>135</v>
      </c>
      <c r="M201" s="3">
        <v>136</v>
      </c>
      <c r="N201" s="3">
        <f>M201+2</f>
        <v>138</v>
      </c>
      <c r="O201" s="3">
        <f t="shared" si="139"/>
        <v>139</v>
      </c>
      <c r="P201" s="3">
        <v>168</v>
      </c>
      <c r="Q201" s="3">
        <f>VLOOKUP($A201,'SegEnds_NonXtal_BW#'!$A:$Z,12,FALSE)+VLOOKUP($A201,A:AL,16,FALSE)-50</f>
        <v>174</v>
      </c>
      <c r="R201" s="3">
        <f>IF(ISERROR(VLOOKUP($A201,'SegEnds_NonXtal_BW#'!$A:$Z,13,FALSE)+VLOOKUP($A201,A:AL,19,FALSE)-50),"-",VLOOKUP($A201,'SegEnds_NonXtal_BW#'!$A:$Z,13,FALSE)+VLOOKUP($A201,A:AL,19,FALSE)-50)</f>
        <v>175</v>
      </c>
      <c r="S201" s="3">
        <v>175</v>
      </c>
      <c r="T201" s="100">
        <f>IF(ISERROR(VLOOKUP($A201,'SegEnds_NonXtal_BW#'!$A:$Z,14,FALSE)+VLOOKUP($A201,A:AL,19,FALSE)-50),"-",(VLOOKUP($A201,'SegEnds_NonXtal_BW#'!$A:$Z,14,FALSE)+VLOOKUP($A201,A:AL,19,FALSE)-50))</f>
        <v>182</v>
      </c>
      <c r="U201" s="9">
        <f>IF(ISERROR(VLOOKUP($A201,'SegEnds_NonXtal_BW#'!$A:$Z,15,FALSE)+VLOOKUP($A201,A:AL,22,FALSE)-50),"-",VLOOKUP($A201,'SegEnds_NonXtal_BW#'!$A:$Z,15,FALSE)+VLOOKUP($A201,A:AL,22,FALSE)-50)</f>
        <v>183</v>
      </c>
      <c r="V201" s="3">
        <v>195</v>
      </c>
      <c r="W201" s="3">
        <f>IF(ISERROR(VLOOKUP($A201,'SegEnds_NonXtal_BW#'!$A:$Z,16,FALSE)+VLOOKUP($A201,A:AL,22,FALSE)-50),"-",(VLOOKUP($A201,'SegEnds_NonXtal_BW#'!$A:$Z,16,FALSE)+VLOOKUP($A201,A:AL,22,FALSE)-50))</f>
        <v>207</v>
      </c>
      <c r="X201" s="3">
        <f>IF(ISERROR(VLOOKUP($A201,'SegEnds_NonXtal_BW#'!$A:$Z,17,FALSE)+VLOOKUP($A201,A:AL,25,FALSE)-50),"-",(VLOOKUP($A201,'SegEnds_NonXtal_BW#'!$A:$Z,17,FALSE)+VLOOKUP($A201,A:AL,25,FALSE)-50))</f>
        <v>221</v>
      </c>
      <c r="Y201" s="3">
        <v>221</v>
      </c>
      <c r="Z201" s="3">
        <f t="shared" si="140"/>
        <v>223</v>
      </c>
      <c r="AA201" s="3">
        <f>IF(ISERROR(VLOOKUP($A201,'SegEnds_NonXtal_BW#'!$A:$Z,19,FALSE)+VLOOKUP($A201,A:AL,28,FALSE)-50),"-",(VLOOKUP($A201,'SegEnds_NonXtal_BW#'!$A:$Z,19,FALSE)+VLOOKUP($A201,A:AL,28,FALSE)-50))</f>
        <v>231</v>
      </c>
      <c r="AB201" s="3">
        <v>247</v>
      </c>
      <c r="AC201" s="3">
        <f>IF(ISERROR((VLOOKUP($A201,'SegEnds_NonXtal_BW#'!$A:$Z,20,FALSE)+VLOOKUP($A201,A:AL,28,FALSE)-50)),"-",(VLOOKUP($A201,'SegEnds_NonXtal_BW#'!$A:$Z,20,FALSE)+VLOOKUP($A201,A:AL,28,FALSE)-50))</f>
        <v>271</v>
      </c>
      <c r="AD201" s="3">
        <f>IF(ISERROR(VLOOKUP($A201,'SegEnds_NonXtal_BW#'!$A:$Z,21,FALSE)+VLOOKUP($A201,A:AL,31,FALSE)-50),"-",(VLOOKUP($A201,'SegEnds_NonXtal_BW#'!$A:$Z,21,FALSE)+VLOOKUP($A201,A:AL,31,FALSE)-50))</f>
        <v>282</v>
      </c>
      <c r="AE201" s="3">
        <v>311</v>
      </c>
      <c r="AF201" s="3">
        <f>IF(ISERROR((VLOOKUP($A201,'SegEnds_NonXtal_BW#'!$A:$Z,22,FALSE)+VLOOKUP($A201,A:AL,31,FALSE)-50)),"-",(VLOOKUP($A201,'SegEnds_NonXtal_BW#'!$A:$Z,22,FALSE)+VLOOKUP($A201,A:AL,31,FALSE)-50))</f>
        <v>322</v>
      </c>
      <c r="AG201" s="3">
        <f>IF(ISERROR(VLOOKUP($A201,'SegEnds_NonXtal_BW#'!$A:$Z,23,FALSE)+VLOOKUP($A201,A:AL,34,FALSE)-50),"-",(VLOOKUP($A201,'SegEnds_NonXtal_BW#'!$A:$Z,23,FALSE)+VLOOKUP($A201,A:AL,34,FALSE)-50))</f>
        <v>328</v>
      </c>
      <c r="AH201" s="3">
        <v>347</v>
      </c>
      <c r="AI201" s="3">
        <f>IF(ISERROR((VLOOKUP($A201,'SegEnds_NonXtal_BW#'!$A:$Z,24,FALSE)+VLOOKUP($A201,A:AL,34,FALSE)-50)),"-",(VLOOKUP($A201,'SegEnds_NonXtal_BW#'!$A:$Z,24,FALSE)+VLOOKUP($A201,A:AL,34,FALSE)-50))</f>
        <v>353</v>
      </c>
      <c r="AJ201" s="3">
        <f>IF(ISERROR(VLOOKUP($A201,'SegEnds_NonXtal_BW#'!$A:$Z,25,FALSE)+VLOOKUP($A201,A:AL,37,FALSE)-50),"-",(VLOOKUP($A201,'SegEnds_NonXtal_BW#'!$A:$Z,25,FALSE)+VLOOKUP($A201,A:AL,37,FALSE)-50))</f>
        <v>354</v>
      </c>
      <c r="AK201" s="3">
        <v>357</v>
      </c>
      <c r="AL201" s="3">
        <f>IF(ISERROR((VLOOKUP($A201,'SegEnds_NonXtal_BW#'!$A:$Z,26,FALSE)+VLOOKUP($A201,A:AL,37,FALSE)-50)),"-",(VLOOKUP($A201,'SegEnds_NonXtal_BW#'!$A:$Z,26,FALSE)+VLOOKUP($A201,A:AL,37,FALSE)-50))</f>
        <v>366</v>
      </c>
      <c r="AM201" s="28" t="str">
        <f>VLOOKUP(A201,Classification!A:B,2,FALSE)</f>
        <v>A</v>
      </c>
      <c r="AN201" s="28" t="b">
        <f t="shared" si="156"/>
        <v>1</v>
      </c>
      <c r="AO201" s="3" t="str">
        <f>IF(ISERROR(MATCH(A201,'SegEnds_Xtal_Prot#'!B:B, 0)), "NoXtal", "Xtal")</f>
        <v>NoXtal</v>
      </c>
      <c r="AP201" s="3">
        <f t="shared" si="141"/>
        <v>1</v>
      </c>
      <c r="AQ201" s="3">
        <f t="shared" si="142"/>
        <v>1</v>
      </c>
      <c r="AR201" s="3">
        <f t="shared" si="143"/>
        <v>1</v>
      </c>
      <c r="AS201" s="3">
        <f t="shared" si="144"/>
        <v>1</v>
      </c>
      <c r="AT201" s="3">
        <f t="shared" si="145"/>
        <v>1</v>
      </c>
      <c r="AU201" s="3">
        <f t="shared" si="146"/>
        <v>1</v>
      </c>
      <c r="AV201" s="3">
        <f t="shared" si="147"/>
        <v>14</v>
      </c>
      <c r="AW201" s="3">
        <f t="shared" si="148"/>
        <v>8</v>
      </c>
      <c r="AX201" s="3">
        <f t="shared" si="149"/>
        <v>11</v>
      </c>
      <c r="AY201" s="3">
        <f t="shared" si="150"/>
        <v>6</v>
      </c>
      <c r="AZ201" s="3">
        <f t="shared" si="151"/>
        <v>1</v>
      </c>
      <c r="BA201" s="3">
        <f>IF(ISERROR(LEN(VLOOKUP(A201,Seqs!A:E,2,FALSE))-AL201),"-",LEN(VLOOKUP(A201,Seqs!A:E,2,FALSE))-AL201)</f>
        <v>112</v>
      </c>
      <c r="BB201" s="16">
        <f t="shared" si="152"/>
        <v>28</v>
      </c>
      <c r="BC201" s="9">
        <f t="shared" si="153"/>
        <v>20</v>
      </c>
      <c r="BD201" s="3">
        <f t="shared" si="154"/>
        <v>28</v>
      </c>
      <c r="BE201" s="3">
        <f t="shared" si="155"/>
        <v>64</v>
      </c>
    </row>
    <row r="202" spans="1:57" s="3" customFormat="1" x14ac:dyDescent="0.2">
      <c r="A202" s="3" t="s">
        <v>334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57"/>
        <v>78</v>
      </c>
      <c r="G202" s="3">
        <v>80</v>
      </c>
      <c r="H202" s="3">
        <f t="shared" si="158"/>
        <v>81</v>
      </c>
      <c r="I202" s="3">
        <f t="shared" si="158"/>
        <v>82</v>
      </c>
      <c r="J202" s="3">
        <v>95</v>
      </c>
      <c r="K202" s="3">
        <f>VLOOKUP($A202,'SegEnds_NonXtal_BW#'!$A:$Z,8,FALSE)+VLOOKUP($A202,A:AL,10,FALSE)-50</f>
        <v>111</v>
      </c>
      <c r="L202" s="3">
        <f>M202-1</f>
        <v>113</v>
      </c>
      <c r="M202" s="3">
        <v>114</v>
      </c>
      <c r="N202" s="3">
        <f>M202+2</f>
        <v>116</v>
      </c>
      <c r="O202" s="3">
        <f t="shared" si="139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40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56"/>
        <v>1</v>
      </c>
      <c r="AO202" s="3" t="str">
        <f>IF(ISERROR(MATCH(A202,'SegEnds_Xtal_Prot#'!B:B, 0)), "NoXtal", "Xtal")</f>
        <v>Xtal</v>
      </c>
      <c r="AP202" s="3">
        <f t="shared" si="141"/>
        <v>1</v>
      </c>
      <c r="AQ202" s="3">
        <f t="shared" si="142"/>
        <v>1</v>
      </c>
      <c r="AR202" s="3">
        <f t="shared" si="143"/>
        <v>2</v>
      </c>
      <c r="AS202" s="3">
        <f t="shared" si="144"/>
        <v>1</v>
      </c>
      <c r="AT202" s="3">
        <f t="shared" si="145"/>
        <v>1</v>
      </c>
      <c r="AU202" s="3">
        <f t="shared" si="146"/>
        <v>1</v>
      </c>
      <c r="AV202" s="3">
        <f t="shared" si="147"/>
        <v>11</v>
      </c>
      <c r="AW202" s="3">
        <f t="shared" si="148"/>
        <v>6</v>
      </c>
      <c r="AX202" s="3">
        <f t="shared" si="149"/>
        <v>6</v>
      </c>
      <c r="AY202" s="3">
        <f t="shared" si="150"/>
        <v>6</v>
      </c>
      <c r="AZ202" s="3">
        <f t="shared" si="151"/>
        <v>1</v>
      </c>
      <c r="BA202" s="3">
        <f>IF(ISERROR(LEN(VLOOKUP(A202,Seqs!A:E,2,FALSE))-AL202),"-",LEN(VLOOKUP(A202,Seqs!A:E,2,FALSE))-AL202)</f>
        <v>37</v>
      </c>
      <c r="BB202" s="16">
        <f t="shared" si="152"/>
        <v>28</v>
      </c>
      <c r="BC202" s="9">
        <f t="shared" si="153"/>
        <v>20</v>
      </c>
      <c r="BD202" s="3">
        <f t="shared" si="154"/>
        <v>28</v>
      </c>
      <c r="BE202" s="3">
        <f t="shared" si="155"/>
        <v>51</v>
      </c>
    </row>
    <row r="203" spans="1:57" s="3" customFormat="1" x14ac:dyDescent="0.2">
      <c r="A203" s="3" t="s">
        <v>911</v>
      </c>
      <c r="B203" s="3" t="str">
        <f>LOWER(VLOOKUP(A203,Xtal_Templ!A:B,2,FALSE))</f>
        <v>oprd_human</v>
      </c>
      <c r="C203" s="3">
        <f>VLOOKUP($A203,'SegEnds_NonXtal_BW#'!$A:$Z,3,FALSE)+D203-50</f>
        <v>39</v>
      </c>
      <c r="D203" s="3">
        <v>67</v>
      </c>
      <c r="E203" s="3">
        <f>IF(ISERROR(VLOOKUP($A203,'SegEnds_NonXtal_BW#'!$A:$Z,4,FALSE)+VLOOKUP($A203,A:AL,4,FALSE)-50),"-",(VLOOKUP($A203,'SegEnds_NonXtal_BW#'!$A:$Z,4,FALSE)+VLOOKUP($A203,A:AL,4,FALSE)-50))</f>
        <v>77</v>
      </c>
      <c r="F203" s="3">
        <f t="shared" si="157"/>
        <v>78</v>
      </c>
      <c r="G203" s="3">
        <v>80</v>
      </c>
      <c r="H203" s="3">
        <f t="shared" si="158"/>
        <v>81</v>
      </c>
      <c r="I203" s="3">
        <f t="shared" si="158"/>
        <v>82</v>
      </c>
      <c r="J203" s="3">
        <v>95</v>
      </c>
      <c r="K203" s="3">
        <f>VLOOKUP($A203,'SegEnds_NonXtal_BW#'!$A:$Z,8,FALSE)+VLOOKUP($A203,A:AL,10,FALSE)-50</f>
        <v>111</v>
      </c>
      <c r="L203" s="3">
        <f>IF(ISERROR(VLOOKUP($A203,'SegEnds_NonXtal_BW#'!$A:$Z,9,FALSE)+VLOOKUP($A203,A:AL,13,FALSE)-50),"-",(VLOOKUP($A203,'SegEnds_NonXtal_BW#'!$A:$Z,9,FALSE)+VLOOKUP($A203,A:AL,13,FALSE)-50))</f>
        <v>113</v>
      </c>
      <c r="M203" s="3">
        <v>114</v>
      </c>
      <c r="N203" s="3">
        <f>IF(ISERROR(VLOOKUP($A203,'SegEnds_NonXtal_BW#'!$A:$Z,10,FALSE)+VLOOKUP($A203,A:AL,13,FALSE)-50),"-",(VLOOKUP($A203,'SegEnds_NonXtal_BW#'!$A:$Z,10,FALSE)+VLOOKUP($A203,A:AL,13,FALSE)-50))</f>
        <v>116</v>
      </c>
      <c r="O203" s="3">
        <f t="shared" si="139"/>
        <v>117</v>
      </c>
      <c r="P203" s="3">
        <v>146</v>
      </c>
      <c r="Q203" s="3">
        <f>VLOOKUP($A203,'SegEnds_NonXtal_BW#'!$A:$Z,12,FALSE)+VLOOKUP($A203,A:AL,16,FALSE)-50</f>
        <v>152</v>
      </c>
      <c r="R203" s="3">
        <f>IF(ISERROR(VLOOKUP($A203,'SegEnds_NonXtal_BW#'!$A:$Z,13,FALSE)+VLOOKUP($A203,A:AL,19,FALSE)-50),"-",VLOOKUP($A203,'SegEnds_NonXtal_BW#'!$A:$Z,13,FALSE)+VLOOKUP($A203,A:AL,19,FALSE)-50)</f>
        <v>153</v>
      </c>
      <c r="S203" s="3">
        <v>153</v>
      </c>
      <c r="T203" s="100">
        <f>IF(ISERROR(VLOOKUP($A203,'SegEnds_NonXtal_BW#'!$A:$Z,14,FALSE)+VLOOKUP($A203,A:AL,19,FALSE)-50),"-",(VLOOKUP($A203,'SegEnds_NonXtal_BW#'!$A:$Z,14,FALSE)+VLOOKUP($A203,A:AL,19,FALSE)-50))</f>
        <v>160</v>
      </c>
      <c r="U203" s="9">
        <f>IF(ISERROR(VLOOKUP($A203,'SegEnds_NonXtal_BW#'!$A:$Z,15,FALSE)+VLOOKUP($A203,A:AL,22,FALSE)-50),"-",VLOOKUP($A203,'SegEnds_NonXtal_BW#'!$A:$Z,15,FALSE)+VLOOKUP($A203,A:AL,22,FALSE)-50)</f>
        <v>161</v>
      </c>
      <c r="V203" s="3">
        <v>173</v>
      </c>
      <c r="W203" s="3">
        <f>IF(ISERROR(VLOOKUP($A203,'SegEnds_NonXtal_BW#'!$A:$Z,16,FALSE)+VLOOKUP($A203,A:AL,22,FALSE)-50),"-",(VLOOKUP($A203,'SegEnds_NonXtal_BW#'!$A:$Z,16,FALSE)+VLOOKUP($A203,A:AL,22,FALSE)-50))</f>
        <v>187</v>
      </c>
      <c r="X203" s="3">
        <f>IF(ISERROR(VLOOKUP($A203,'SegEnds_NonXtal_BW#'!$A:$Z,17,FALSE)+VLOOKUP($A203,A:AL,25,FALSE)-50),"-",(VLOOKUP($A203,'SegEnds_NonXtal_BW#'!$A:$Z,17,FALSE)+VLOOKUP($A203,A:AL,25,FALSE)-50))</f>
        <v>198</v>
      </c>
      <c r="Y203" s="3">
        <v>198</v>
      </c>
      <c r="Z203" s="3">
        <f t="shared" si="140"/>
        <v>200</v>
      </c>
      <c r="AA203" s="3">
        <f>IF(ISERROR(VLOOKUP($A203,'SegEnds_NonXtal_BW#'!$A:$Z,19,FALSE)+VLOOKUP($A203,A:AL,28,FALSE)-50),"-",(VLOOKUP($A203,'SegEnds_NonXtal_BW#'!$A:$Z,19,FALSE)+VLOOKUP($A203,A:AL,28,FALSE)-50))</f>
        <v>206</v>
      </c>
      <c r="AB203" s="3">
        <v>225</v>
      </c>
      <c r="AC203" s="3">
        <f>IF(ISERROR((VLOOKUP($A203,'SegEnds_NonXtal_BW#'!$A:$Z,20,FALSE)+VLOOKUP($A203,A:AL,28,FALSE)-50)),"-",(VLOOKUP($A203,'SegEnds_NonXtal_BW#'!$A:$Z,20,FALSE)+VLOOKUP($A203,A:AL,28,FALSE)-50))</f>
        <v>243</v>
      </c>
      <c r="AD203" s="3">
        <f>IF(ISERROR(VLOOKUP($A203,'SegEnds_NonXtal_BW#'!$A:$Z,21,FALSE)+VLOOKUP($A203,A:AL,31,FALSE)-50),"-",(VLOOKUP($A203,'SegEnds_NonXtal_BW#'!$A:$Z,21,FALSE)+VLOOKUP($A203,A:AL,31,FALSE)-50))</f>
        <v>249</v>
      </c>
      <c r="AE203" s="3">
        <v>276</v>
      </c>
      <c r="AF203" s="3">
        <f>IF(ISERROR((VLOOKUP($A203,'SegEnds_NonXtal_BW#'!$A:$Z,22,FALSE)+VLOOKUP($A203,A:AL,31,FALSE)-50)),"-",(VLOOKUP($A203,'SegEnds_NonXtal_BW#'!$A:$Z,22,FALSE)+VLOOKUP($A203,A:AL,31,FALSE)-50))</f>
        <v>287</v>
      </c>
      <c r="AG203" s="3">
        <f>IF(ISERROR(VLOOKUP($A203,'SegEnds_NonXtal_BW#'!$A:$Z,23,FALSE)+VLOOKUP($A203,A:AL,34,FALSE)-50),"-",(VLOOKUP($A203,'SegEnds_NonXtal_BW#'!$A:$Z,23,FALSE)+VLOOKUP($A203,A:AL,34,FALSE)-50))</f>
        <v>293</v>
      </c>
      <c r="AH203" s="3">
        <v>315</v>
      </c>
      <c r="AI203" s="3">
        <f>IF(ISERROR((VLOOKUP($A203,'SegEnds_NonXtal_BW#'!$A:$Z,24,FALSE)+VLOOKUP($A203,A:AL,34,FALSE)-50)),"-",(VLOOKUP($A203,'SegEnds_NonXtal_BW#'!$A:$Z,24,FALSE)+VLOOKUP($A203,A:AL,34,FALSE)-50))</f>
        <v>321</v>
      </c>
      <c r="AJ203" s="3">
        <f>IF(ISERROR(VLOOKUP($A203,'SegEnds_NonXtal_BW#'!$A:$Z,25,FALSE)+VLOOKUP($A203,A:AL,37,FALSE)-50),"-",(VLOOKUP($A203,'SegEnds_NonXtal_BW#'!$A:$Z,25,FALSE)+VLOOKUP($A203,A:AL,37,FALSE)-50))</f>
        <v>322</v>
      </c>
      <c r="AK203" s="3">
        <v>325</v>
      </c>
      <c r="AL203" s="3">
        <f>IF(ISERROR((VLOOKUP($A203,'SegEnds_NonXtal_BW#'!$A:$Z,26,FALSE)+VLOOKUP($A203,A:AL,37,FALSE)-50)),"-",(VLOOKUP($A203,'SegEnds_NonXtal_BW#'!$A:$Z,26,FALSE)+VLOOKUP($A203,A:AL,37,FALSE)-50))</f>
        <v>335</v>
      </c>
      <c r="AM203" s="28" t="str">
        <f>VLOOKUP(A203,Classification!A:B,2,FALSE)</f>
        <v>A</v>
      </c>
      <c r="AN203" s="28" t="b">
        <f t="shared" si="156"/>
        <v>1</v>
      </c>
      <c r="AO203" s="3" t="str">
        <f>IF(ISERROR(MATCH(A203,'SegEnds_Xtal_Prot#'!B:B, 0)), "NoXtal", "Xtal")</f>
        <v>Xtal</v>
      </c>
      <c r="AP203" s="3">
        <f t="shared" si="141"/>
        <v>1</v>
      </c>
      <c r="AQ203" s="3">
        <f t="shared" si="142"/>
        <v>1</v>
      </c>
      <c r="AR203" s="3">
        <f t="shared" si="143"/>
        <v>2</v>
      </c>
      <c r="AS203" s="3">
        <f t="shared" si="144"/>
        <v>1</v>
      </c>
      <c r="AT203" s="3">
        <f t="shared" si="145"/>
        <v>1</v>
      </c>
      <c r="AU203" s="3">
        <f t="shared" si="146"/>
        <v>1</v>
      </c>
      <c r="AV203" s="3">
        <f t="shared" si="147"/>
        <v>11</v>
      </c>
      <c r="AW203" s="3">
        <f t="shared" si="148"/>
        <v>6</v>
      </c>
      <c r="AX203" s="3">
        <f t="shared" si="149"/>
        <v>6</v>
      </c>
      <c r="AY203" s="3">
        <f t="shared" si="150"/>
        <v>6</v>
      </c>
      <c r="AZ203" s="3">
        <f t="shared" si="151"/>
        <v>1</v>
      </c>
      <c r="BA203" s="3">
        <f>IF(ISERROR(LEN(VLOOKUP(A203,Seqs!A:E,2,FALSE))-AL203),"-",LEN(VLOOKUP(A203,Seqs!A:E,2,FALSE))-AL203)</f>
        <v>37</v>
      </c>
      <c r="BB203" s="16">
        <f t="shared" si="152"/>
        <v>28</v>
      </c>
      <c r="BC203" s="9">
        <f t="shared" si="153"/>
        <v>20</v>
      </c>
      <c r="BD203" s="3">
        <f t="shared" si="154"/>
        <v>28</v>
      </c>
      <c r="BE203" s="3">
        <f t="shared" si="155"/>
        <v>51</v>
      </c>
    </row>
    <row r="204" spans="1:57" s="3" customFormat="1" x14ac:dyDescent="0.2">
      <c r="A204" s="3" t="s">
        <v>335</v>
      </c>
      <c r="B204" s="3" t="str">
        <f>LOWER(VLOOKUP(A204,Xtal_Templ!A:B,2,FALSE))</f>
        <v>oprk_human</v>
      </c>
      <c r="C204" s="3">
        <f>VLOOKUP($A204,'SegEnds_NonXtal_BW#'!$A:$Z,3,FALSE)+D204-50</f>
        <v>57</v>
      </c>
      <c r="D204" s="3">
        <v>77</v>
      </c>
      <c r="E204" s="3">
        <f>IF(ISERROR(VLOOKUP($A204,'SegEnds_NonXtal_BW#'!$A:$Z,4,FALSE)+VLOOKUP($A204,A:AL,4,FALSE)-50),"-",(VLOOKUP($A204,'SegEnds_NonXtal_BW#'!$A:$Z,4,FALSE)+VLOOKUP($A204,A:AL,4,FALSE)-50))</f>
        <v>87</v>
      </c>
      <c r="F204" s="3">
        <f t="shared" si="157"/>
        <v>88</v>
      </c>
      <c r="G204" s="3">
        <v>90</v>
      </c>
      <c r="H204" s="3">
        <f t="shared" si="158"/>
        <v>91</v>
      </c>
      <c r="I204" s="3">
        <f t="shared" si="158"/>
        <v>92</v>
      </c>
      <c r="J204" s="3">
        <v>105</v>
      </c>
      <c r="K204" s="3">
        <f>VLOOKUP($A204,'SegEnds_NonXtal_BW#'!$A:$Z,8,FALSE)+VLOOKUP($A204,A:AL,10,FALSE)-50</f>
        <v>121</v>
      </c>
      <c r="L204" s="3">
        <f>M204-1</f>
        <v>123</v>
      </c>
      <c r="M204" s="3">
        <v>124</v>
      </c>
      <c r="N204" s="3">
        <f>M204+2</f>
        <v>126</v>
      </c>
      <c r="O204" s="3">
        <f t="shared" si="139"/>
        <v>127</v>
      </c>
      <c r="P204" s="3">
        <v>156</v>
      </c>
      <c r="Q204" s="3">
        <f>VLOOKUP($A204,'SegEnds_NonXtal_BW#'!$A:$Z,12,FALSE)+VLOOKUP($A204,A:AL,16,FALSE)-50</f>
        <v>162</v>
      </c>
      <c r="R204" s="3">
        <f>IF(ISERROR(VLOOKUP($A204,'SegEnds_NonXtal_BW#'!$A:$Z,13,FALSE)+VLOOKUP($A204,A:AL,19,FALSE)-50),"-",VLOOKUP($A204,'SegEnds_NonXtal_BW#'!$A:$Z,13,FALSE)+VLOOKUP($A204,A:AL,19,FALSE)-50)</f>
        <v>163</v>
      </c>
      <c r="S204" s="3">
        <v>163</v>
      </c>
      <c r="T204" s="100">
        <f>IF(ISERROR(VLOOKUP($A204,'SegEnds_NonXtal_BW#'!$A:$Z,14,FALSE)+VLOOKUP($A204,A:AL,19,FALSE)-50),"-",(VLOOKUP($A204,'SegEnds_NonXtal_BW#'!$A:$Z,14,FALSE)+VLOOKUP($A204,A:AL,19,FALSE)-50))</f>
        <v>170</v>
      </c>
      <c r="U204" s="9">
        <f>IF(ISERROR(VLOOKUP($A204,'SegEnds_NonXtal_BW#'!$A:$Z,15,FALSE)+VLOOKUP($A204,A:AL,22,FALSE)-50),"-",VLOOKUP($A204,'SegEnds_NonXtal_BW#'!$A:$Z,15,FALSE)+VLOOKUP($A204,A:AL,22,FALSE)-50)</f>
        <v>171</v>
      </c>
      <c r="V204" s="3">
        <v>183</v>
      </c>
      <c r="W204" s="3">
        <f>IF(ISERROR(VLOOKUP($A204,'SegEnds_NonXtal_BW#'!$A:$Z,16,FALSE)+VLOOKUP($A204,A:AL,22,FALSE)-50),"-",(VLOOKUP($A204,'SegEnds_NonXtal_BW#'!$A:$Z,16,FALSE)+VLOOKUP($A204,A:AL,22,FALSE)-50))</f>
        <v>197</v>
      </c>
      <c r="X204" s="3">
        <f>IF(ISERROR(VLOOKUP($A204,'SegEnds_NonXtal_BW#'!$A:$Z,17,FALSE)+VLOOKUP($A204,A:AL,25,FALSE)-50),"-",(VLOOKUP($A204,'SegEnds_NonXtal_BW#'!$A:$Z,17,FALSE)+VLOOKUP($A204,A:AL,25,FALSE)-50))</f>
        <v>210</v>
      </c>
      <c r="Y204" s="3">
        <v>210</v>
      </c>
      <c r="Z204" s="3">
        <f t="shared" si="140"/>
        <v>212</v>
      </c>
      <c r="AA204" s="3">
        <f>IF(ISERROR(VLOOKUP($A204,'SegEnds_NonXtal_BW#'!$A:$Z,19,FALSE)+VLOOKUP($A204,A:AL,28,FALSE)-50),"-",(VLOOKUP($A204,'SegEnds_NonXtal_BW#'!$A:$Z,19,FALSE)+VLOOKUP($A204,A:AL,28,FALSE)-50))</f>
        <v>218</v>
      </c>
      <c r="AB204" s="3">
        <v>238</v>
      </c>
      <c r="AC204" s="3">
        <f>IF(ISERROR((VLOOKUP($A204,'SegEnds_NonXtal_BW#'!$A:$Z,20,FALSE)+VLOOKUP($A204,A:AL,28,FALSE)-50)),"-",(VLOOKUP($A204,'SegEnds_NonXtal_BW#'!$A:$Z,20,FALSE)+VLOOKUP($A204,A:AL,28,FALSE)-50))</f>
        <v>256</v>
      </c>
      <c r="AD204" s="3">
        <f>IF(ISERROR(VLOOKUP($A204,'SegEnds_NonXtal_BW#'!$A:$Z,21,FALSE)+VLOOKUP($A204,A:AL,31,FALSE)-50),"-",(VLOOKUP($A204,'SegEnds_NonXtal_BW#'!$A:$Z,21,FALSE)+VLOOKUP($A204,A:AL,31,FALSE)-50))</f>
        <v>262</v>
      </c>
      <c r="AE204" s="3">
        <v>289</v>
      </c>
      <c r="AF204" s="3">
        <f>IF(ISERROR((VLOOKUP($A204,'SegEnds_NonXtal_BW#'!$A:$Z,22,FALSE)+VLOOKUP($A204,A:AL,31,FALSE)-50)),"-",(VLOOKUP($A204,'SegEnds_NonXtal_BW#'!$A:$Z,22,FALSE)+VLOOKUP($A204,A:AL,31,FALSE)-50))</f>
        <v>300</v>
      </c>
      <c r="AG204" s="3">
        <f>IF(ISERROR(VLOOKUP($A204,'SegEnds_NonXtal_BW#'!$A:$Z,23,FALSE)+VLOOKUP($A204,A:AL,34,FALSE)-50),"-",(VLOOKUP($A204,'SegEnds_NonXtal_BW#'!$A:$Z,23,FALSE)+VLOOKUP($A204,A:AL,34,FALSE)-50))</f>
        <v>305</v>
      </c>
      <c r="AH204" s="3">
        <v>327</v>
      </c>
      <c r="AI204" s="3">
        <f>IF(ISERROR((VLOOKUP($A204,'SegEnds_NonXtal_BW#'!$A:$Z,24,FALSE)+VLOOKUP($A204,A:AL,34,FALSE)-50)),"-",(VLOOKUP($A204,'SegEnds_NonXtal_BW#'!$A:$Z,24,FALSE)+VLOOKUP($A204,A:AL,34,FALSE)-50))</f>
        <v>333</v>
      </c>
      <c r="AJ204" s="3">
        <f>IF(ISERROR(VLOOKUP($A204,'SegEnds_NonXtal_BW#'!$A:$Z,25,FALSE)+VLOOKUP($A204,A:AL,37,FALSE)-50),"-",(VLOOKUP($A204,'SegEnds_NonXtal_BW#'!$A:$Z,25,FALSE)+VLOOKUP($A204,A:AL,37,FALSE)-50))</f>
        <v>334</v>
      </c>
      <c r="AK204" s="3">
        <v>337</v>
      </c>
      <c r="AL204" s="3">
        <f>IF(ISERROR((VLOOKUP($A204,'SegEnds_NonXtal_BW#'!$A:$Z,26,FALSE)+VLOOKUP($A204,A:AL,37,FALSE)-50)),"-",(VLOOKUP($A204,'SegEnds_NonXtal_BW#'!$A:$Z,26,FALSE)+VLOOKUP($A204,A:AL,37,FALSE)-50))</f>
        <v>346</v>
      </c>
      <c r="AM204" s="28" t="str">
        <f>VLOOKUP(A204,Classification!A:B,2,FALSE)</f>
        <v>A</v>
      </c>
      <c r="AN204" s="28" t="b">
        <f t="shared" si="156"/>
        <v>1</v>
      </c>
      <c r="AO204" s="3" t="str">
        <f>IF(ISERROR(MATCH(A204,'SegEnds_Xtal_Prot#'!B:B, 0)), "NoXtal", "Xtal")</f>
        <v>Xtal</v>
      </c>
      <c r="AP204" s="3">
        <f t="shared" si="141"/>
        <v>1</v>
      </c>
      <c r="AQ204" s="3">
        <f t="shared" si="142"/>
        <v>1</v>
      </c>
      <c r="AR204" s="3">
        <f t="shared" si="143"/>
        <v>2</v>
      </c>
      <c r="AS204" s="3">
        <f t="shared" si="144"/>
        <v>1</v>
      </c>
      <c r="AT204" s="3">
        <f t="shared" si="145"/>
        <v>1</v>
      </c>
      <c r="AU204" s="3">
        <f t="shared" si="146"/>
        <v>1</v>
      </c>
      <c r="AV204" s="3">
        <f t="shared" si="147"/>
        <v>13</v>
      </c>
      <c r="AW204" s="3">
        <f t="shared" si="148"/>
        <v>6</v>
      </c>
      <c r="AX204" s="3">
        <f t="shared" si="149"/>
        <v>6</v>
      </c>
      <c r="AY204" s="3">
        <f t="shared" si="150"/>
        <v>5</v>
      </c>
      <c r="AZ204" s="3">
        <f t="shared" si="151"/>
        <v>1</v>
      </c>
      <c r="BA204" s="3">
        <f>IF(ISERROR(LEN(VLOOKUP(A204,Seqs!A:E,2,FALSE))-AL204),"-",LEN(VLOOKUP(A204,Seqs!A:E,2,FALSE))-AL204)</f>
        <v>34</v>
      </c>
      <c r="BB204" s="16">
        <f t="shared" si="152"/>
        <v>28</v>
      </c>
      <c r="BC204" s="9">
        <f t="shared" si="153"/>
        <v>20</v>
      </c>
      <c r="BD204" s="3">
        <f t="shared" si="154"/>
        <v>28</v>
      </c>
      <c r="BE204" s="3">
        <f t="shared" si="155"/>
        <v>51</v>
      </c>
    </row>
    <row r="205" spans="1:57" s="3" customFormat="1" x14ac:dyDescent="0.2">
      <c r="A205" s="3" t="s">
        <v>336</v>
      </c>
      <c r="B205" s="3" t="str">
        <f>LOWER(VLOOKUP(A205,Xtal_Templ!A:B,2,FALSE))</f>
        <v>oprm_mouse</v>
      </c>
      <c r="C205" s="3">
        <f>VLOOKUP($A205,'SegEnds_NonXtal_BW#'!$A:$Z,3,FALSE)+D205-50</f>
        <v>67</v>
      </c>
      <c r="D205" s="3">
        <v>88</v>
      </c>
      <c r="E205" s="3">
        <f>IF(ISERROR(VLOOKUP($A205,'SegEnds_NonXtal_BW#'!$A:$Z,4,FALSE)+VLOOKUP($A205,A:AL,4,FALSE)-50),"-",(VLOOKUP($A205,'SegEnds_NonXtal_BW#'!$A:$Z,4,FALSE)+VLOOKUP($A205,A:AL,4,FALSE)-50))</f>
        <v>98</v>
      </c>
      <c r="F205" s="3">
        <f t="shared" si="157"/>
        <v>99</v>
      </c>
      <c r="G205" s="3">
        <v>101</v>
      </c>
      <c r="H205" s="3">
        <f t="shared" si="158"/>
        <v>102</v>
      </c>
      <c r="I205" s="3">
        <f t="shared" si="158"/>
        <v>103</v>
      </c>
      <c r="J205" s="3">
        <v>116</v>
      </c>
      <c r="K205" s="3">
        <f>VLOOKUP($A205,'SegEnds_NonXtal_BW#'!$A:$Z,8,FALSE)+VLOOKUP($A205,A:AL,10,FALSE)-50</f>
        <v>132</v>
      </c>
      <c r="L205" s="3">
        <f>M205-1</f>
        <v>134</v>
      </c>
      <c r="M205" s="3">
        <v>135</v>
      </c>
      <c r="N205" s="3">
        <f>M205+2</f>
        <v>137</v>
      </c>
      <c r="O205" s="3">
        <f t="shared" si="139"/>
        <v>138</v>
      </c>
      <c r="P205" s="3">
        <v>167</v>
      </c>
      <c r="Q205" s="3">
        <f>VLOOKUP($A205,'SegEnds_NonXtal_BW#'!$A:$Z,12,FALSE)+VLOOKUP($A205,A:AL,16,FALSE)-50</f>
        <v>173</v>
      </c>
      <c r="R205" s="3">
        <f>IF(ISERROR(VLOOKUP($A205,'SegEnds_NonXtal_BW#'!$A:$Z,13,FALSE)+VLOOKUP($A205,A:AL,19,FALSE)-50),"-",VLOOKUP($A205,'SegEnds_NonXtal_BW#'!$A:$Z,13,FALSE)+VLOOKUP($A205,A:AL,19,FALSE)-50)</f>
        <v>174</v>
      </c>
      <c r="S205" s="3">
        <v>174</v>
      </c>
      <c r="T205" s="100">
        <f>IF(ISERROR(VLOOKUP($A205,'SegEnds_NonXtal_BW#'!$A:$Z,14,FALSE)+VLOOKUP($A205,A:AL,19,FALSE)-50),"-",(VLOOKUP($A205,'SegEnds_NonXtal_BW#'!$A:$Z,14,FALSE)+VLOOKUP($A205,A:AL,19,FALSE)-50))</f>
        <v>181</v>
      </c>
      <c r="U205" s="9">
        <f>IF(ISERROR(VLOOKUP($A205,'SegEnds_NonXtal_BW#'!$A:$Z,15,FALSE)+VLOOKUP($A205,A:AL,22,FALSE)-50),"-",VLOOKUP($A205,'SegEnds_NonXtal_BW#'!$A:$Z,15,FALSE)+VLOOKUP($A205,A:AL,22,FALSE)-50)</f>
        <v>182</v>
      </c>
      <c r="V205" s="3">
        <v>194</v>
      </c>
      <c r="W205" s="3">
        <f>IF(ISERROR(VLOOKUP($A205,'SegEnds_NonXtal_BW#'!$A:$Z,16,FALSE)+VLOOKUP($A205,A:AL,22,FALSE)-50),"-",(VLOOKUP($A205,'SegEnds_NonXtal_BW#'!$A:$Z,16,FALSE)+VLOOKUP($A205,A:AL,22,FALSE)-50))</f>
        <v>208</v>
      </c>
      <c r="X205" s="3">
        <f>IF(ISERROR(VLOOKUP($A205,'SegEnds_NonXtal_BW#'!$A:$Z,17,FALSE)+VLOOKUP($A205,A:AL,25,FALSE)-50),"-",(VLOOKUP($A205,'SegEnds_NonXtal_BW#'!$A:$Z,17,FALSE)+VLOOKUP($A205,A:AL,25,FALSE)-50))</f>
        <v>219</v>
      </c>
      <c r="Y205" s="3">
        <v>219</v>
      </c>
      <c r="Z205" s="3">
        <f t="shared" si="140"/>
        <v>221</v>
      </c>
      <c r="AA205" s="3">
        <f>IF(ISERROR(VLOOKUP($A205,'SegEnds_NonXtal_BW#'!$A:$Z,19,FALSE)+VLOOKUP($A205,A:AL,28,FALSE)-50),"-",(VLOOKUP($A205,'SegEnds_NonXtal_BW#'!$A:$Z,19,FALSE)+VLOOKUP($A205,A:AL,28,FALSE)-50))</f>
        <v>227</v>
      </c>
      <c r="AB205" s="3">
        <v>246</v>
      </c>
      <c r="AC205" s="3">
        <f>IF(ISERROR((VLOOKUP($A205,'SegEnds_NonXtal_BW#'!$A:$Z,20,FALSE)+VLOOKUP($A205,A:AL,28,FALSE)-50)),"-",(VLOOKUP($A205,'SegEnds_NonXtal_BW#'!$A:$Z,20,FALSE)+VLOOKUP($A205,A:AL,28,FALSE)-50))</f>
        <v>264</v>
      </c>
      <c r="AD205" s="3">
        <f>IF(ISERROR(VLOOKUP($A205,'SegEnds_NonXtal_BW#'!$A:$Z,21,FALSE)+VLOOKUP($A205,A:AL,31,FALSE)-50),"-",(VLOOKUP($A205,'SegEnds_NonXtal_BW#'!$A:$Z,21,FALSE)+VLOOKUP($A205,A:AL,31,FALSE)-50))</f>
        <v>270</v>
      </c>
      <c r="AE205" s="3">
        <v>297</v>
      </c>
      <c r="AF205" s="3">
        <f>IF(ISERROR((VLOOKUP($A205,'SegEnds_NonXtal_BW#'!$A:$Z,22,FALSE)+VLOOKUP($A205,A:AL,31,FALSE)-50)),"-",(VLOOKUP($A205,'SegEnds_NonXtal_BW#'!$A:$Z,22,FALSE)+VLOOKUP($A205,A:AL,31,FALSE)-50))</f>
        <v>308</v>
      </c>
      <c r="AG205" s="3">
        <f>IF(ISERROR(VLOOKUP($A205,'SegEnds_NonXtal_BW#'!$A:$Z,23,FALSE)+VLOOKUP($A205,A:AL,34,FALSE)-50),"-",(VLOOKUP($A205,'SegEnds_NonXtal_BW#'!$A:$Z,23,FALSE)+VLOOKUP($A205,A:AL,34,FALSE)-50))</f>
        <v>313</v>
      </c>
      <c r="AH205" s="3">
        <v>335</v>
      </c>
      <c r="AI205" s="3">
        <f>IF(ISERROR((VLOOKUP($A205,'SegEnds_NonXtal_BW#'!$A:$Z,24,FALSE)+VLOOKUP($A205,A:AL,34,FALSE)-50)),"-",(VLOOKUP($A205,'SegEnds_NonXtal_BW#'!$A:$Z,24,FALSE)+VLOOKUP($A205,A:AL,34,FALSE)-50))</f>
        <v>341</v>
      </c>
      <c r="AJ205" s="3">
        <f>IF(ISERROR(VLOOKUP($A205,'SegEnds_NonXtal_BW#'!$A:$Z,25,FALSE)+VLOOKUP($A205,A:AL,37,FALSE)-50),"-",(VLOOKUP($A205,'SegEnds_NonXtal_BW#'!$A:$Z,25,FALSE)+VLOOKUP($A205,A:AL,37,FALSE)-50))</f>
        <v>342</v>
      </c>
      <c r="AK205" s="3">
        <v>345</v>
      </c>
      <c r="AL205" s="3">
        <f>IF(ISERROR((VLOOKUP($A205,'SegEnds_NonXtal_BW#'!$A:$Z,26,FALSE)+VLOOKUP($A205,A:AL,37,FALSE)-50)),"-",(VLOOKUP($A205,'SegEnds_NonXtal_BW#'!$A:$Z,26,FALSE)+VLOOKUP($A205,A:AL,37,FALSE)-50))</f>
        <v>354</v>
      </c>
      <c r="AM205" s="28" t="str">
        <f>VLOOKUP(A205,Classification!A:B,2,FALSE)</f>
        <v>A</v>
      </c>
      <c r="AN205" s="28" t="b">
        <f t="shared" si="156"/>
        <v>1</v>
      </c>
      <c r="AO205" s="3" t="str">
        <f>IF(ISERROR(MATCH(A205,'SegEnds_Xtal_Prot#'!B:B, 0)), "NoXtal", "Xtal")</f>
        <v>NoXtal</v>
      </c>
      <c r="AP205" s="3">
        <f t="shared" si="141"/>
        <v>1</v>
      </c>
      <c r="AQ205" s="3">
        <f t="shared" si="142"/>
        <v>1</v>
      </c>
      <c r="AR205" s="3">
        <f t="shared" si="143"/>
        <v>2</v>
      </c>
      <c r="AS205" s="3">
        <f t="shared" si="144"/>
        <v>1</v>
      </c>
      <c r="AT205" s="3">
        <f t="shared" si="145"/>
        <v>1</v>
      </c>
      <c r="AU205" s="3">
        <f t="shared" si="146"/>
        <v>1</v>
      </c>
      <c r="AV205" s="3">
        <f t="shared" si="147"/>
        <v>11</v>
      </c>
      <c r="AW205" s="3">
        <f t="shared" si="148"/>
        <v>6</v>
      </c>
      <c r="AX205" s="3">
        <f t="shared" si="149"/>
        <v>6</v>
      </c>
      <c r="AY205" s="3">
        <f t="shared" si="150"/>
        <v>5</v>
      </c>
      <c r="AZ205" s="3">
        <f t="shared" si="151"/>
        <v>1</v>
      </c>
      <c r="BA205" s="3">
        <f>IF(ISERROR(LEN(VLOOKUP(A205,Seqs!A:E,2,FALSE))-AL205),"-",LEN(VLOOKUP(A205,Seqs!A:E,2,FALSE))-AL205)</f>
        <v>46</v>
      </c>
      <c r="BB205" s="16">
        <f t="shared" si="152"/>
        <v>28</v>
      </c>
      <c r="BC205" s="9">
        <f t="shared" si="153"/>
        <v>20</v>
      </c>
      <c r="BD205" s="3">
        <f t="shared" si="154"/>
        <v>28</v>
      </c>
      <c r="BE205" s="3">
        <f t="shared" si="155"/>
        <v>51</v>
      </c>
    </row>
    <row r="206" spans="1:57" s="3" customFormat="1" x14ac:dyDescent="0.2">
      <c r="A206" s="3" t="s">
        <v>913</v>
      </c>
      <c r="B206" s="3" t="str">
        <f>LOWER(VLOOKUP(A206,Xtal_Templ!A:B,2,FALSE))</f>
        <v>oprm_mouse</v>
      </c>
      <c r="C206" s="3">
        <f>VLOOKUP($A206,'SegEnds_NonXtal_BW#'!$A:$Z,3,FALSE)+D206-50</f>
        <v>65</v>
      </c>
      <c r="D206" s="3">
        <v>86</v>
      </c>
      <c r="E206" s="3">
        <f>IF(ISERROR(VLOOKUP($A206,'SegEnds_NonXtal_BW#'!$A:$Z,4,FALSE)+VLOOKUP($A206,A:AL,4,FALSE)-50),"-",(VLOOKUP($A206,'SegEnds_NonXtal_BW#'!$A:$Z,4,FALSE)+VLOOKUP($A206,A:AL,4,FALSE)-50))</f>
        <v>96</v>
      </c>
      <c r="F206" s="3">
        <f t="shared" si="157"/>
        <v>97</v>
      </c>
      <c r="G206" s="3">
        <v>99</v>
      </c>
      <c r="H206" s="3">
        <f t="shared" si="158"/>
        <v>100</v>
      </c>
      <c r="I206" s="3">
        <f t="shared" si="158"/>
        <v>101</v>
      </c>
      <c r="J206" s="3">
        <v>114</v>
      </c>
      <c r="K206" s="3">
        <f>VLOOKUP($A206,'SegEnds_NonXtal_BW#'!$A:$Z,8,FALSE)+VLOOKUP($A206,A:AL,10,FALSE)-50</f>
        <v>130</v>
      </c>
      <c r="L206" s="3">
        <f>IF(ISERROR(VLOOKUP($A206,'SegEnds_NonXtal_BW#'!$A:$Z,9,FALSE)+VLOOKUP($A206,A:AL,13,FALSE)-50),"-",(VLOOKUP($A206,'SegEnds_NonXtal_BW#'!$A:$Z,9,FALSE)+VLOOKUP($A206,A:AL,13,FALSE)-50))</f>
        <v>132</v>
      </c>
      <c r="M206" s="3">
        <v>133</v>
      </c>
      <c r="N206" s="3">
        <f>IF(ISERROR(VLOOKUP($A206,'SegEnds_NonXtal_BW#'!$A:$Z,10,FALSE)+VLOOKUP($A206,A:AL,13,FALSE)-50),"-",(VLOOKUP($A206,'SegEnds_NonXtal_BW#'!$A:$Z,10,FALSE)+VLOOKUP($A206,A:AL,13,FALSE)-50))</f>
        <v>135</v>
      </c>
      <c r="O206" s="3">
        <f t="shared" si="139"/>
        <v>136</v>
      </c>
      <c r="P206" s="3">
        <v>165</v>
      </c>
      <c r="Q206" s="3">
        <f>VLOOKUP($A206,'SegEnds_NonXtal_BW#'!$A:$Z,12,FALSE)+VLOOKUP($A206,A:AL,16,FALSE)-50</f>
        <v>171</v>
      </c>
      <c r="R206" s="3">
        <f>IF(ISERROR(VLOOKUP($A206,'SegEnds_NonXtal_BW#'!$A:$Z,13,FALSE)+VLOOKUP($A206,A:AL,19,FALSE)-50),"-",VLOOKUP($A206,'SegEnds_NonXtal_BW#'!$A:$Z,13,FALSE)+VLOOKUP($A206,A:AL,19,FALSE)-50)</f>
        <v>172</v>
      </c>
      <c r="S206" s="3">
        <v>172</v>
      </c>
      <c r="T206" s="100">
        <f>IF(ISERROR(VLOOKUP($A206,'SegEnds_NonXtal_BW#'!$A:$Z,14,FALSE)+VLOOKUP($A206,A:AL,19,FALSE)-50),"-",(VLOOKUP($A206,'SegEnds_NonXtal_BW#'!$A:$Z,14,FALSE)+VLOOKUP($A206,A:AL,19,FALSE)-50))</f>
        <v>179</v>
      </c>
      <c r="U206" s="9">
        <f>IF(ISERROR(VLOOKUP($A206,'SegEnds_NonXtal_BW#'!$A:$Z,15,FALSE)+VLOOKUP($A206,A:AL,22,FALSE)-50),"-",VLOOKUP($A206,'SegEnds_NonXtal_BW#'!$A:$Z,15,FALSE)+VLOOKUP($A206,A:AL,22,FALSE)-50)</f>
        <v>180</v>
      </c>
      <c r="V206" s="3">
        <v>192</v>
      </c>
      <c r="W206" s="3">
        <f>IF(ISERROR(VLOOKUP($A206,'SegEnds_NonXtal_BW#'!$A:$Z,16,FALSE)+VLOOKUP($A206,A:AL,22,FALSE)-50),"-",(VLOOKUP($A206,'SegEnds_NonXtal_BW#'!$A:$Z,16,FALSE)+VLOOKUP($A206,A:AL,22,FALSE)-50))</f>
        <v>206</v>
      </c>
      <c r="X206" s="3">
        <f>IF(ISERROR(VLOOKUP($A206,'SegEnds_NonXtal_BW#'!$A:$Z,17,FALSE)+VLOOKUP($A206,A:AL,25,FALSE)-50),"-",(VLOOKUP($A206,'SegEnds_NonXtal_BW#'!$A:$Z,17,FALSE)+VLOOKUP($A206,A:AL,25,FALSE)-50))</f>
        <v>217</v>
      </c>
      <c r="Y206" s="3">
        <v>217</v>
      </c>
      <c r="Z206" s="3">
        <f t="shared" si="140"/>
        <v>219</v>
      </c>
      <c r="AA206" s="3">
        <f>IF(ISERROR(VLOOKUP($A206,'SegEnds_NonXtal_BW#'!$A:$Z,19,FALSE)+VLOOKUP($A206,A:AL,28,FALSE)-50),"-",(VLOOKUP($A206,'SegEnds_NonXtal_BW#'!$A:$Z,19,FALSE)+VLOOKUP($A206,A:AL,28,FALSE)-50))</f>
        <v>225</v>
      </c>
      <c r="AB206" s="3">
        <v>244</v>
      </c>
      <c r="AC206" s="3">
        <f>IF(ISERROR((VLOOKUP($A206,'SegEnds_NonXtal_BW#'!$A:$Z,20,FALSE)+VLOOKUP($A206,A:AL,28,FALSE)-50)),"-",(VLOOKUP($A206,'SegEnds_NonXtal_BW#'!$A:$Z,20,FALSE)+VLOOKUP($A206,A:AL,28,FALSE)-50))</f>
        <v>262</v>
      </c>
      <c r="AD206" s="3">
        <f>IF(ISERROR(VLOOKUP($A206,'SegEnds_NonXtal_BW#'!$A:$Z,21,FALSE)+VLOOKUP($A206,A:AL,31,FALSE)-50),"-",(VLOOKUP($A206,'SegEnds_NonXtal_BW#'!$A:$Z,21,FALSE)+VLOOKUP($A206,A:AL,31,FALSE)-50))</f>
        <v>268</v>
      </c>
      <c r="AE206" s="3">
        <v>295</v>
      </c>
      <c r="AF206" s="3">
        <f>IF(ISERROR((VLOOKUP($A206,'SegEnds_NonXtal_BW#'!$A:$Z,22,FALSE)+VLOOKUP($A206,A:AL,31,FALSE)-50)),"-",(VLOOKUP($A206,'SegEnds_NonXtal_BW#'!$A:$Z,22,FALSE)+VLOOKUP($A206,A:AL,31,FALSE)-50))</f>
        <v>306</v>
      </c>
      <c r="AG206" s="3">
        <f>IF(ISERROR(VLOOKUP($A206,'SegEnds_NonXtal_BW#'!$A:$Z,23,FALSE)+VLOOKUP($A206,A:AL,34,FALSE)-50),"-",(VLOOKUP($A206,'SegEnds_NonXtal_BW#'!$A:$Z,23,FALSE)+VLOOKUP($A206,A:AL,34,FALSE)-50))</f>
        <v>311</v>
      </c>
      <c r="AH206" s="3">
        <v>333</v>
      </c>
      <c r="AI206" s="3">
        <f>IF(ISERROR((VLOOKUP($A206,'SegEnds_NonXtal_BW#'!$A:$Z,24,FALSE)+VLOOKUP($A206,A:AL,34,FALSE)-50)),"-",(VLOOKUP($A206,'SegEnds_NonXtal_BW#'!$A:$Z,24,FALSE)+VLOOKUP($A206,A:AL,34,FALSE)-50))</f>
        <v>339</v>
      </c>
      <c r="AJ206" s="3">
        <f>IF(ISERROR(VLOOKUP($A206,'SegEnds_NonXtal_BW#'!$A:$Z,25,FALSE)+VLOOKUP($A206,A:AL,37,FALSE)-50),"-",(VLOOKUP($A206,'SegEnds_NonXtal_BW#'!$A:$Z,25,FALSE)+VLOOKUP($A206,A:AL,37,FALSE)-50))</f>
        <v>340</v>
      </c>
      <c r="AK206" s="3">
        <v>343</v>
      </c>
      <c r="AL206" s="3">
        <f>IF(ISERROR((VLOOKUP($A206,'SegEnds_NonXtal_BW#'!$A:$Z,26,FALSE)+VLOOKUP($A206,A:AL,37,FALSE)-50)),"-",(VLOOKUP($A206,'SegEnds_NonXtal_BW#'!$A:$Z,26,FALSE)+VLOOKUP($A206,A:AL,37,FALSE)-50))</f>
        <v>352</v>
      </c>
      <c r="AM206" s="28" t="str">
        <f>VLOOKUP(A206,Classification!A:B,2,FALSE)</f>
        <v>A</v>
      </c>
      <c r="AN206" s="28" t="b">
        <f t="shared" si="156"/>
        <v>1</v>
      </c>
      <c r="AO206" s="3" t="str">
        <f>IF(ISERROR(MATCH(A206,'SegEnds_Xtal_Prot#'!B:B, 0)), "NoXtal", "Xtal")</f>
        <v>Xtal</v>
      </c>
      <c r="AP206" s="3">
        <f t="shared" si="141"/>
        <v>1</v>
      </c>
      <c r="AQ206" s="3">
        <f t="shared" si="142"/>
        <v>1</v>
      </c>
      <c r="AR206" s="3">
        <f t="shared" si="143"/>
        <v>2</v>
      </c>
      <c r="AS206" s="3">
        <f t="shared" si="144"/>
        <v>1</v>
      </c>
      <c r="AT206" s="3">
        <f t="shared" si="145"/>
        <v>1</v>
      </c>
      <c r="AU206" s="3">
        <f t="shared" si="146"/>
        <v>1</v>
      </c>
      <c r="AV206" s="3">
        <f t="shared" si="147"/>
        <v>11</v>
      </c>
      <c r="AW206" s="3">
        <f t="shared" si="148"/>
        <v>6</v>
      </c>
      <c r="AX206" s="3">
        <f t="shared" si="149"/>
        <v>6</v>
      </c>
      <c r="AY206" s="3">
        <f t="shared" si="150"/>
        <v>5</v>
      </c>
      <c r="AZ206" s="3">
        <f t="shared" si="151"/>
        <v>1</v>
      </c>
      <c r="BA206" s="3">
        <f>IF(ISERROR(LEN(VLOOKUP(A206,Seqs!A:E,2,FALSE))-AL206),"-",LEN(VLOOKUP(A206,Seqs!A:E,2,FALSE))-AL206)</f>
        <v>46</v>
      </c>
      <c r="BB206" s="16">
        <f t="shared" si="152"/>
        <v>28</v>
      </c>
      <c r="BC206" s="9">
        <f t="shared" si="153"/>
        <v>20</v>
      </c>
      <c r="BD206" s="3">
        <f t="shared" si="154"/>
        <v>28</v>
      </c>
      <c r="BE206" s="3">
        <f t="shared" si="155"/>
        <v>51</v>
      </c>
    </row>
    <row r="207" spans="1:57" s="3" customFormat="1" x14ac:dyDescent="0.2">
      <c r="A207" s="3" t="s">
        <v>1169</v>
      </c>
      <c r="B207" s="3" t="str">
        <f>LOWER(VLOOKUP(A207,Xtal_Templ!A:B,2,FALSE))</f>
        <v>oprx_human</v>
      </c>
      <c r="C207" s="3">
        <f>VLOOKUP($A207,'SegEnds_NonXtal_BW#'!$A:$Z,3,FALSE)+D207-50</f>
        <v>48</v>
      </c>
      <c r="D207" s="3">
        <v>69</v>
      </c>
      <c r="E207" s="3">
        <f>IF(ISERROR(VLOOKUP($A207,'SegEnds_NonXtal_BW#'!$A:$Z,4,FALSE)+VLOOKUP($A207,A:AL,4,FALSE)-50),"-",(VLOOKUP($A207,'SegEnds_NonXtal_BW#'!$A:$Z,4,FALSE)+VLOOKUP($A207,A:AL,4,FALSE)-50))</f>
        <v>79</v>
      </c>
      <c r="F207" s="3">
        <f t="shared" si="157"/>
        <v>80</v>
      </c>
      <c r="G207" s="3">
        <v>82</v>
      </c>
      <c r="H207" s="3">
        <f t="shared" si="158"/>
        <v>83</v>
      </c>
      <c r="I207" s="3">
        <f t="shared" si="158"/>
        <v>84</v>
      </c>
      <c r="J207" s="3">
        <v>97</v>
      </c>
      <c r="K207" s="3">
        <f>VLOOKUP($A207,'SegEnds_NonXtal_BW#'!$A:$Z,8,FALSE)+VLOOKUP($A207,A:AL,10,FALSE)-50</f>
        <v>113</v>
      </c>
      <c r="L207" s="3">
        <f>M207-1</f>
        <v>115</v>
      </c>
      <c r="M207" s="3">
        <v>116</v>
      </c>
      <c r="N207" s="3">
        <f>M207+2</f>
        <v>118</v>
      </c>
      <c r="O207" s="3">
        <f t="shared" si="139"/>
        <v>119</v>
      </c>
      <c r="P207" s="3">
        <v>148</v>
      </c>
      <c r="Q207" s="3">
        <f>VLOOKUP($A207,'SegEnds_NonXtal_BW#'!$A:$Z,12,FALSE)+VLOOKUP($A207,A:AL,16,FALSE)-50</f>
        <v>154</v>
      </c>
      <c r="R207" s="3">
        <f>IF(ISERROR(VLOOKUP($A207,'SegEnds_NonXtal_BW#'!$A:$Z,13,FALSE)+VLOOKUP($A207,A:AL,19,FALSE)-50),"-",VLOOKUP($A207,'SegEnds_NonXtal_BW#'!$A:$Z,13,FALSE)+VLOOKUP($A207,A:AL,19,FALSE)-50)</f>
        <v>155</v>
      </c>
      <c r="S207" s="3">
        <v>155</v>
      </c>
      <c r="T207" s="100">
        <f>IF(ISERROR(VLOOKUP($A207,'SegEnds_NonXtal_BW#'!$A:$Z,14,FALSE)+VLOOKUP($A207,A:AL,19,FALSE)-50),"-",(VLOOKUP($A207,'SegEnds_NonXtal_BW#'!$A:$Z,14,FALSE)+VLOOKUP($A207,A:AL,19,FALSE)-50))</f>
        <v>162</v>
      </c>
      <c r="U207" s="9">
        <f>IF(ISERROR(VLOOKUP($A207,'SegEnds_NonXtal_BW#'!$A:$Z,15,FALSE)+VLOOKUP($A207,A:AL,22,FALSE)-50),"-",VLOOKUP($A207,'SegEnds_NonXtal_BW#'!$A:$Z,15,FALSE)+VLOOKUP($A207,A:AL,22,FALSE)-50)</f>
        <v>163</v>
      </c>
      <c r="V207" s="3">
        <v>175</v>
      </c>
      <c r="W207" s="3">
        <f>IF(ISERROR(VLOOKUP($A207,'SegEnds_NonXtal_BW#'!$A:$Z,16,FALSE)+VLOOKUP($A207,A:AL,22,FALSE)-50),"-",(VLOOKUP($A207,'SegEnds_NonXtal_BW#'!$A:$Z,16,FALSE)+VLOOKUP($A207,A:AL,22,FALSE)-50))</f>
        <v>189</v>
      </c>
      <c r="X207" s="3">
        <f>IF(ISERROR(VLOOKUP($A207,'SegEnds_NonXtal_BW#'!$A:$Z,17,FALSE)+VLOOKUP($A207,A:AL,25,FALSE)-50),"-",(VLOOKUP($A207,'SegEnds_NonXtal_BW#'!$A:$Z,17,FALSE)+VLOOKUP($A207,A:AL,25,FALSE)-50))</f>
        <v>200</v>
      </c>
      <c r="Y207" s="3">
        <v>200</v>
      </c>
      <c r="Z207" s="3">
        <f t="shared" si="140"/>
        <v>202</v>
      </c>
      <c r="AA207" s="3">
        <f>IF(ISERROR(VLOOKUP($A207,'SegEnds_NonXtal_BW#'!$A:$Z,19,FALSE)+VLOOKUP($A207,A:AL,28,FALSE)-50),"-",(VLOOKUP($A207,'SegEnds_NonXtal_BW#'!$A:$Z,19,FALSE)+VLOOKUP($A207,A:AL,28,FALSE)-50))</f>
        <v>208</v>
      </c>
      <c r="AB207" s="3">
        <v>227</v>
      </c>
      <c r="AC207" s="3">
        <f>IF(ISERROR((VLOOKUP($A207,'SegEnds_NonXtal_BW#'!$A:$Z,20,FALSE)+VLOOKUP($A207,A:AL,28,FALSE)-50)),"-",(VLOOKUP($A207,'SegEnds_NonXtal_BW#'!$A:$Z,20,FALSE)+VLOOKUP($A207,A:AL,28,FALSE)-50))</f>
        <v>245</v>
      </c>
      <c r="AD207" s="3">
        <f>IF(ISERROR(VLOOKUP($A207,'SegEnds_NonXtal_BW#'!$A:$Z,21,FALSE)+VLOOKUP($A207,A:AL,31,FALSE)-50),"-",(VLOOKUP($A207,'SegEnds_NonXtal_BW#'!$A:$Z,21,FALSE)+VLOOKUP($A207,A:AL,31,FALSE)-50))</f>
        <v>251</v>
      </c>
      <c r="AE207" s="3">
        <v>278</v>
      </c>
      <c r="AF207" s="3">
        <f>IF(ISERROR((VLOOKUP($A207,'SegEnds_NonXtal_BW#'!$A:$Z,22,FALSE)+VLOOKUP($A207,A:AL,31,FALSE)-50)),"-",(VLOOKUP($A207,'SegEnds_NonXtal_BW#'!$A:$Z,22,FALSE)+VLOOKUP($A207,A:AL,31,FALSE)-50))</f>
        <v>289</v>
      </c>
      <c r="AG207" s="3">
        <f>IF(ISERROR(VLOOKUP($A207,'SegEnds_NonXtal_BW#'!$A:$Z,23,FALSE)+VLOOKUP($A207,A:AL,34,FALSE)-50),"-",(VLOOKUP($A207,'SegEnds_NonXtal_BW#'!$A:$Z,23,FALSE)+VLOOKUP($A207,A:AL,34,FALSE)-50))</f>
        <v>294</v>
      </c>
      <c r="AH207" s="3">
        <v>316</v>
      </c>
      <c r="AI207" s="3">
        <f>IF(ISERROR((VLOOKUP($A207,'SegEnds_NonXtal_BW#'!$A:$Z,24,FALSE)+VLOOKUP($A207,A:AL,34,FALSE)-50)),"-",(VLOOKUP($A207,'SegEnds_NonXtal_BW#'!$A:$Z,24,FALSE)+VLOOKUP($A207,A:AL,34,FALSE)-50))</f>
        <v>322</v>
      </c>
      <c r="AJ207" s="3">
        <f>IF(ISERROR(VLOOKUP($A207,'SegEnds_NonXtal_BW#'!$A:$Z,25,FALSE)+VLOOKUP($A207,A:AL,37,FALSE)-50),"-",(VLOOKUP($A207,'SegEnds_NonXtal_BW#'!$A:$Z,25,FALSE)+VLOOKUP($A207,A:AL,37,FALSE)-50))</f>
        <v>323</v>
      </c>
      <c r="AK207" s="3">
        <v>326</v>
      </c>
      <c r="AL207" s="3">
        <f>IF(ISERROR((VLOOKUP($A207,'SegEnds_NonXtal_BW#'!$A:$Z,26,FALSE)+VLOOKUP($A207,A:AL,37,FALSE)-50)),"-",(VLOOKUP($A207,'SegEnds_NonXtal_BW#'!$A:$Z,26,FALSE)+VLOOKUP($A207,A:AL,37,FALSE)-50))</f>
        <v>335</v>
      </c>
      <c r="AM207" s="28" t="str">
        <f>VLOOKUP(A207,Classification!A:B,2,FALSE)</f>
        <v>A</v>
      </c>
      <c r="AN207" s="28" t="b">
        <f t="shared" si="156"/>
        <v>1</v>
      </c>
      <c r="AO207" s="3" t="str">
        <f>IF(ISERROR(MATCH(A207,'SegEnds_Xtal_Prot#'!B:B, 0)), "NoXtal", "Xtal")</f>
        <v>Xtal</v>
      </c>
      <c r="AP207" s="3">
        <f t="shared" si="141"/>
        <v>1</v>
      </c>
      <c r="AQ207" s="3">
        <f t="shared" si="142"/>
        <v>1</v>
      </c>
      <c r="AR207" s="3">
        <f t="shared" si="143"/>
        <v>2</v>
      </c>
      <c r="AS207" s="3">
        <f t="shared" si="144"/>
        <v>1</v>
      </c>
      <c r="AT207" s="3">
        <f t="shared" si="145"/>
        <v>1</v>
      </c>
      <c r="AU207" s="3">
        <f t="shared" si="146"/>
        <v>1</v>
      </c>
      <c r="AV207" s="3">
        <f t="shared" si="147"/>
        <v>11</v>
      </c>
      <c r="AW207" s="3">
        <f t="shared" si="148"/>
        <v>6</v>
      </c>
      <c r="AX207" s="3">
        <f t="shared" si="149"/>
        <v>6</v>
      </c>
      <c r="AY207" s="3">
        <f t="shared" si="150"/>
        <v>5</v>
      </c>
      <c r="AZ207" s="3">
        <f t="shared" si="151"/>
        <v>1</v>
      </c>
      <c r="BA207" s="3">
        <f>IF(ISERROR(LEN(VLOOKUP(A207,Seqs!A:E,2,FALSE))-AL207),"-",LEN(VLOOKUP(A207,Seqs!A:E,2,FALSE))-AL207)</f>
        <v>35</v>
      </c>
      <c r="BB207" s="16">
        <f t="shared" si="152"/>
        <v>28</v>
      </c>
      <c r="BC207" s="9">
        <f t="shared" si="153"/>
        <v>20</v>
      </c>
      <c r="BD207" s="3">
        <f t="shared" si="154"/>
        <v>28</v>
      </c>
      <c r="BE207" s="3">
        <f t="shared" si="155"/>
        <v>51</v>
      </c>
    </row>
    <row r="208" spans="1:57" s="3" customFormat="1" x14ac:dyDescent="0.2">
      <c r="A208" s="3" t="s">
        <v>917</v>
      </c>
      <c r="B208" s="3" t="str">
        <f>LOWER(VLOOKUP(A208,Xtal_Templ!A:B,2,FALSE))</f>
        <v>opsd_human</v>
      </c>
      <c r="C208" s="3">
        <f>VLOOKUP($A208,'SegEnds_NonXtal_BW#'!$A:$Z,3,FALSE)+D208-50</f>
        <v>31</v>
      </c>
      <c r="D208" s="3">
        <v>52</v>
      </c>
      <c r="E208" s="3">
        <f>IF(ISERROR(VLOOKUP($A208,'SegEnds_NonXtal_BW#'!$A:$Z,4,FALSE)+VLOOKUP($A208,A:AL,4,FALSE)-50),"-",(VLOOKUP($A208,'SegEnds_NonXtal_BW#'!$A:$Z,4,FALSE)+VLOOKUP($A208,A:AL,4,FALSE)-50))</f>
        <v>62</v>
      </c>
      <c r="F208" s="3">
        <f t="shared" si="157"/>
        <v>63</v>
      </c>
      <c r="G208" s="3">
        <v>65</v>
      </c>
      <c r="H208" s="3">
        <f t="shared" si="158"/>
        <v>66</v>
      </c>
      <c r="I208" s="3">
        <f t="shared" si="158"/>
        <v>67</v>
      </c>
      <c r="J208" s="3">
        <v>80</v>
      </c>
      <c r="K208" s="3">
        <f>VLOOKUP($A208,'SegEnds_NonXtal_BW#'!$A:$Z,8,FALSE)+VLOOKUP($A208,A:AL,10,FALSE)-50</f>
        <v>97</v>
      </c>
      <c r="L208" s="3">
        <f>IF(ISERROR(VLOOKUP($A208,'SegEnds_NonXtal_BW#'!$A:$Z,9,FALSE)+VLOOKUP($A208,A:AL,13,FALSE)-50),"-",(VLOOKUP($A208,'SegEnds_NonXtal_BW#'!$A:$Z,9,FALSE)+VLOOKUP($A208,A:AL,13,FALSE)-50))</f>
        <v>100</v>
      </c>
      <c r="M208" s="3">
        <v>101</v>
      </c>
      <c r="N208" s="3">
        <f>IF(ISERROR(VLOOKUP($A208,'SegEnds_NonXtal_BW#'!$A:$Z,10,FALSE)+VLOOKUP($A208,A:AL,13,FALSE)-50),"-",(VLOOKUP($A208,'SegEnds_NonXtal_BW#'!$A:$Z,10,FALSE)+VLOOKUP($A208,A:AL,13,FALSE)-50))</f>
        <v>103</v>
      </c>
      <c r="O208" s="3">
        <f t="shared" si="139"/>
        <v>104</v>
      </c>
      <c r="P208" s="3">
        <v>133</v>
      </c>
      <c r="Q208" s="3">
        <f>VLOOKUP($A208,'SegEnds_NonXtal_BW#'!$A:$Z,12,FALSE)+VLOOKUP($A208,A:AL,16,FALSE)-50</f>
        <v>139</v>
      </c>
      <c r="R208" s="3">
        <f>IF(ISERROR(VLOOKUP($A208,'SegEnds_NonXtal_BW#'!$A:$Z,13,FALSE)+VLOOKUP($A208,A:AL,19,FALSE)-50),"-",VLOOKUP($A208,'SegEnds_NonXtal_BW#'!$A:$Z,13,FALSE)+VLOOKUP($A208,A:AL,19,FALSE)-50)</f>
        <v>140</v>
      </c>
      <c r="S208" s="3">
        <v>140</v>
      </c>
      <c r="T208" s="100">
        <f>IF(ISERROR(VLOOKUP($A208,'SegEnds_NonXtal_BW#'!$A:$Z,14,FALSE)+VLOOKUP($A208,A:AL,19,FALSE)-50),"-",(VLOOKUP($A208,'SegEnds_NonXtal_BW#'!$A:$Z,14,FALSE)+VLOOKUP($A208,A:AL,19,FALSE)-50))</f>
        <v>146</v>
      </c>
      <c r="U208" s="9">
        <f>IF(ISERROR(VLOOKUP($A208,'SegEnds_NonXtal_BW#'!$A:$Z,15,FALSE)+VLOOKUP($A208,A:AL,22,FALSE)-50),"-",VLOOKUP($A208,'SegEnds_NonXtal_BW#'!$A:$Z,15,FALSE)+VLOOKUP($A208,A:AL,22,FALSE)-50)</f>
        <v>148</v>
      </c>
      <c r="V208" s="3">
        <v>160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186</v>
      </c>
      <c r="Y208" s="3">
        <v>186</v>
      </c>
      <c r="Z208" s="3">
        <f t="shared" si="140"/>
        <v>188</v>
      </c>
      <c r="AA208" s="3">
        <f>IF(ISERROR(VLOOKUP($A208,'SegEnds_NonXtal_BW#'!$A:$Z,19,FALSE)+VLOOKUP($A208,A:AL,28,FALSE)-50),"-",(VLOOKUP($A208,'SegEnds_NonXtal_BW#'!$A:$Z,19,FALSE)+VLOOKUP($A208,A:AL,28,FALSE)-50))</f>
        <v>196</v>
      </c>
      <c r="AB208" s="3">
        <v>212</v>
      </c>
      <c r="AC208" s="3">
        <v>239</v>
      </c>
      <c r="AD208" s="3">
        <v>244</v>
      </c>
      <c r="AE208" s="3">
        <v>276</v>
      </c>
      <c r="AF208" s="3">
        <f>IF(ISERROR((VLOOKUP($A208,'SegEnds_NonXtal_BW#'!$A:$Z,22,FALSE)+VLOOKUP($A208,A:AL,31,FALSE)-50)),"-",(VLOOKUP($A208,'SegEnds_NonXtal_BW#'!$A:$Z,22,FALSE)+VLOOKUP($A208,A:AL,31,FALSE)-50))</f>
        <v>287</v>
      </c>
      <c r="AG208" s="3">
        <f>IF(ISERROR(VLOOKUP($A208,'SegEnds_NonXtal_BW#'!$A:$Z,23,FALSE)+VLOOKUP($A208,A:AL,34,FALSE)-50),"-",(VLOOKUP($A208,'SegEnds_NonXtal_BW#'!$A:$Z,23,FALSE)+VLOOKUP($A208,A:AL,34,FALSE)-50))</f>
        <v>293</v>
      </c>
      <c r="AH208" s="3">
        <v>312</v>
      </c>
      <c r="AI208" s="3">
        <f>IF(ISERROR((VLOOKUP($A208,'SegEnds_NonXtal_BW#'!$A:$Z,24,FALSE)+VLOOKUP($A208,A:AL,34,FALSE)-50)),"-",(VLOOKUP($A208,'SegEnds_NonXtal_BW#'!$A:$Z,24,FALSE)+VLOOKUP($A208,A:AL,34,FALSE)-50))</f>
        <v>318</v>
      </c>
      <c r="AJ208" s="3">
        <f>IF(ISERROR(VLOOKUP($A208,'SegEnds_NonXtal_BW#'!$A:$Z,25,FALSE)+VLOOKUP($A208,A:AL,37,FALSE)-50),"-",(VLOOKUP($A208,'SegEnds_NonXtal_BW#'!$A:$Z,25,FALSE)+VLOOKUP($A208,A:AL,37,FALSE)-50))</f>
        <v>319</v>
      </c>
      <c r="AK208" s="3">
        <v>322</v>
      </c>
      <c r="AL208" s="3">
        <f>IF(ISERROR((VLOOKUP($A208,'SegEnds_NonXtal_BW#'!$A:$Z,26,FALSE)+VLOOKUP($A208,A:AL,37,FALSE)-50)),"-",(VLOOKUP($A208,'SegEnds_NonXtal_BW#'!$A:$Z,26,FALSE)+VLOOKUP($A208,A:AL,37,FALSE)-50))</f>
        <v>331</v>
      </c>
      <c r="AM208" s="28" t="str">
        <f>VLOOKUP(A208,Classification!A:B,2,FALSE)</f>
        <v>A</v>
      </c>
      <c r="AN208" s="28" t="b">
        <f t="shared" si="156"/>
        <v>1</v>
      </c>
      <c r="AO208" s="3" t="str">
        <f>IF(ISERROR(MATCH(A208,'SegEnds_Xtal_Prot#'!B:B, 0)), "NoXtal", "Xtal")</f>
        <v>Xtal</v>
      </c>
      <c r="AP208" s="3">
        <f t="shared" si="141"/>
        <v>1</v>
      </c>
      <c r="AQ208" s="3">
        <f t="shared" si="142"/>
        <v>1</v>
      </c>
      <c r="AR208" s="3">
        <f t="shared" si="143"/>
        <v>3</v>
      </c>
      <c r="AS208" s="3">
        <f t="shared" si="144"/>
        <v>1</v>
      </c>
      <c r="AT208" s="3">
        <f t="shared" si="145"/>
        <v>1</v>
      </c>
      <c r="AU208" s="3">
        <f t="shared" si="146"/>
        <v>2</v>
      </c>
      <c r="AV208" s="3">
        <f t="shared" si="147"/>
        <v>14</v>
      </c>
      <c r="AW208" s="3">
        <f t="shared" si="148"/>
        <v>8</v>
      </c>
      <c r="AX208" s="3">
        <f t="shared" si="149"/>
        <v>5</v>
      </c>
      <c r="AY208" s="3">
        <f t="shared" si="150"/>
        <v>6</v>
      </c>
      <c r="AZ208" s="3">
        <f t="shared" si="151"/>
        <v>1</v>
      </c>
      <c r="BA208" s="3">
        <f>IF(ISERROR(LEN(VLOOKUP(A208,Seqs!A:E,2,FALSE))-AL208),"-",LEN(VLOOKUP(A208,Seqs!A:E,2,FALSE))-AL208)</f>
        <v>117</v>
      </c>
      <c r="BB208" s="16">
        <f t="shared" si="152"/>
        <v>28</v>
      </c>
      <c r="BC208" s="9">
        <f t="shared" si="153"/>
        <v>20</v>
      </c>
      <c r="BD208" s="3">
        <f t="shared" si="154"/>
        <v>28</v>
      </c>
      <c r="BE208" s="3">
        <f t="shared" si="155"/>
        <v>64</v>
      </c>
    </row>
    <row r="209" spans="1:59" s="3" customFormat="1" x14ac:dyDescent="0.2">
      <c r="A209" s="3" t="s">
        <v>341</v>
      </c>
      <c r="B209" s="3" t="str">
        <f>LOWER(VLOOKUP(A209,Xtal_Templ!A:B,2,FALSE))</f>
        <v>pd2r2_human</v>
      </c>
      <c r="C209" s="3">
        <f>VLOOKUP($A209,'SegEnds_NonXtal_BW#'!$A:$Z,3,FALSE)+D209-50</f>
        <v>92</v>
      </c>
      <c r="D209" s="3">
        <v>110</v>
      </c>
      <c r="E209" s="3">
        <f>IF(ISERROR(VLOOKUP($A209,'SegEnds_NonXtal_BW#'!$A:$Z,4,FALSE)+VLOOKUP($A209,A:AL,4,FALSE)-50),"-",(VLOOKUP($A209,'SegEnds_NonXtal_BW#'!$A:$Z,4,FALSE)+VLOOKUP($A209,A:AL,4,FALSE)-50))</f>
        <v>120</v>
      </c>
      <c r="F209" s="3">
        <f t="shared" si="157"/>
        <v>121</v>
      </c>
      <c r="G209" s="3">
        <v>123</v>
      </c>
      <c r="H209" s="3">
        <f t="shared" si="158"/>
        <v>124</v>
      </c>
      <c r="I209" s="3">
        <f t="shared" si="158"/>
        <v>125</v>
      </c>
      <c r="J209" s="3">
        <v>138</v>
      </c>
      <c r="K209" s="3">
        <f>VLOOKUP($A209,'SegEnds_NonXtal_BW#'!$A:$Z,8,FALSE)+VLOOKUP($A209,A:AL,10,FALSE)-50</f>
        <v>155</v>
      </c>
      <c r="L209" s="3">
        <f t="shared" ref="L209:L215" si="159">M209-1</f>
        <v>157</v>
      </c>
      <c r="M209" s="3">
        <v>158</v>
      </c>
      <c r="N209" s="3">
        <f t="shared" ref="N209:N215" si="160">M209+2</f>
        <v>160</v>
      </c>
      <c r="O209" s="3">
        <f t="shared" si="139"/>
        <v>161</v>
      </c>
      <c r="P209" s="3">
        <v>190</v>
      </c>
      <c r="Q209" s="3">
        <f>VLOOKUP($A209,'SegEnds_NonXtal_BW#'!$A:$Z,12,FALSE)+VLOOKUP($A209,A:AL,16,FALSE)-50</f>
        <v>196</v>
      </c>
      <c r="R209" s="3">
        <f>IF(ISERROR(VLOOKUP($A209,'SegEnds_NonXtal_BW#'!$A:$Z,13,FALSE)+VLOOKUP($A209,A:AL,19,FALSE)-50),"-",VLOOKUP($A209,'SegEnds_NonXtal_BW#'!$A:$Z,13,FALSE)+VLOOKUP($A209,A:AL,19,FALSE)-50)</f>
        <v>197</v>
      </c>
      <c r="S209" s="3">
        <v>197</v>
      </c>
      <c r="T209" s="100">
        <f>IF(ISERROR(VLOOKUP($A209,'SegEnds_NonXtal_BW#'!$A:$Z,14,FALSE)+VLOOKUP($A209,A:AL,19,FALSE)-50),"-",(VLOOKUP($A209,'SegEnds_NonXtal_BW#'!$A:$Z,14,FALSE)+VLOOKUP($A209,A:AL,19,FALSE)-50))</f>
        <v>204</v>
      </c>
      <c r="U209" s="9">
        <f>IF(ISERROR(VLOOKUP($A209,'SegEnds_NonXtal_BW#'!$A:$Z,15,FALSE)+VLOOKUP($A209,A:AL,22,FALSE)-50),"-",VLOOKUP($A209,'SegEnds_NonXtal_BW#'!$A:$Z,15,FALSE)+VLOOKUP($A209,A:AL,22,FALSE)-50)</f>
        <v>205</v>
      </c>
      <c r="V209" s="3">
        <v>217</v>
      </c>
      <c r="W209" s="3">
        <f>IF(ISERROR(VLOOKUP($A209,'SegEnds_NonXtal_BW#'!$A:$Z,16,FALSE)+VLOOKUP($A209,A:AL,22,FALSE)-50),"-",(VLOOKUP($A209,'SegEnds_NonXtal_BW#'!$A:$Z,16,FALSE)+VLOOKUP($A209,A:AL,22,FALSE)-50))</f>
        <v>231</v>
      </c>
      <c r="X209" s="3">
        <f>IF(ISERROR(VLOOKUP($A209,'SegEnds_NonXtal_BW#'!$A:$Z,17,FALSE)+VLOOKUP($A209,A:AL,25,FALSE)-50),"-",(VLOOKUP($A209,'SegEnds_NonXtal_BW#'!$A:$Z,17,FALSE)+VLOOKUP($A209,A:AL,25,FALSE)-50))</f>
        <v>237</v>
      </c>
      <c r="Y209" s="3">
        <v>237</v>
      </c>
      <c r="Z209" s="3">
        <f t="shared" si="140"/>
        <v>239</v>
      </c>
      <c r="AA209" s="3">
        <f>IF(ISERROR(VLOOKUP($A209,'SegEnds_NonXtal_BW#'!$A:$Z,19,FALSE)+VLOOKUP($A209,A:AL,28,FALSE)-50),"-",(VLOOKUP($A209,'SegEnds_NonXtal_BW#'!$A:$Z,19,FALSE)+VLOOKUP($A209,A:AL,28,FALSE)-50))</f>
        <v>240</v>
      </c>
      <c r="AB209" s="3">
        <v>264</v>
      </c>
      <c r="AC209" s="3">
        <f>IF(ISERROR((VLOOKUP($A209,'SegEnds_NonXtal_BW#'!$A:$Z,20,FALSE)+VLOOKUP($A209,A:AL,28,FALSE)-50)),"-",(VLOOKUP($A209,'SegEnds_NonXtal_BW#'!$A:$Z,20,FALSE)+VLOOKUP($A209,A:AL,28,FALSE)-50))</f>
        <v>281</v>
      </c>
      <c r="AD209" s="3">
        <f>IF(ISERROR(VLOOKUP($A209,'SegEnds_NonXtal_BW#'!$A:$Z,21,FALSE)+VLOOKUP($A209,A:AL,31,FALSE)-50),"-",(VLOOKUP($A209,'SegEnds_NonXtal_BW#'!$A:$Z,21,FALSE)+VLOOKUP($A209,A:AL,31,FALSE)-50))</f>
        <v>286</v>
      </c>
      <c r="AE209" s="3">
        <v>310</v>
      </c>
      <c r="AF209" s="3">
        <f>IF(ISERROR((VLOOKUP($A209,'SegEnds_NonXtal_BW#'!$A:$Z,22,FALSE)+VLOOKUP($A209,A:AL,31,FALSE)-50)),"-",(VLOOKUP($A209,'SegEnds_NonXtal_BW#'!$A:$Z,22,FALSE)+VLOOKUP($A209,A:AL,31,FALSE)-50))</f>
        <v>321</v>
      </c>
      <c r="AG209" s="3">
        <f>IF(ISERROR(VLOOKUP($A209,'SegEnds_NonXtal_BW#'!$A:$Z,23,FALSE)+VLOOKUP($A209,A:AL,34,FALSE)-50),"-",(VLOOKUP($A209,'SegEnds_NonXtal_BW#'!$A:$Z,23,FALSE)+VLOOKUP($A209,A:AL,34,FALSE)-50))</f>
        <v>330</v>
      </c>
      <c r="AH209" s="3">
        <v>352</v>
      </c>
      <c r="AI209" s="3">
        <f>IF(ISERROR((VLOOKUP($A209,'SegEnds_NonXtal_BW#'!$A:$Z,24,FALSE)+VLOOKUP($A209,A:AL,34,FALSE)-50)),"-",(VLOOKUP($A209,'SegEnds_NonXtal_BW#'!$A:$Z,24,FALSE)+VLOOKUP($A209,A:AL,34,FALSE)-50))</f>
        <v>358</v>
      </c>
      <c r="AJ209" s="3">
        <f>IF(ISERROR(VLOOKUP($A209,'SegEnds_NonXtal_BW#'!$A:$Z,25,FALSE)+VLOOKUP($A209,A:AL,37,FALSE)-50),"-",(VLOOKUP($A209,'SegEnds_NonXtal_BW#'!$A:$Z,25,FALSE)+VLOOKUP($A209,A:AL,37,FALSE)-50))</f>
        <v>359</v>
      </c>
      <c r="AK209" s="3">
        <v>362</v>
      </c>
      <c r="AL209" s="3">
        <f>IF(ISERROR((VLOOKUP($A209,'SegEnds_NonXtal_BW#'!$A:$Z,26,FALSE)+VLOOKUP($A209,A:AL,37,FALSE)-50)),"-",(VLOOKUP($A209,'SegEnds_NonXtal_BW#'!$A:$Z,26,FALSE)+VLOOKUP($A209,A:AL,37,FALSE)-50))</f>
        <v>376</v>
      </c>
      <c r="AM209" s="28" t="str">
        <f>VLOOKUP(A209,Classification!A:B,2,FALSE)</f>
        <v>A</v>
      </c>
      <c r="AN209" s="28" t="b">
        <f t="shared" si="156"/>
        <v>1</v>
      </c>
      <c r="AO209" s="3" t="str">
        <f>IF(ISERROR(MATCH(A209,'SegEnds_Xtal_Prot#'!B:B, 0)), "NoXtal", "Xtal")</f>
        <v>NoXtal</v>
      </c>
      <c r="AP209" s="3">
        <f t="shared" si="141"/>
        <v>1</v>
      </c>
      <c r="AQ209" s="3">
        <f t="shared" si="142"/>
        <v>1</v>
      </c>
      <c r="AR209" s="3">
        <f t="shared" si="143"/>
        <v>2</v>
      </c>
      <c r="AS209" s="3">
        <f t="shared" si="144"/>
        <v>1</v>
      </c>
      <c r="AT209" s="3">
        <f t="shared" si="145"/>
        <v>1</v>
      </c>
      <c r="AU209" s="3">
        <f t="shared" si="146"/>
        <v>1</v>
      </c>
      <c r="AV209" s="3">
        <f t="shared" si="147"/>
        <v>6</v>
      </c>
      <c r="AW209" s="3">
        <f t="shared" si="148"/>
        <v>1</v>
      </c>
      <c r="AX209" s="3">
        <f t="shared" si="149"/>
        <v>5</v>
      </c>
      <c r="AY209" s="3">
        <f t="shared" si="150"/>
        <v>9</v>
      </c>
      <c r="AZ209" s="3">
        <f t="shared" si="151"/>
        <v>1</v>
      </c>
      <c r="BA209" s="3">
        <f>IF(ISERROR(LEN(VLOOKUP(A209,Seqs!A:E,2,FALSE))-AL209),"-",LEN(VLOOKUP(A209,Seqs!A:E,2,FALSE))-AL209)</f>
        <v>47</v>
      </c>
      <c r="BB209" s="16">
        <f t="shared" si="152"/>
        <v>28</v>
      </c>
      <c r="BC209" s="9">
        <f t="shared" si="153"/>
        <v>20</v>
      </c>
      <c r="BD209" s="3">
        <f t="shared" si="154"/>
        <v>28</v>
      </c>
      <c r="BE209" s="3">
        <f t="shared" si="155"/>
        <v>46</v>
      </c>
    </row>
    <row r="210" spans="1:59" s="3" customFormat="1" x14ac:dyDescent="0.2">
      <c r="A210" s="3" t="s">
        <v>342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9"/>
        <v>98</v>
      </c>
      <c r="M210" s="3">
        <v>99</v>
      </c>
      <c r="N210" s="3">
        <f t="shared" si="160"/>
        <v>101</v>
      </c>
      <c r="O210" s="3">
        <f t="shared" si="139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0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40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227</v>
      </c>
      <c r="AD210" s="3">
        <f>IF(ISERROR(VLOOKUP($A210,'SegEnds_NonXtal_BW#'!$A:$Z,21,FALSE)+VLOOKUP($A210,A:AL,31,FALSE)-50),"-",(VLOOKUP($A210,'SegEnds_NonXtal_BW#'!$A:$Z,21,FALSE)+VLOOKUP($A210,A:AL,31,FALSE)-50))</f>
        <v>232</v>
      </c>
      <c r="AE210" s="3">
        <v>256</v>
      </c>
      <c r="AF210" s="3">
        <f>IF(ISERROR((VLOOKUP($A210,'SegEnds_NonXtal_BW#'!$A:$Z,22,FALSE)+VLOOKUP($A210,A:AL,31,FALSE)-50)),"-",(VLOOKUP($A210,'SegEnds_NonXtal_BW#'!$A:$Z,22,FALSE)+VLOOKUP($A210,A:AL,31,FALSE)-50))</f>
        <v>267</v>
      </c>
      <c r="AG210" s="3">
        <f>IF(ISERROR(VLOOKUP($A210,'SegEnds_NonXtal_BW#'!$A:$Z,23,FALSE)+VLOOKUP($A210,A:AL,34,FALSE)-50),"-",(VLOOKUP($A210,'SegEnds_NonXtal_BW#'!$A:$Z,23,FALSE)+VLOOKUP($A210,A:AL,34,FALSE)-50))</f>
        <v>273</v>
      </c>
      <c r="AH210" s="3">
        <v>299</v>
      </c>
      <c r="AI210" s="3">
        <f>IF(ISERROR((VLOOKUP($A210,'SegEnds_NonXtal_BW#'!$A:$Z,24,FALSE)+VLOOKUP($A210,A:AL,34,FALSE)-50)),"-",(VLOOKUP($A210,'SegEnds_NonXtal_BW#'!$A:$Z,24,FALSE)+VLOOKUP($A210,A:AL,34,FALSE)-50))</f>
        <v>305</v>
      </c>
      <c r="AJ210" s="3">
        <f>IF(ISERROR(VLOOKUP($A210,'SegEnds_NonXtal_BW#'!$A:$Z,25,FALSE)+VLOOKUP($A210,A:AL,37,FALSE)-50),"-",(VLOOKUP($A210,'SegEnds_NonXtal_BW#'!$A:$Z,25,FALSE)+VLOOKUP($A210,A:AL,37,FALSE)-50))</f>
        <v>306</v>
      </c>
      <c r="AK210" s="3">
        <v>309</v>
      </c>
      <c r="AL210" s="3">
        <f>IF(ISERROR((VLOOKUP($A210,'SegEnds_NonXtal_BW#'!$A:$Z,26,FALSE)+VLOOKUP($A210,A:AL,37,FALSE)-50)),"-",(VLOOKUP($A210,'SegEnds_NonXtal_BW#'!$A:$Z,26,FALSE)+VLOOKUP($A210,A:AL,37,FALSE)-50))</f>
        <v>318</v>
      </c>
      <c r="AM210" s="28" t="str">
        <f>VLOOKUP(A210,Classification!A:B,2,FALSE)</f>
        <v>A</v>
      </c>
      <c r="AN210" s="28" t="b">
        <f t="shared" si="156"/>
        <v>1</v>
      </c>
      <c r="AO210" s="3" t="str">
        <f>IF(ISERROR(MATCH(A210,'SegEnds_Xtal_Prot#'!B:B, 0)), "NoXtal", "Xtal")</f>
        <v>NoXtal</v>
      </c>
      <c r="AP210" s="3" t="str">
        <f t="shared" si="141"/>
        <v>-</v>
      </c>
      <c r="AQ210" s="3" t="str">
        <f t="shared" si="142"/>
        <v>-</v>
      </c>
      <c r="AR210" s="3">
        <f t="shared" si="143"/>
        <v>3</v>
      </c>
      <c r="AS210" s="3">
        <f t="shared" si="144"/>
        <v>1</v>
      </c>
      <c r="AT210" s="3">
        <f t="shared" si="145"/>
        <v>1</v>
      </c>
      <c r="AU210" s="3">
        <f t="shared" si="146"/>
        <v>1</v>
      </c>
      <c r="AV210" s="3">
        <f t="shared" si="147"/>
        <v>11</v>
      </c>
      <c r="AW210" s="3">
        <f t="shared" si="148"/>
        <v>7</v>
      </c>
      <c r="AX210" s="3">
        <f t="shared" si="149"/>
        <v>5</v>
      </c>
      <c r="AY210" s="3">
        <f t="shared" si="150"/>
        <v>6</v>
      </c>
      <c r="AZ210" s="3">
        <f t="shared" si="151"/>
        <v>1</v>
      </c>
      <c r="BA210" s="3">
        <f>IF(ISERROR(LEN(VLOOKUP(A210,Seqs!A:E,2,FALSE))-AL210),"-",LEN(VLOOKUP(A210,Seqs!A:E,2,FALSE))-AL210)</f>
        <v>19</v>
      </c>
      <c r="BB210" s="16">
        <f t="shared" si="152"/>
        <v>28</v>
      </c>
      <c r="BC210" s="9">
        <f t="shared" si="153"/>
        <v>20</v>
      </c>
      <c r="BD210" s="3">
        <f t="shared" si="154"/>
        <v>28</v>
      </c>
      <c r="BE210" s="3">
        <f t="shared" si="155"/>
        <v>46</v>
      </c>
      <c r="BF210" s="3">
        <f>AH210-AE210</f>
        <v>43</v>
      </c>
    </row>
    <row r="211" spans="1:59" s="3" customFormat="1" x14ac:dyDescent="0.2">
      <c r="A211" s="3" t="s">
        <v>344</v>
      </c>
      <c r="B211" s="3" t="str">
        <f>LOWER(VLOOKUP(A211,Xtal_Templ!A:B,2,FALSE))</f>
        <v>p2ry1_human</v>
      </c>
      <c r="C211" s="3">
        <f>VLOOKUP($A211,'SegEnds_NonXtal_BW#'!$A:$Z,3,FALSE)+D211-50</f>
        <v>49</v>
      </c>
      <c r="D211" s="3">
        <v>69</v>
      </c>
      <c r="E211" s="3">
        <f>IF(ISERROR(VLOOKUP($A211,'SegEnds_NonXtal_BW#'!$A:$Z,4,FALSE)+VLOOKUP($A211,A:AL,4,FALSE)-50),"-",(VLOOKUP($A211,'SegEnds_NonXtal_BW#'!$A:$Z,4,FALSE)+VLOOKUP($A211,A:AL,4,FALSE)-50))</f>
        <v>79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84</v>
      </c>
      <c r="J211" s="3">
        <v>97</v>
      </c>
      <c r="K211" s="3">
        <f>VLOOKUP($A211,'SegEnds_NonXtal_BW#'!$A:$Z,8,FALSE)+VLOOKUP($A211,A:AL,10,FALSE)-50</f>
        <v>113</v>
      </c>
      <c r="L211" s="3">
        <f t="shared" si="159"/>
        <v>116</v>
      </c>
      <c r="M211" s="3">
        <v>117</v>
      </c>
      <c r="N211" s="3">
        <f t="shared" si="160"/>
        <v>119</v>
      </c>
      <c r="O211" s="3">
        <f t="shared" si="139"/>
        <v>120</v>
      </c>
      <c r="P211" s="3">
        <v>149</v>
      </c>
      <c r="Q211" s="3">
        <f>VLOOKUP($A211,'SegEnds_NonXtal_BW#'!$A:$Z,12,FALSE)+VLOOKUP($A211,A:AL,16,FALSE)-50</f>
        <v>155</v>
      </c>
      <c r="R211" s="3">
        <f>IF(ISERROR(VLOOKUP($A211,'SegEnds_NonXtal_BW#'!$A:$Z,13,FALSE)+VLOOKUP($A211,A:AL,19,FALSE)-50),"-",VLOOKUP($A211,'SegEnds_NonXtal_BW#'!$A:$Z,13,FALSE)+VLOOKUP($A211,A:AL,19,FALSE)-50)</f>
        <v>156</v>
      </c>
      <c r="S211" s="3">
        <v>156</v>
      </c>
      <c r="T211" s="100">
        <f>IF(ISERROR(VLOOKUP($A211,'SegEnds_NonXtal_BW#'!$A:$Z,14,FALSE)+VLOOKUP($A211,A:AL,19,FALSE)-50),"-",(VLOOKUP($A211,'SegEnds_NonXtal_BW#'!$A:$Z,14,FALSE)+VLOOKUP($A211,A:AL,19,FALSE)-50))</f>
        <v>163</v>
      </c>
      <c r="U211" s="9">
        <f>IF(ISERROR(VLOOKUP($A211,'SegEnds_NonXtal_BW#'!$A:$Z,15,FALSE)+VLOOKUP($A211,A:AL,22,FALSE)-50),"-",VLOOKUP($A211,'SegEnds_NonXtal_BW#'!$A:$Z,15,FALSE)+VLOOKUP($A211,A:AL,22,FALSE)-50)</f>
        <v>164</v>
      </c>
      <c r="V211" s="3">
        <v>176</v>
      </c>
      <c r="W211" s="3">
        <f>IF(ISERROR(VLOOKUP($A211,'SegEnds_NonXtal_BW#'!$A:$Z,16,FALSE)+VLOOKUP($A211,A:AL,22,FALSE)-50),"-",(VLOOKUP($A211,'SegEnds_NonXtal_BW#'!$A:$Z,16,FALSE)+VLOOKUP($A211,A:AL,22,FALSE)-50))</f>
        <v>190</v>
      </c>
      <c r="X211" s="3">
        <f>IF(ISERROR(VLOOKUP($A211,'SegEnds_NonXtal_BW#'!$A:$Z,17,FALSE)+VLOOKUP($A211,A:AL,25,FALSE)-50),"-",(VLOOKUP($A211,'SegEnds_NonXtal_BW#'!$A:$Z,17,FALSE)+VLOOKUP($A211,A:AL,25,FALSE)-50))</f>
        <v>202</v>
      </c>
      <c r="Y211" s="3">
        <v>202</v>
      </c>
      <c r="Z211" s="3">
        <f t="shared" si="140"/>
        <v>204</v>
      </c>
      <c r="AA211" s="3">
        <f>IF(ISERROR(VLOOKUP($A211,'SegEnds_NonXtal_BW#'!$A:$Z,19,FALSE)+VLOOKUP($A211,A:AL,28,FALSE)-50),"-",(VLOOKUP($A211,'SegEnds_NonXtal_BW#'!$A:$Z,19,FALSE)+VLOOKUP($A211,A:AL,28,FALSE)-50))</f>
        <v>211</v>
      </c>
      <c r="AB211" s="3">
        <v>229</v>
      </c>
      <c r="AC211" s="3">
        <f>IF(ISERROR((VLOOKUP($A211,'SegEnds_NonXtal_BW#'!$A:$Z,20,FALSE)+VLOOKUP($A211,A:AL,28,FALSE)-50)),"-",(VLOOKUP($A211,'SegEnds_NonXtal_BW#'!$A:$Z,20,FALSE)+VLOOKUP($A211,A:AL,28,FALSE)-50))</f>
        <v>247</v>
      </c>
      <c r="AD211" s="3">
        <f>IF(ISERROR(VLOOKUP($A211,'SegEnds_NonXtal_BW#'!$A:$Z,21,FALSE)+VLOOKUP($A211,A:AL,31,FALSE)-50),"-",(VLOOKUP($A211,'SegEnds_NonXtal_BW#'!$A:$Z,21,FALSE)+VLOOKUP($A211,A:AL,31,FALSE)-50))</f>
        <v>253</v>
      </c>
      <c r="AE211" s="3">
        <v>275</v>
      </c>
      <c r="AF211" s="3">
        <f>IF(ISERROR((VLOOKUP($A211,'SegEnds_NonXtal_BW#'!$A:$Z,22,FALSE)+VLOOKUP($A211,A:AL,31,FALSE)-50)),"-",(VLOOKUP($A211,'SegEnds_NonXtal_BW#'!$A:$Z,22,FALSE)+VLOOKUP($A211,A:AL,31,FALSE)-50))</f>
        <v>289</v>
      </c>
      <c r="AG211" s="3">
        <f>IF(ISERROR(VLOOKUP($A211,'SegEnds_NonXtal_BW#'!$A:$Z,23,FALSE)+VLOOKUP($A211,A:AL,34,FALSE)-50),"-",(VLOOKUP($A211,'SegEnds_NonXtal_BW#'!$A:$Z,23,FALSE)+VLOOKUP($A211,A:AL,34,FALSE)-50))</f>
        <v>295</v>
      </c>
      <c r="AH211" s="3">
        <v>321</v>
      </c>
      <c r="AI211" s="3">
        <f>IF(ISERROR((VLOOKUP($A211,'SegEnds_NonXtal_BW#'!$A:$Z,24,FALSE)+VLOOKUP($A211,A:AL,34,FALSE)-50)),"-",(VLOOKUP($A211,'SegEnds_NonXtal_BW#'!$A:$Z,24,FALSE)+VLOOKUP($A211,A:AL,34,FALSE)-50))</f>
        <v>327</v>
      </c>
      <c r="AJ211" s="3">
        <f>IF(ISERROR(VLOOKUP($A211,'SegEnds_NonXtal_BW#'!$A:$Z,25,FALSE)+VLOOKUP($A211,A:AL,37,FALSE)-50),"-",(VLOOKUP($A211,'SegEnds_NonXtal_BW#'!$A:$Z,25,FALSE)+VLOOKUP($A211,A:AL,37,FALSE)-50))</f>
        <v>328</v>
      </c>
      <c r="AK211" s="3">
        <v>331</v>
      </c>
      <c r="AL211" s="3">
        <f>IF(ISERROR((VLOOKUP($A211,'SegEnds_NonXtal_BW#'!$A:$Z,26,FALSE)+VLOOKUP($A211,A:AL,37,FALSE)-50)),"-",(VLOOKUP($A211,'SegEnds_NonXtal_BW#'!$A:$Z,26,FALSE)+VLOOKUP($A211,A:AL,37,FALSE)-50))</f>
        <v>340</v>
      </c>
      <c r="AM211" s="28" t="str">
        <f>VLOOKUP(A211,Classification!A:B,2,FALSE)</f>
        <v>A</v>
      </c>
      <c r="AN211" s="28" t="b">
        <f t="shared" si="156"/>
        <v>1</v>
      </c>
      <c r="AO211" s="3" t="str">
        <f>IF(ISERROR(MATCH(A211,'SegEnds_Xtal_Prot#'!B:B, 0)), "NoXtal", "Xtal")</f>
        <v>Xtal</v>
      </c>
      <c r="AP211" s="3" t="str">
        <f t="shared" si="141"/>
        <v>-</v>
      </c>
      <c r="AQ211" s="3" t="str">
        <f t="shared" si="142"/>
        <v>-</v>
      </c>
      <c r="AR211" s="3">
        <f t="shared" si="143"/>
        <v>3</v>
      </c>
      <c r="AS211" s="3">
        <f t="shared" si="144"/>
        <v>1</v>
      </c>
      <c r="AT211" s="3">
        <f t="shared" si="145"/>
        <v>1</v>
      </c>
      <c r="AU211" s="3">
        <f t="shared" si="146"/>
        <v>1</v>
      </c>
      <c r="AV211" s="3">
        <f t="shared" si="147"/>
        <v>12</v>
      </c>
      <c r="AW211" s="3">
        <f t="shared" si="148"/>
        <v>7</v>
      </c>
      <c r="AX211" s="3">
        <f t="shared" si="149"/>
        <v>6</v>
      </c>
      <c r="AY211" s="3">
        <f t="shared" si="150"/>
        <v>6</v>
      </c>
      <c r="AZ211" s="3">
        <f t="shared" si="151"/>
        <v>1</v>
      </c>
      <c r="BA211" s="3">
        <f>IF(ISERROR(LEN(VLOOKUP(A211,Seqs!A:E,2,FALSE))-AL211),"-",LEN(VLOOKUP(A211,Seqs!A:E,2,FALSE))-AL211)</f>
        <v>33</v>
      </c>
      <c r="BB211" s="16">
        <f t="shared" si="152"/>
        <v>28</v>
      </c>
      <c r="BC211" s="9">
        <f t="shared" si="153"/>
        <v>20</v>
      </c>
      <c r="BD211" s="3">
        <f t="shared" si="154"/>
        <v>28</v>
      </c>
      <c r="BE211" s="3">
        <f t="shared" si="155"/>
        <v>46</v>
      </c>
    </row>
    <row r="212" spans="1:59" s="3" customFormat="1" x14ac:dyDescent="0.2">
      <c r="A212" s="3" t="s">
        <v>345</v>
      </c>
      <c r="B212" s="3" t="str">
        <f>LOWER(VLOOKUP(A212,Xtal_Templ!A:B,2,FALSE))</f>
        <v>p2ry1_human</v>
      </c>
      <c r="C212" s="3">
        <f>VLOOKUP($A212,'SegEnds_NonXtal_BW#'!$A:$Z,3,FALSE)+D212-50</f>
        <v>31</v>
      </c>
      <c r="D212" s="3">
        <v>51</v>
      </c>
      <c r="E212" s="3">
        <f>IF(ISERROR(VLOOKUP($A212,'SegEnds_NonXtal_BW#'!$A:$Z,4,FALSE)+VLOOKUP($A212,A:AL,4,FALSE)-50),"-",(VLOOKUP($A212,'SegEnds_NonXtal_BW#'!$A:$Z,4,FALSE)+VLOOKUP($A212,A:AL,4,FALSE)-50))</f>
        <v>61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66</v>
      </c>
      <c r="J212" s="3">
        <v>79</v>
      </c>
      <c r="K212" s="3">
        <f>VLOOKUP($A212,'SegEnds_NonXtal_BW#'!$A:$Z,8,FALSE)+VLOOKUP($A212,A:AL,10,FALSE)-50</f>
        <v>95</v>
      </c>
      <c r="L212" s="3">
        <f t="shared" si="159"/>
        <v>98</v>
      </c>
      <c r="M212" s="3">
        <v>99</v>
      </c>
      <c r="N212" s="3">
        <f t="shared" si="160"/>
        <v>101</v>
      </c>
      <c r="O212" s="3">
        <f t="shared" si="139"/>
        <v>102</v>
      </c>
      <c r="P212" s="3">
        <v>131</v>
      </c>
      <c r="Q212" s="3">
        <f>VLOOKUP($A212,'SegEnds_NonXtal_BW#'!$A:$Z,12,FALSE)+VLOOKUP($A212,A:AL,16,FALSE)-50</f>
        <v>137</v>
      </c>
      <c r="R212" s="3">
        <f>IF(ISERROR(VLOOKUP($A212,'SegEnds_NonXtal_BW#'!$A:$Z,13,FALSE)+VLOOKUP($A212,A:AL,19,FALSE)-50),"-",VLOOKUP($A212,'SegEnds_NonXtal_BW#'!$A:$Z,13,FALSE)+VLOOKUP($A212,A:AL,19,FALSE)-50)</f>
        <v>138</v>
      </c>
      <c r="S212" s="3">
        <v>138</v>
      </c>
      <c r="T212" s="100">
        <f>IF(ISERROR(VLOOKUP($A212,'SegEnds_NonXtal_BW#'!$A:$Z,14,FALSE)+VLOOKUP($A212,A:AL,19,FALSE)-50),"-",(VLOOKUP($A212,'SegEnds_NonXtal_BW#'!$A:$Z,14,FALSE)+VLOOKUP($A212,A:AL,19,FALSE)-50))</f>
        <v>145</v>
      </c>
      <c r="U212" s="9">
        <f>IF(ISERROR(VLOOKUP($A212,'SegEnds_NonXtal_BW#'!$A:$Z,15,FALSE)+VLOOKUP($A212,A:AL,22,FALSE)-50),"-",VLOOKUP($A212,'SegEnds_NonXtal_BW#'!$A:$Z,15,FALSE)+VLOOKUP($A212,A:AL,22,FALSE)-50)</f>
        <v>146</v>
      </c>
      <c r="V212" s="3">
        <v>158</v>
      </c>
      <c r="W212" s="3">
        <f>IF(ISERROR(VLOOKUP($A212,'SegEnds_NonXtal_BW#'!$A:$Z,16,FALSE)+VLOOKUP($A212,A:AL,22,FALSE)-50),"-",(VLOOKUP($A212,'SegEnds_NonXtal_BW#'!$A:$Z,16,FALSE)+VLOOKUP($A212,A:AL,22,FALSE)-50))</f>
        <v>172</v>
      </c>
      <c r="X212" s="3">
        <f>IF(ISERROR(VLOOKUP($A212,'SegEnds_NonXtal_BW#'!$A:$Z,17,FALSE)+VLOOKUP($A212,A:AL,25,FALSE)-50),"-",(VLOOKUP($A212,'SegEnds_NonXtal_BW#'!$A:$Z,17,FALSE)+VLOOKUP($A212,A:AL,25,FALSE)-50))</f>
        <v>183</v>
      </c>
      <c r="Y212" s="3">
        <v>183</v>
      </c>
      <c r="Z212" s="3">
        <f t="shared" si="140"/>
        <v>185</v>
      </c>
      <c r="AA212" s="3">
        <f>IF(ISERROR(VLOOKUP($A212,'SegEnds_NonXtal_BW#'!$A:$Z,19,FALSE)+VLOOKUP($A212,A:AL,28,FALSE)-50),"-",(VLOOKUP($A212,'SegEnds_NonXtal_BW#'!$A:$Z,19,FALSE)+VLOOKUP($A212,A:AL,28,FALSE)-50))</f>
        <v>192</v>
      </c>
      <c r="AB212" s="3">
        <v>210</v>
      </c>
      <c r="AC212" s="3">
        <f>IF(ISERROR((VLOOKUP($A212,'SegEnds_NonXtal_BW#'!$A:$Z,20,FALSE)+VLOOKUP($A212,A:AL,28,FALSE)-50)),"-",(VLOOKUP($A212,'SegEnds_NonXtal_BW#'!$A:$Z,20,FALSE)+VLOOKUP($A212,A:AL,28,FALSE)-50))</f>
        <v>232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56"/>
        <v>1</v>
      </c>
      <c r="AO212" s="3" t="str">
        <f>IF(ISERROR(MATCH(A212,'SegEnds_Xtal_Prot#'!B:B, 0)), "NoXtal", "Xtal")</f>
        <v>NoXtal</v>
      </c>
      <c r="AP212" s="3" t="str">
        <f t="shared" si="141"/>
        <v>-</v>
      </c>
      <c r="AQ212" s="3" t="str">
        <f t="shared" si="142"/>
        <v>-</v>
      </c>
      <c r="AR212" s="3">
        <f t="shared" si="143"/>
        <v>3</v>
      </c>
      <c r="AS212" s="3">
        <f t="shared" si="144"/>
        <v>1</v>
      </c>
      <c r="AT212" s="3">
        <f t="shared" si="145"/>
        <v>1</v>
      </c>
      <c r="AU212" s="3">
        <f t="shared" si="146"/>
        <v>1</v>
      </c>
      <c r="AV212" s="3">
        <f t="shared" si="147"/>
        <v>11</v>
      </c>
      <c r="AW212" s="3">
        <f t="shared" si="148"/>
        <v>7</v>
      </c>
      <c r="AX212" s="3">
        <f t="shared" si="149"/>
        <v>7</v>
      </c>
      <c r="AY212" s="3">
        <f t="shared" si="150"/>
        <v>6</v>
      </c>
      <c r="AZ212" s="3">
        <f t="shared" si="151"/>
        <v>1</v>
      </c>
      <c r="BA212" s="3">
        <f>IF(ISERROR(LEN(VLOOKUP(A212,Seqs!A:E,2,FALSE))-AL212),"-",LEN(VLOOKUP(A212,Seqs!A:E,2,FALSE))-AL212)</f>
        <v>55</v>
      </c>
      <c r="BB212" s="16">
        <f t="shared" si="152"/>
        <v>28</v>
      </c>
      <c r="BC212" s="9">
        <f t="shared" si="153"/>
        <v>20</v>
      </c>
      <c r="BD212" s="3">
        <f t="shared" si="154"/>
        <v>28</v>
      </c>
      <c r="BE212" s="3">
        <f t="shared" si="155"/>
        <v>50</v>
      </c>
    </row>
    <row r="213" spans="1:59" s="3" customFormat="1" x14ac:dyDescent="0.2">
      <c r="A213" s="3" t="s">
        <v>346</v>
      </c>
      <c r="B213" s="3" t="str">
        <f>LOWER(VLOOKUP(A213,Xtal_Templ!A:B,2,FALSE))</f>
        <v>p2ry1_human</v>
      </c>
      <c r="C213" s="3">
        <f>VLOOKUP($A213,'SegEnds_NonXtal_BW#'!$A:$Z,3,FALSE)+D213-50</f>
        <v>33</v>
      </c>
      <c r="D213" s="3">
        <v>53</v>
      </c>
      <c r="E213" s="3">
        <f>IF(ISERROR(VLOOKUP($A213,'SegEnds_NonXtal_BW#'!$A:$Z,4,FALSE)+VLOOKUP($A213,A:AL,4,FALSE)-50),"-",(VLOOKUP($A213,'SegEnds_NonXtal_BW#'!$A:$Z,4,FALSE)+VLOOKUP($A213,A:AL,4,FALSE)-50))</f>
        <v>63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68</v>
      </c>
      <c r="J213" s="3">
        <v>81</v>
      </c>
      <c r="K213" s="3">
        <f>VLOOKUP($A213,'SegEnds_NonXtal_BW#'!$A:$Z,8,FALSE)+VLOOKUP($A213,A:AL,10,FALSE)-50</f>
        <v>97</v>
      </c>
      <c r="L213" s="3">
        <f t="shared" si="159"/>
        <v>100</v>
      </c>
      <c r="M213" s="3">
        <v>101</v>
      </c>
      <c r="N213" s="3">
        <f t="shared" si="160"/>
        <v>103</v>
      </c>
      <c r="O213" s="3">
        <f t="shared" si="139"/>
        <v>104</v>
      </c>
      <c r="P213" s="3">
        <v>133</v>
      </c>
      <c r="Q213" s="3">
        <f>VLOOKUP($A213,'SegEnds_NonXtal_BW#'!$A:$Z,12,FALSE)+VLOOKUP($A213,A:AL,16,FALSE)-50</f>
        <v>139</v>
      </c>
      <c r="R213" s="3">
        <f>IF(ISERROR(VLOOKUP($A213,'SegEnds_NonXtal_BW#'!$A:$Z,13,FALSE)+VLOOKUP($A213,A:AL,19,FALSE)-50),"-",VLOOKUP($A213,'SegEnds_NonXtal_BW#'!$A:$Z,13,FALSE)+VLOOKUP($A213,A:AL,19,FALSE)-50)</f>
        <v>140</v>
      </c>
      <c r="S213" s="3">
        <v>140</v>
      </c>
      <c r="T213" s="100">
        <f>IF(ISERROR(VLOOKUP($A213,'SegEnds_NonXtal_BW#'!$A:$Z,14,FALSE)+VLOOKUP($A213,A:AL,19,FALSE)-50),"-",(VLOOKUP($A213,'SegEnds_NonXtal_BW#'!$A:$Z,14,FALSE)+VLOOKUP($A213,A:AL,19,FALSE)-50))</f>
        <v>147</v>
      </c>
      <c r="U213" s="9">
        <f>IF(ISERROR(VLOOKUP($A213,'SegEnds_NonXtal_BW#'!$A:$Z,15,FALSE)+VLOOKUP($A213,A:AL,22,FALSE)-50),"-",VLOOKUP($A213,'SegEnds_NonXtal_BW#'!$A:$Z,15,FALSE)+VLOOKUP($A213,A:AL,22,FALSE)-50)</f>
        <v>148</v>
      </c>
      <c r="V213" s="3">
        <v>160</v>
      </c>
      <c r="W213" s="3">
        <f>IF(ISERROR(VLOOKUP($A213,'SegEnds_NonXtal_BW#'!$A:$Z,16,FALSE)+VLOOKUP($A213,A:AL,22,FALSE)-50),"-",(VLOOKUP($A213,'SegEnds_NonXtal_BW#'!$A:$Z,16,FALSE)+VLOOKUP($A213,A:AL,22,FALSE)-50))</f>
        <v>174</v>
      </c>
      <c r="X213" s="3">
        <f>IF(ISERROR(VLOOKUP($A213,'SegEnds_NonXtal_BW#'!$A:$Z,17,FALSE)+VLOOKUP($A213,A:AL,25,FALSE)-50),"-",(VLOOKUP($A213,'SegEnds_NonXtal_BW#'!$A:$Z,17,FALSE)+VLOOKUP($A213,A:AL,25,FALSE)-50))</f>
        <v>185</v>
      </c>
      <c r="Y213" s="3">
        <v>185</v>
      </c>
      <c r="Z213" s="3">
        <f t="shared" si="140"/>
        <v>187</v>
      </c>
      <c r="AA213" s="3">
        <f>IF(ISERROR(VLOOKUP($A213,'SegEnds_NonXtal_BW#'!$A:$Z,19,FALSE)+VLOOKUP($A213,A:AL,28,FALSE)-50),"-",(VLOOKUP($A213,'SegEnds_NonXtal_BW#'!$A:$Z,19,FALSE)+VLOOKUP($A213,A:AL,28,FALSE)-50))</f>
        <v>194</v>
      </c>
      <c r="AB213" s="3">
        <v>212</v>
      </c>
      <c r="AC213" s="3">
        <f>IF(ISERROR((VLOOKUP($A213,'SegEnds_NonXtal_BW#'!$A:$Z,20,FALSE)+VLOOKUP($A213,A:AL,28,FALSE)-50)),"-",(VLOOKUP($A213,'SegEnds_NonXtal_BW#'!$A:$Z,20,FALSE)+VLOOKUP($A213,A:AL,28,FALSE)-50))</f>
        <v>230</v>
      </c>
      <c r="AD213" s="3">
        <f>IF(ISERROR(VLOOKUP($A213,'SegEnds_NonXtal_BW#'!$A:$Z,21,FALSE)+VLOOKUP($A213,A:AL,31,FALSE)-50),"-",(VLOOKUP($A213,'SegEnds_NonXtal_BW#'!$A:$Z,21,FALSE)+VLOOKUP($A213,A:AL,31,FALSE)-50))</f>
        <v>234</v>
      </c>
      <c r="AE213" s="3">
        <v>260</v>
      </c>
      <c r="AF213" s="3">
        <f>IF(ISERROR((VLOOKUP($A213,'SegEnds_NonXtal_BW#'!$A:$Z,22,FALSE)+VLOOKUP($A213,A:AL,31,FALSE)-50)),"-",(VLOOKUP($A213,'SegEnds_NonXtal_BW#'!$A:$Z,22,FALSE)+VLOOKUP($A213,A:AL,31,FALSE)-50))</f>
        <v>271</v>
      </c>
      <c r="AG213" s="3">
        <f>IF(ISERROR(VLOOKUP($A213,'SegEnds_NonXtal_BW#'!$A:$Z,23,FALSE)+VLOOKUP($A213,A:AL,34,FALSE)-50),"-",(VLOOKUP($A213,'SegEnds_NonXtal_BW#'!$A:$Z,23,FALSE)+VLOOKUP($A213,A:AL,34,FALSE)-50))</f>
        <v>277</v>
      </c>
      <c r="AH213" s="3">
        <v>303</v>
      </c>
      <c r="AI213" s="3">
        <f>IF(ISERROR((VLOOKUP($A213,'SegEnds_NonXtal_BW#'!$A:$Z,24,FALSE)+VLOOKUP($A213,A:AL,34,FALSE)-50)),"-",(VLOOKUP($A213,'SegEnds_NonXtal_BW#'!$A:$Z,24,FALSE)+VLOOKUP($A213,A:AL,34,FALSE)-50))</f>
        <v>309</v>
      </c>
      <c r="AJ213" s="3">
        <f>IF(ISERROR(VLOOKUP($A213,'SegEnds_NonXtal_BW#'!$A:$Z,25,FALSE)+VLOOKUP($A213,A:AL,37,FALSE)-50),"-",(VLOOKUP($A213,'SegEnds_NonXtal_BW#'!$A:$Z,25,FALSE)+VLOOKUP($A213,A:AL,37,FALSE)-50))</f>
        <v>310</v>
      </c>
      <c r="AK213" s="3">
        <v>313</v>
      </c>
      <c r="AL213" s="3">
        <f>IF(ISERROR((VLOOKUP($A213,'SegEnds_NonXtal_BW#'!$A:$Z,26,FALSE)+VLOOKUP($A213,A:AL,37,FALSE)-50)),"-",(VLOOKUP($A213,'SegEnds_NonXtal_BW#'!$A:$Z,26,FALSE)+VLOOKUP($A213,A:AL,37,FALSE)-50))</f>
        <v>322</v>
      </c>
      <c r="AM213" s="28" t="str">
        <f>VLOOKUP(A213,Classification!A:B,2,FALSE)</f>
        <v>A</v>
      </c>
      <c r="AN213" s="28" t="b">
        <f t="shared" si="156"/>
        <v>1</v>
      </c>
      <c r="AO213" s="3" t="str">
        <f>IF(ISERROR(MATCH(A213,'SegEnds_Xtal_Prot#'!B:B, 0)), "NoXtal", "Xtal")</f>
        <v>NoXtal</v>
      </c>
      <c r="AP213" s="3" t="str">
        <f t="shared" si="141"/>
        <v>-</v>
      </c>
      <c r="AQ213" s="3" t="str">
        <f t="shared" si="142"/>
        <v>-</v>
      </c>
      <c r="AR213" s="3">
        <f t="shared" si="143"/>
        <v>3</v>
      </c>
      <c r="AS213" s="3">
        <f t="shared" si="144"/>
        <v>1</v>
      </c>
      <c r="AT213" s="3">
        <f t="shared" si="145"/>
        <v>1</v>
      </c>
      <c r="AU213" s="3">
        <f t="shared" si="146"/>
        <v>1</v>
      </c>
      <c r="AV213" s="3">
        <f t="shared" si="147"/>
        <v>11</v>
      </c>
      <c r="AW213" s="3">
        <f t="shared" si="148"/>
        <v>7</v>
      </c>
      <c r="AX213" s="3">
        <f t="shared" si="149"/>
        <v>4</v>
      </c>
      <c r="AY213" s="3">
        <f t="shared" si="150"/>
        <v>6</v>
      </c>
      <c r="AZ213" s="3">
        <f t="shared" si="151"/>
        <v>1</v>
      </c>
      <c r="BA213" s="3">
        <f>IF(ISERROR(LEN(VLOOKUP(A213,Seqs!A:E,2,FALSE))-AL213),"-",LEN(VLOOKUP(A213,Seqs!A:E,2,FALSE))-AL213)</f>
        <v>43</v>
      </c>
      <c r="BB213" s="16">
        <f t="shared" si="152"/>
        <v>28</v>
      </c>
      <c r="BC213" s="9">
        <f t="shared" si="153"/>
        <v>20</v>
      </c>
      <c r="BD213" s="3">
        <f t="shared" si="154"/>
        <v>28</v>
      </c>
      <c r="BE213" s="3">
        <f t="shared" si="155"/>
        <v>48</v>
      </c>
    </row>
    <row r="214" spans="1:59" s="3" customFormat="1" x14ac:dyDescent="0.2">
      <c r="A214" s="3" t="s">
        <v>348</v>
      </c>
      <c r="B214" s="3" t="str">
        <f>LOWER(VLOOKUP(A214,Xtal_Templ!A:B,2,FALSE))</f>
        <v>par2_human</v>
      </c>
      <c r="C214" s="3">
        <f>VLOOKUP($A214,'SegEnds_NonXtal_BW#'!$A:$Z,3,FALSE)+D214-50</f>
        <v>19</v>
      </c>
      <c r="D214" s="3">
        <v>41</v>
      </c>
      <c r="E214" s="3">
        <f>IF(ISERROR(VLOOKUP($A214,'SegEnds_NonXtal_BW#'!$A:$Z,4,FALSE)+VLOOKUP($A214,A:AL,4,FALSE)-50),"-",(VLOOKUP($A214,'SegEnds_NonXtal_BW#'!$A:$Z,4,FALSE)+VLOOKUP($A214,A:AL,4,FALSE)-50))</f>
        <v>51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56</v>
      </c>
      <c r="J214" s="3">
        <v>69</v>
      </c>
      <c r="K214" s="3">
        <f>VLOOKUP($A214,'SegEnds_NonXtal_BW#'!$A:$Z,8,FALSE)+VLOOKUP($A214,A:AL,10,FALSE)-50</f>
        <v>85</v>
      </c>
      <c r="L214" s="3">
        <f t="shared" si="159"/>
        <v>88</v>
      </c>
      <c r="M214" s="3">
        <v>89</v>
      </c>
      <c r="N214" s="3">
        <f t="shared" si="160"/>
        <v>91</v>
      </c>
      <c r="O214" s="3">
        <f t="shared" si="139"/>
        <v>92</v>
      </c>
      <c r="P214" s="3">
        <v>121</v>
      </c>
      <c r="Q214" s="3">
        <f>VLOOKUP($A214,'SegEnds_NonXtal_BW#'!$A:$Z,12,FALSE)+VLOOKUP($A214,A:AL,16,FALSE)-50</f>
        <v>127</v>
      </c>
      <c r="R214" s="3">
        <f>IF(ISERROR(VLOOKUP($A214,'SegEnds_NonXtal_BW#'!$A:$Z,13,FALSE)+VLOOKUP($A214,A:AL,19,FALSE)-50),"-",VLOOKUP($A214,'SegEnds_NonXtal_BW#'!$A:$Z,13,FALSE)+VLOOKUP($A214,A:AL,19,FALSE)-50)</f>
        <v>128</v>
      </c>
      <c r="S214" s="3">
        <v>128</v>
      </c>
      <c r="T214" s="100">
        <f>IF(ISERROR(VLOOKUP($A214,'SegEnds_NonXtal_BW#'!$A:$Z,14,FALSE)+VLOOKUP($A214,A:AL,19,FALSE)-50),"-",(VLOOKUP($A214,'SegEnds_NonXtal_BW#'!$A:$Z,14,FALSE)+VLOOKUP($A214,A:AL,19,FALSE)-50))</f>
        <v>135</v>
      </c>
      <c r="U214" s="9">
        <f>IF(ISERROR(VLOOKUP($A214,'SegEnds_NonXtal_BW#'!$A:$Z,15,FALSE)+VLOOKUP($A214,A:AL,22,FALSE)-50),"-",VLOOKUP($A214,'SegEnds_NonXtal_BW#'!$A:$Z,15,FALSE)+VLOOKUP($A214,A:AL,22,FALSE)-50)</f>
        <v>136</v>
      </c>
      <c r="V214" s="3">
        <v>148</v>
      </c>
      <c r="W214" s="3">
        <f>IF(ISERROR(VLOOKUP($A214,'SegEnds_NonXtal_BW#'!$A:$Z,16,FALSE)+VLOOKUP($A214,A:AL,22,FALSE)-50),"-",(VLOOKUP($A214,'SegEnds_NonXtal_BW#'!$A:$Z,16,FALSE)+VLOOKUP($A214,A:AL,22,FALSE)-50))</f>
        <v>160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40"/>
        <v>177</v>
      </c>
      <c r="AA214" s="3">
        <f>IF(ISERROR(VLOOKUP($A214,'SegEnds_NonXtal_BW#'!$A:$Z,19,FALSE)+VLOOKUP($A214,A:AL,28,FALSE)-50),"-",(VLOOKUP($A214,'SegEnds_NonXtal_BW#'!$A:$Z,19,FALSE)+VLOOKUP($A214,A:AL,28,FALSE)-50))</f>
        <v>186</v>
      </c>
      <c r="AB214" s="3">
        <v>205</v>
      </c>
      <c r="AC214" s="3">
        <f>IF(ISERROR((VLOOKUP($A214,'SegEnds_NonXtal_BW#'!$A:$Z,20,FALSE)+VLOOKUP($A214,A:AL,28,FALSE)-50)),"-",(VLOOKUP($A214,'SegEnds_NonXtal_BW#'!$A:$Z,20,FALSE)+VLOOKUP($A214,A:AL,28,FALSE)-50))</f>
        <v>222</v>
      </c>
      <c r="AD214" s="3">
        <f>IF(ISERROR(VLOOKUP($A214,'SegEnds_NonXtal_BW#'!$A:$Z,21,FALSE)+VLOOKUP($A214,A:AL,31,FALSE)-50),"-",(VLOOKUP($A214,'SegEnds_NonXtal_BW#'!$A:$Z,21,FALSE)+VLOOKUP($A214,A:AL,31,FALSE)-50))</f>
        <v>228</v>
      </c>
      <c r="AE214" s="3">
        <v>252</v>
      </c>
      <c r="AF214" s="3">
        <f>IF(ISERROR((VLOOKUP($A214,'SegEnds_NonXtal_BW#'!$A:$Z,22,FALSE)+VLOOKUP($A214,A:AL,31,FALSE)-50)),"-",(VLOOKUP($A214,'SegEnds_NonXtal_BW#'!$A:$Z,22,FALSE)+VLOOKUP($A214,A:AL,31,FALSE)-50))</f>
        <v>263</v>
      </c>
      <c r="AG214" s="3">
        <f>IF(ISERROR(VLOOKUP($A214,'SegEnds_NonXtal_BW#'!$A:$Z,23,FALSE)+VLOOKUP($A214,A:AL,34,FALSE)-50),"-",(VLOOKUP($A214,'SegEnds_NonXtal_BW#'!$A:$Z,23,FALSE)+VLOOKUP($A214,A:AL,34,FALSE)-50))</f>
        <v>271</v>
      </c>
      <c r="AH214" s="3">
        <v>290</v>
      </c>
      <c r="AI214" s="3">
        <f>IF(ISERROR((VLOOKUP($A214,'SegEnds_NonXtal_BW#'!$A:$Z,24,FALSE)+VLOOKUP($A214,A:AL,34,FALSE)-50)),"-",(VLOOKUP($A214,'SegEnds_NonXtal_BW#'!$A:$Z,24,FALSE)+VLOOKUP($A214,A:AL,34,FALSE)-50))</f>
        <v>296</v>
      </c>
      <c r="AJ214" s="3">
        <f>IF(ISERROR(VLOOKUP($A214,'SegEnds_NonXtal_BW#'!$A:$Z,25,FALSE)+VLOOKUP($A214,A:AL,37,FALSE)-50),"-",(VLOOKUP($A214,'SegEnds_NonXtal_BW#'!$A:$Z,25,FALSE)+VLOOKUP($A214,A:AL,37,FALSE)-50))</f>
        <v>297</v>
      </c>
      <c r="AK214" s="3">
        <v>300</v>
      </c>
      <c r="AL214" s="3">
        <f>IF(ISERROR((VLOOKUP($A214,'SegEnds_NonXtal_BW#'!$A:$Z,26,FALSE)+VLOOKUP($A214,A:AL,37,FALSE)-50)),"-",(VLOOKUP($A214,'SegEnds_NonXtal_BW#'!$A:$Z,26,FALSE)+VLOOKUP($A214,A:AL,37,FALSE)-50))</f>
        <v>311</v>
      </c>
      <c r="AM214" s="28" t="str">
        <f>VLOOKUP(A214,Classification!A:B,2,FALSE)</f>
        <v>A</v>
      </c>
      <c r="AN214" s="28" t="b">
        <f t="shared" si="156"/>
        <v>1</v>
      </c>
      <c r="AO214" s="3" t="str">
        <f>IF(ISERROR(MATCH(A214,'SegEnds_Xtal_Prot#'!B:B, 0)), "NoXtal", "Xtal")</f>
        <v>NoXtal</v>
      </c>
      <c r="AP214" s="3" t="str">
        <f t="shared" si="141"/>
        <v>-</v>
      </c>
      <c r="AQ214" s="3" t="str">
        <f t="shared" si="142"/>
        <v>-</v>
      </c>
      <c r="AR214" s="3">
        <f t="shared" si="143"/>
        <v>3</v>
      </c>
      <c r="AS214" s="3">
        <f t="shared" si="144"/>
        <v>1</v>
      </c>
      <c r="AT214" s="3">
        <f t="shared" si="145"/>
        <v>1</v>
      </c>
      <c r="AU214" s="3">
        <f t="shared" si="146"/>
        <v>1</v>
      </c>
      <c r="AV214" s="3">
        <f t="shared" si="147"/>
        <v>15</v>
      </c>
      <c r="AW214" s="3">
        <f t="shared" si="148"/>
        <v>9</v>
      </c>
      <c r="AX214" s="3">
        <f t="shared" si="149"/>
        <v>6</v>
      </c>
      <c r="AY214" s="3">
        <f t="shared" si="150"/>
        <v>8</v>
      </c>
      <c r="AZ214" s="3">
        <f t="shared" si="151"/>
        <v>1</v>
      </c>
      <c r="BA214" s="3">
        <f>IF(ISERROR(LEN(VLOOKUP(A214,Seqs!A:E,2,FALSE))-AL214),"-",LEN(VLOOKUP(A214,Seqs!A:E,2,FALSE))-AL214)</f>
        <v>48</v>
      </c>
      <c r="BB214" s="16">
        <f t="shared" si="152"/>
        <v>28</v>
      </c>
      <c r="BC214" s="9">
        <f t="shared" si="153"/>
        <v>20</v>
      </c>
      <c r="BD214" s="3">
        <f t="shared" si="154"/>
        <v>28</v>
      </c>
      <c r="BE214" s="3">
        <f t="shared" si="155"/>
        <v>47</v>
      </c>
    </row>
    <row r="215" spans="1:59" s="3" customFormat="1" x14ac:dyDescent="0.2">
      <c r="A215" s="3" t="s">
        <v>350</v>
      </c>
      <c r="B215" s="3" t="str">
        <f>LOWER(VLOOKUP(A215,Xtal_Templ!A:B,2,FALSE))</f>
        <v>p2ry1_human</v>
      </c>
      <c r="C215" s="3">
        <f>VLOOKUP($A215,'SegEnds_NonXtal_BW#'!$A:$Z,3,FALSE)+D215-50</f>
        <v>26</v>
      </c>
      <c r="D215" s="3">
        <v>46</v>
      </c>
      <c r="E215" s="3">
        <f>IF(ISERROR(VLOOKUP($A215,'SegEnds_NonXtal_BW#'!$A:$Z,4,FALSE)+VLOOKUP($A215,A:AL,4,FALSE)-50),"-",(VLOOKUP($A215,'SegEnds_NonXtal_BW#'!$A:$Z,4,FALSE)+VLOOKUP($A215,A:AL,4,FALSE)-50))</f>
        <v>56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62</v>
      </c>
      <c r="J215" s="3">
        <v>75</v>
      </c>
      <c r="K215" s="3">
        <f>VLOOKUP($A215,'SegEnds_NonXtal_BW#'!$A:$Z,8,FALSE)+VLOOKUP($A215,A:AL,10,FALSE)-50</f>
        <v>91</v>
      </c>
      <c r="L215" s="3">
        <f t="shared" si="159"/>
        <v>94</v>
      </c>
      <c r="M215" s="3">
        <v>95</v>
      </c>
      <c r="N215" s="3">
        <f t="shared" si="160"/>
        <v>97</v>
      </c>
      <c r="O215" s="3">
        <f t="shared" si="139"/>
        <v>98</v>
      </c>
      <c r="P215" s="3">
        <v>127</v>
      </c>
      <c r="Q215" s="3">
        <f>VLOOKUP($A215,'SegEnds_NonXtal_BW#'!$A:$Z,12,FALSE)+VLOOKUP($A215,A:AL,16,FALSE)-50</f>
        <v>133</v>
      </c>
      <c r="R215" s="3">
        <f>IF(ISERROR(VLOOKUP($A215,'SegEnds_NonXtal_BW#'!$A:$Z,13,FALSE)+VLOOKUP($A215,A:AL,19,FALSE)-50),"-",VLOOKUP($A215,'SegEnds_NonXtal_BW#'!$A:$Z,13,FALSE)+VLOOKUP($A215,A:AL,19,FALSE)-50)</f>
        <v>134</v>
      </c>
      <c r="S215" s="3">
        <v>134</v>
      </c>
      <c r="T215" s="100">
        <f>IF(ISERROR(VLOOKUP($A215,'SegEnds_NonXtal_BW#'!$A:$Z,14,FALSE)+VLOOKUP($A215,A:AL,19,FALSE)-50),"-",(VLOOKUP($A215,'SegEnds_NonXtal_BW#'!$A:$Z,14,FALSE)+VLOOKUP($A215,A:AL,19,FALSE)-50))</f>
        <v>141</v>
      </c>
      <c r="U215" s="9">
        <f>IF(ISERROR(VLOOKUP($A215,'SegEnds_NonXtal_BW#'!$A:$Z,15,FALSE)+VLOOKUP($A215,A:AL,22,FALSE)-50),"-",VLOOKUP($A215,'SegEnds_NonXtal_BW#'!$A:$Z,15,FALSE)+VLOOKUP($A215,A:AL,22,FALSE)-50)</f>
        <v>142</v>
      </c>
      <c r="V215" s="3">
        <v>154</v>
      </c>
      <c r="W215" s="3">
        <f>IF(ISERROR(VLOOKUP($A215,'SegEnds_NonXtal_BW#'!$A:$Z,16,FALSE)+VLOOKUP($A215,A:AL,22,FALSE)-50),"-",(VLOOKUP($A215,'SegEnds_NonXtal_BW#'!$A:$Z,16,FALSE)+VLOOKUP($A215,A:AL,22,FALSE)-50))</f>
        <v>168</v>
      </c>
      <c r="X215" s="3">
        <f>IF(ISERROR(VLOOKUP($A215,'SegEnds_NonXtal_BW#'!$A:$Z,17,FALSE)+VLOOKUP($A215,A:AL,25,FALSE)-50),"-",(VLOOKUP($A215,'SegEnds_NonXtal_BW#'!$A:$Z,17,FALSE)+VLOOKUP($A215,A:AL,25,FALSE)-50))</f>
        <v>191</v>
      </c>
      <c r="Y215" s="3">
        <v>191</v>
      </c>
      <c r="Z215" s="3">
        <f t="shared" si="140"/>
        <v>193</v>
      </c>
      <c r="AA215" s="3">
        <f>IF(ISERROR(VLOOKUP($A215,'SegEnds_NonXtal_BW#'!$A:$Z,19,FALSE)+VLOOKUP($A215,A:AL,28,FALSE)-50),"-",(VLOOKUP($A215,'SegEnds_NonXtal_BW#'!$A:$Z,19,FALSE)+VLOOKUP($A215,A:AL,28,FALSE)-50))</f>
        <v>199</v>
      </c>
      <c r="AB215" s="3">
        <v>217</v>
      </c>
      <c r="AC215" s="3">
        <f>IF(ISERROR((VLOOKUP($A215,'SegEnds_NonXtal_BW#'!$A:$Z,20,FALSE)+VLOOKUP($A215,A:AL,28,FALSE)-50)),"-",(VLOOKUP($A215,'SegEnds_NonXtal_BW#'!$A:$Z,20,FALSE)+VLOOKUP($A215,A:AL,28,FALSE)-50))</f>
        <v>234</v>
      </c>
      <c r="AD215" s="3">
        <f>IF(ISERROR(VLOOKUP($A215,'SegEnds_NonXtal_BW#'!$A:$Z,21,FALSE)+VLOOKUP($A215,A:AL,31,FALSE)-50),"-",(VLOOKUP($A215,'SegEnds_NonXtal_BW#'!$A:$Z,21,FALSE)+VLOOKUP($A215,A:AL,31,FALSE)-50))</f>
        <v>239</v>
      </c>
      <c r="AE215" s="3">
        <v>263</v>
      </c>
      <c r="AF215" s="3">
        <f>IF(ISERROR((VLOOKUP($A215,'SegEnds_NonXtal_BW#'!$A:$Z,22,FALSE)+VLOOKUP($A215,A:AL,31,FALSE)-50)),"-",(VLOOKUP($A215,'SegEnds_NonXtal_BW#'!$A:$Z,22,FALSE)+VLOOKUP($A215,A:AL,31,FALSE)-50))</f>
        <v>277</v>
      </c>
      <c r="AG215" s="3">
        <f>IF(ISERROR(VLOOKUP($A215,'SegEnds_NonXtal_BW#'!$A:$Z,23,FALSE)+VLOOKUP($A215,A:AL,34,FALSE)-50),"-",(VLOOKUP($A215,'SegEnds_NonXtal_BW#'!$A:$Z,23,FALSE)+VLOOKUP($A215,A:AL,34,FALSE)-50))</f>
        <v>292</v>
      </c>
      <c r="AH215" s="3">
        <v>318</v>
      </c>
      <c r="AI215" s="3">
        <f>IF(ISERROR((VLOOKUP($A215,'SegEnds_NonXtal_BW#'!$A:$Z,24,FALSE)+VLOOKUP($A215,A:AL,34,FALSE)-50)),"-",(VLOOKUP($A215,'SegEnds_NonXtal_BW#'!$A:$Z,24,FALSE)+VLOOKUP($A215,A:AL,34,FALSE)-50))</f>
        <v>324</v>
      </c>
      <c r="AJ215" s="3">
        <f>IF(ISERROR(VLOOKUP($A215,'SegEnds_NonXtal_BW#'!$A:$Z,25,FALSE)+VLOOKUP($A215,A:AL,37,FALSE)-50),"-",(VLOOKUP($A215,'SegEnds_NonXtal_BW#'!$A:$Z,25,FALSE)+VLOOKUP($A215,A:AL,37,FALSE)-50))</f>
        <v>325</v>
      </c>
      <c r="AK215" s="3">
        <v>328</v>
      </c>
      <c r="AL215" s="3">
        <f>IF(ISERROR((VLOOKUP($A215,'SegEnds_NonXtal_BW#'!$A:$Z,26,FALSE)+VLOOKUP($A215,A:AL,37,FALSE)-50)),"-",(VLOOKUP($A215,'SegEnds_NonXtal_BW#'!$A:$Z,26,FALSE)+VLOOKUP($A215,A:AL,37,FALSE)-50))</f>
        <v>337</v>
      </c>
      <c r="AM215" s="28" t="str">
        <f>VLOOKUP(A215,Classification!A:B,2,FALSE)</f>
        <v>A</v>
      </c>
      <c r="AN215" s="28" t="b">
        <f t="shared" si="156"/>
        <v>1</v>
      </c>
      <c r="AO215" s="3" t="str">
        <f>IF(ISERROR(MATCH(A215,'SegEnds_Xtal_Prot#'!B:B, 0)), "NoXtal", "Xtal")</f>
        <v>NoXtal</v>
      </c>
      <c r="AP215" s="3" t="str">
        <f t="shared" si="141"/>
        <v>-</v>
      </c>
      <c r="AQ215" s="3" t="str">
        <f t="shared" si="142"/>
        <v>-</v>
      </c>
      <c r="AR215" s="3">
        <f t="shared" si="143"/>
        <v>3</v>
      </c>
      <c r="AS215" s="3">
        <f t="shared" si="144"/>
        <v>1</v>
      </c>
      <c r="AT215" s="3">
        <f t="shared" si="145"/>
        <v>1</v>
      </c>
      <c r="AU215" s="3">
        <f t="shared" si="146"/>
        <v>1</v>
      </c>
      <c r="AV215" s="3">
        <f t="shared" si="147"/>
        <v>23</v>
      </c>
      <c r="AW215" s="3">
        <f t="shared" si="148"/>
        <v>6</v>
      </c>
      <c r="AX215" s="3">
        <f t="shared" si="149"/>
        <v>5</v>
      </c>
      <c r="AY215" s="3">
        <f t="shared" si="150"/>
        <v>15</v>
      </c>
      <c r="AZ215" s="3">
        <f t="shared" si="151"/>
        <v>1</v>
      </c>
      <c r="BA215" s="3">
        <f>IF(ISERROR(LEN(VLOOKUP(A215,Seqs!A:E,2,FALSE))-AL215),"-",LEN(VLOOKUP(A215,Seqs!A:E,2,FALSE))-AL215)</f>
        <v>37</v>
      </c>
      <c r="BB215" s="16">
        <f t="shared" si="152"/>
        <v>29</v>
      </c>
      <c r="BC215" s="9">
        <f t="shared" si="153"/>
        <v>20</v>
      </c>
      <c r="BD215" s="3">
        <f t="shared" si="154"/>
        <v>29</v>
      </c>
      <c r="BE215" s="3">
        <f t="shared" si="155"/>
        <v>46</v>
      </c>
    </row>
    <row r="216" spans="1:59" s="3" customFormat="1" x14ac:dyDescent="0.2">
      <c r="A216" s="3" t="s">
        <v>351</v>
      </c>
      <c r="B216" s="3" t="str">
        <f>LOWER(VLOOKUP(A216,Xtal_Templ!A:B,2,FALSE))</f>
        <v>p2y12_human</v>
      </c>
      <c r="C216" s="3">
        <f>VLOOKUP($A216,'SegEnds_NonXtal_BW#'!$A:$Z,3,FALSE)+D216-50</f>
        <v>21</v>
      </c>
      <c r="D216" s="3">
        <v>43</v>
      </c>
      <c r="E216" s="3">
        <f>IF(ISERROR(VLOOKUP($A216,'SegEnds_NonXtal_BW#'!$A:$Z,4,FALSE)+VLOOKUP($A216,A:AL,4,FALSE)-50),"-",(VLOOKUP($A216,'SegEnds_NonXtal_BW#'!$A:$Z,4,FALSE)+VLOOKUP($A216,A:AL,4,FALSE)-50))</f>
        <v>53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57</v>
      </c>
      <c r="J216" s="3">
        <v>70</v>
      </c>
      <c r="K216" s="3">
        <f>VLOOKUP($A216,'SegEnds_NonXtal_BW#'!$A:$Z,8,FALSE)+VLOOKUP($A216,A:AL,10,FALSE)-50</f>
        <v>86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90</v>
      </c>
      <c r="P216" s="3">
        <v>122</v>
      </c>
      <c r="Q216" s="3">
        <f>VLOOKUP($A216,'SegEnds_NonXtal_BW#'!$A:$Z,12,FALSE)+VLOOKUP($A216,A:AL,16,FALSE)-50</f>
        <v>128</v>
      </c>
      <c r="R216" s="3">
        <f>IF(ISERROR(VLOOKUP($A216,'SegEnds_NonXtal_BW#'!$A:$Z,13,FALSE)+VLOOKUP($A216,A:AL,19,FALSE)-50),"-",VLOOKUP($A216,'SegEnds_NonXtal_BW#'!$A:$Z,13,FALSE)+VLOOKUP($A216,A:AL,19,FALSE)-50)</f>
        <v>129</v>
      </c>
      <c r="S216" s="3">
        <v>129</v>
      </c>
      <c r="T216" s="100">
        <f>IF(ISERROR(VLOOKUP($A216,'SegEnds_NonXtal_BW#'!$A:$Z,14,FALSE)+VLOOKUP($A216,A:AL,19,FALSE)-50),"-",(VLOOKUP($A216,'SegEnds_NonXtal_BW#'!$A:$Z,14,FALSE)+VLOOKUP($A216,A:AL,19,FALSE)-50))</f>
        <v>136</v>
      </c>
      <c r="U216" s="9">
        <f>IF(ISERROR(VLOOKUP($A216,'SegEnds_NonXtal_BW#'!$A:$Z,15,FALSE)+VLOOKUP($A216,A:AL,22,FALSE)-50),"-",VLOOKUP($A216,'SegEnds_NonXtal_BW#'!$A:$Z,15,FALSE)+VLOOKUP($A216,A:AL,22,FALSE)-50)</f>
        <v>137</v>
      </c>
      <c r="V216" s="3">
        <v>149</v>
      </c>
      <c r="W216" s="3">
        <f>IF(ISERROR(VLOOKUP($A216,'SegEnds_NonXtal_BW#'!$A:$Z,16,FALSE)+VLOOKUP($A216,A:AL,22,FALSE)-50),"-",(VLOOKUP($A216,'SegEnds_NonXtal_BW#'!$A:$Z,16,FALSE)+VLOOKUP($A216,A:AL,22,FALSE)-50))</f>
        <v>163</v>
      </c>
      <c r="X216" s="3">
        <f>IF(ISERROR(VLOOKUP($A216,'SegEnds_NonXtal_BW#'!$A:$Z,17,FALSE)+VLOOKUP($A216,A:AL,25,FALSE)-50),"-",(VLOOKUP($A216,'SegEnds_NonXtal_BW#'!$A:$Z,17,FALSE)+VLOOKUP($A216,A:AL,25,FALSE)-50))</f>
        <v>175</v>
      </c>
      <c r="Y216" s="3">
        <v>175</v>
      </c>
      <c r="Z216" s="3">
        <f t="shared" si="140"/>
        <v>177</v>
      </c>
      <c r="AA216" s="3">
        <f>IF(ISERROR(VLOOKUP($A216,'SegEnds_NonXtal_BW#'!$A:$Z,19,FALSE)+VLOOKUP($A216,A:AL,28,FALSE)-50),"-",(VLOOKUP($A216,'SegEnds_NonXtal_BW#'!$A:$Z,19,FALSE)+VLOOKUP($A216,A:AL,28,FALSE)-50))</f>
        <v>181</v>
      </c>
      <c r="AB216" s="3">
        <v>201</v>
      </c>
      <c r="AC216" s="3">
        <f>IF(ISERROR((VLOOKUP($A216,'SegEnds_NonXtal_BW#'!$A:$Z,20,FALSE)+VLOOKUP($A216,A:AL,28,FALSE)-50)),"-",(VLOOKUP($A216,'SegEnds_NonXtal_BW#'!$A:$Z,20,FALSE)+VLOOKUP($A216,A:AL,28,FALSE)-50))</f>
        <v>223</v>
      </c>
      <c r="AD216" s="3">
        <f>IF(ISERROR(VLOOKUP($A216,'SegEnds_NonXtal_BW#'!$A:$Z,21,FALSE)+VLOOKUP($A216,A:AL,31,FALSE)-50),"-",(VLOOKUP($A216,'SegEnds_NonXtal_BW#'!$A:$Z,21,FALSE)+VLOOKUP($A216,A:AL,31,FALSE)-50))</f>
        <v>230</v>
      </c>
      <c r="AE216" s="3">
        <v>251</v>
      </c>
      <c r="AF216" s="3">
        <f>IF(ISERROR((VLOOKUP($A216,'SegEnds_NonXtal_BW#'!$A:$Z,22,FALSE)+VLOOKUP($A216,A:AL,31,FALSE)-50)),"-",(VLOOKUP($A216,'SegEnds_NonXtal_BW#'!$A:$Z,22,FALSE)+VLOOKUP($A216,A:AL,31,FALSE)-50))</f>
        <v>265</v>
      </c>
      <c r="AG216" s="3">
        <f>IF(ISERROR(VLOOKUP($A216,'SegEnds_NonXtal_BW#'!$A:$Z,23,FALSE)+VLOOKUP($A216,A:AL,34,FALSE)-50),"-",(VLOOKUP($A216,'SegEnds_NonXtal_BW#'!$A:$Z,23,FALSE)+VLOOKUP($A216,A:AL,34,FALSE)-50))</f>
        <v>269</v>
      </c>
      <c r="AH216" s="3">
        <v>295</v>
      </c>
      <c r="AI216" s="3">
        <f>IF(ISERROR((VLOOKUP($A216,'SegEnds_NonXtal_BW#'!$A:$Z,24,FALSE)+VLOOKUP($A216,A:AL,34,FALSE)-50)),"-",(VLOOKUP($A216,'SegEnds_NonXtal_BW#'!$A:$Z,24,FALSE)+VLOOKUP($A216,A:AL,34,FALSE)-50))</f>
        <v>301</v>
      </c>
      <c r="AJ216" s="3">
        <f>IF(ISERROR(VLOOKUP($A216,'SegEnds_NonXtal_BW#'!$A:$Z,25,FALSE)+VLOOKUP($A216,A:AL,37,FALSE)-50),"-",(VLOOKUP($A216,'SegEnds_NonXtal_BW#'!$A:$Z,25,FALSE)+VLOOKUP($A216,A:AL,37,FALSE)-50))</f>
        <v>302</v>
      </c>
      <c r="AK216" s="3">
        <v>305</v>
      </c>
      <c r="AL216" s="3">
        <f>IF(ISERROR((VLOOKUP($A216,'SegEnds_NonXtal_BW#'!$A:$Z,26,FALSE)+VLOOKUP($A216,A:AL,37,FALSE)-50)),"-",(VLOOKUP($A216,'SegEnds_NonXtal_BW#'!$A:$Z,26,FALSE)+VLOOKUP($A216,A:AL,37,FALSE)-50))</f>
        <v>312</v>
      </c>
      <c r="AM216" s="28" t="str">
        <f>VLOOKUP(A216,Classification!A:B,2,FALSE)</f>
        <v>A</v>
      </c>
      <c r="AN216" s="28" t="b">
        <f t="shared" si="156"/>
        <v>1</v>
      </c>
      <c r="AO216" s="3" t="str">
        <f>IF(ISERROR(MATCH(A216,'SegEnds_Xtal_Prot#'!B:B, 0)), "NoXtal", "Xtal")</f>
        <v>Xtal</v>
      </c>
      <c r="AP216" s="3" t="str">
        <f t="shared" si="141"/>
        <v>-</v>
      </c>
      <c r="AQ216" s="3" t="str">
        <f t="shared" si="142"/>
        <v>-</v>
      </c>
      <c r="AR216" s="3" t="str">
        <f t="shared" si="143"/>
        <v>-</v>
      </c>
      <c r="AS216" s="3" t="str">
        <f t="shared" si="144"/>
        <v>-</v>
      </c>
      <c r="AT216" s="3">
        <f t="shared" si="145"/>
        <v>1</v>
      </c>
      <c r="AU216" s="3">
        <f t="shared" si="146"/>
        <v>1</v>
      </c>
      <c r="AV216" s="3">
        <f t="shared" si="147"/>
        <v>12</v>
      </c>
      <c r="AW216" s="3">
        <f t="shared" si="148"/>
        <v>4</v>
      </c>
      <c r="AX216" s="3">
        <f t="shared" si="149"/>
        <v>7</v>
      </c>
      <c r="AY216" s="3">
        <f t="shared" si="150"/>
        <v>4</v>
      </c>
      <c r="AZ216" s="3">
        <f t="shared" si="151"/>
        <v>1</v>
      </c>
      <c r="BA216" s="3">
        <f>IF(ISERROR(LEN(VLOOKUP(A216,Seqs!A:E,2,FALSE))-AL216),"-",LEN(VLOOKUP(A216,Seqs!A:E,2,FALSE))-AL216)</f>
        <v>30</v>
      </c>
      <c r="BB216" s="16">
        <f t="shared" si="152"/>
        <v>27</v>
      </c>
      <c r="BC216" s="9">
        <f t="shared" si="153"/>
        <v>20</v>
      </c>
      <c r="BD216" s="3">
        <f t="shared" si="154"/>
        <v>27</v>
      </c>
      <c r="BE216" s="3">
        <f t="shared" si="155"/>
        <v>50</v>
      </c>
    </row>
    <row r="217" spans="1:59" s="3" customFormat="1" x14ac:dyDescent="0.2">
      <c r="A217" s="3" t="s">
        <v>352</v>
      </c>
      <c r="B217" s="3" t="str">
        <f>LOWER(VLOOKUP(A217,Xtal_Templ!A:B,2,FALSE))</f>
        <v>p2y12_human</v>
      </c>
      <c r="C217" s="3">
        <f>VLOOKUP($A217,'SegEnds_NonXtal_BW#'!$A:$Z,3,FALSE)+D217-50</f>
        <v>40</v>
      </c>
      <c r="D217" s="3">
        <v>62</v>
      </c>
      <c r="E217" s="3">
        <f>IF(ISERROR(VLOOKUP($A217,'SegEnds_NonXtal_BW#'!$A:$Z,4,FALSE)+VLOOKUP($A217,A:AL,4,FALSE)-50),"-",(VLOOKUP($A217,'SegEnds_NonXtal_BW#'!$A:$Z,4,FALSE)+VLOOKUP($A217,A:AL,4,FALSE)-50))</f>
        <v>72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76</v>
      </c>
      <c r="J217" s="3">
        <v>89</v>
      </c>
      <c r="K217" s="3">
        <f>VLOOKUP($A217,'SegEnds_NonXtal_BW#'!$A:$Z,8,FALSE)+VLOOKUP($A217,A:AL,10,FALSE)-50</f>
        <v>105</v>
      </c>
      <c r="L217" s="3" t="s">
        <v>23</v>
      </c>
      <c r="M217" s="3" t="s">
        <v>23</v>
      </c>
      <c r="N217" s="3" t="s">
        <v>23</v>
      </c>
      <c r="O217" s="3">
        <f>VLOOKUP($A217,'SegEnds_NonXtal_BW#'!$A:$Z,11,FALSE)+VLOOKUP($A217,A:AL,16,FALSE)-50</f>
        <v>109</v>
      </c>
      <c r="P217" s="3">
        <v>141</v>
      </c>
      <c r="Q217" s="3">
        <f>VLOOKUP($A217,'SegEnds_NonXtal_BW#'!$A:$Z,12,FALSE)+VLOOKUP($A217,A:AL,16,FALSE)-50</f>
        <v>147</v>
      </c>
      <c r="R217" s="3">
        <f>IF(ISERROR(VLOOKUP($A217,'SegEnds_NonXtal_BW#'!$A:$Z,13,FALSE)+VLOOKUP($A217,A:AL,19,FALSE)-50),"-",VLOOKUP($A217,'SegEnds_NonXtal_BW#'!$A:$Z,13,FALSE)+VLOOKUP($A217,A:AL,19,FALSE)-50)</f>
        <v>148</v>
      </c>
      <c r="S217" s="3">
        <v>148</v>
      </c>
      <c r="T217" s="100">
        <f>IF(ISERROR(VLOOKUP($A217,'SegEnds_NonXtal_BW#'!$A:$Z,14,FALSE)+VLOOKUP($A217,A:AL,19,FALSE)-50),"-",(VLOOKUP($A217,'SegEnds_NonXtal_BW#'!$A:$Z,14,FALSE)+VLOOKUP($A217,A:AL,19,FALSE)-50))</f>
        <v>155</v>
      </c>
      <c r="U217" s="9">
        <f>IF(ISERROR(VLOOKUP($A217,'SegEnds_NonXtal_BW#'!$A:$Z,15,FALSE)+VLOOKUP($A217,A:AL,22,FALSE)-50),"-",VLOOKUP($A217,'SegEnds_NonXtal_BW#'!$A:$Z,15,FALSE)+VLOOKUP($A217,A:AL,22,FALSE)-50)</f>
        <v>156</v>
      </c>
      <c r="V217" s="3">
        <v>168</v>
      </c>
      <c r="W217" s="3">
        <f>IF(ISERROR(VLOOKUP($A217,'SegEnds_NonXtal_BW#'!$A:$Z,16,FALSE)+VLOOKUP($A217,A:AL,22,FALSE)-50),"-",(VLOOKUP($A217,'SegEnds_NonXtal_BW#'!$A:$Z,16,FALSE)+VLOOKUP($A217,A:AL,22,FALSE)-50))</f>
        <v>182</v>
      </c>
      <c r="X217" s="3">
        <f>IF(ISERROR(VLOOKUP($A217,'SegEnds_NonXtal_BW#'!$A:$Z,17,FALSE)+VLOOKUP($A217,A:AL,25,FALSE)-50),"-",(VLOOKUP($A217,'SegEnds_NonXtal_BW#'!$A:$Z,17,FALSE)+VLOOKUP($A217,A:AL,25,FALSE)-50))</f>
        <v>194</v>
      </c>
      <c r="Y217" s="3">
        <v>194</v>
      </c>
      <c r="Z217" s="3">
        <f t="shared" si="140"/>
        <v>196</v>
      </c>
      <c r="AA217" s="3">
        <f>IF(ISERROR(VLOOKUP($A217,'SegEnds_NonXtal_BW#'!$A:$Z,19,FALSE)+VLOOKUP($A217,A:AL,28,FALSE)-50),"-",(VLOOKUP($A217,'SegEnds_NonXtal_BW#'!$A:$Z,19,FALSE)+VLOOKUP($A217,A:AL,28,FALSE)-50))</f>
        <v>200</v>
      </c>
      <c r="AB217" s="3">
        <v>220</v>
      </c>
      <c r="AC217" s="3">
        <f>IF(ISERROR((VLOOKUP($A217,'SegEnds_NonXtal_BW#'!$A:$Z,20,FALSE)+VLOOKUP($A217,A:AL,28,FALSE)-50)),"-",(VLOOKUP($A217,'SegEnds_NonXtal_BW#'!$A:$Z,20,FALSE)+VLOOKUP($A217,A:AL,28,FALSE)-50))</f>
        <v>242</v>
      </c>
      <c r="AD217" s="3">
        <f>IF(ISERROR(VLOOKUP($A217,'SegEnds_NonXtal_BW#'!$A:$Z,21,FALSE)+VLOOKUP($A217,A:AL,31,FALSE)-50),"-",(VLOOKUP($A217,'SegEnds_NonXtal_BW#'!$A:$Z,21,FALSE)+VLOOKUP($A217,A:AL,31,FALSE)-50))</f>
        <v>249</v>
      </c>
      <c r="AE217" s="3">
        <v>270</v>
      </c>
      <c r="AF217" s="3">
        <f>IF(ISERROR((VLOOKUP($A217,'SegEnds_NonXtal_BW#'!$A:$Z,22,FALSE)+VLOOKUP($A217,A:AL,31,FALSE)-50)),"-",(VLOOKUP($A217,'SegEnds_NonXtal_BW#'!$A:$Z,22,FALSE)+VLOOKUP($A217,A:AL,31,FALSE)-50))</f>
        <v>284</v>
      </c>
      <c r="AG217" s="3">
        <f>IF(ISERROR(VLOOKUP($A217,'SegEnds_NonXtal_BW#'!$A:$Z,23,FALSE)+VLOOKUP($A217,A:AL,34,FALSE)-50),"-",(VLOOKUP($A217,'SegEnds_NonXtal_BW#'!$A:$Z,23,FALSE)+VLOOKUP($A217,A:AL,34,FALSE)-50))</f>
        <v>288</v>
      </c>
      <c r="AH217" s="3">
        <v>314</v>
      </c>
      <c r="AI217" s="3">
        <f>IF(ISERROR((VLOOKUP($A217,'SegEnds_NonXtal_BW#'!$A:$Z,24,FALSE)+VLOOKUP($A217,A:AL,34,FALSE)-50)),"-",(VLOOKUP($A217,'SegEnds_NonXtal_BW#'!$A:$Z,24,FALSE)+VLOOKUP($A217,A:AL,34,FALSE)-50))</f>
        <v>320</v>
      </c>
      <c r="AJ217" s="3">
        <f>IF(ISERROR(VLOOKUP($A217,'SegEnds_NonXtal_BW#'!$A:$Z,25,FALSE)+VLOOKUP($A217,A:AL,37,FALSE)-50),"-",(VLOOKUP($A217,'SegEnds_NonXtal_BW#'!$A:$Z,25,FALSE)+VLOOKUP($A217,A:AL,37,FALSE)-50))</f>
        <v>321</v>
      </c>
      <c r="AK217" s="3">
        <v>324</v>
      </c>
      <c r="AL217" s="3">
        <f>IF(ISERROR((VLOOKUP($A217,'SegEnds_NonXtal_BW#'!$A:$Z,26,FALSE)+VLOOKUP($A217,A:AL,37,FALSE)-50)),"-",(VLOOKUP($A217,'SegEnds_NonXtal_BW#'!$A:$Z,26,FALSE)+VLOOKUP($A217,A:AL,37,FALSE)-50))</f>
        <v>331</v>
      </c>
      <c r="AM217" s="28" t="str">
        <f>VLOOKUP(A217,Classification!A:B,2,FALSE)</f>
        <v>A</v>
      </c>
      <c r="AN217" s="28" t="b">
        <f t="shared" si="156"/>
        <v>1</v>
      </c>
      <c r="AO217" s="3" t="str">
        <f>IF(ISERROR(MATCH(A217,'SegEnds_Xtal_Prot#'!B:B, 0)), "NoXtal", "Xtal")</f>
        <v>NoXtal</v>
      </c>
      <c r="AP217" s="3" t="str">
        <f t="shared" si="141"/>
        <v>-</v>
      </c>
      <c r="AQ217" s="3" t="str">
        <f t="shared" si="142"/>
        <v>-</v>
      </c>
      <c r="AR217" s="3" t="str">
        <f t="shared" si="143"/>
        <v>-</v>
      </c>
      <c r="AS217" s="3" t="str">
        <f t="shared" si="144"/>
        <v>-</v>
      </c>
      <c r="AT217" s="3">
        <f t="shared" si="145"/>
        <v>1</v>
      </c>
      <c r="AU217" s="3">
        <f t="shared" si="146"/>
        <v>1</v>
      </c>
      <c r="AV217" s="3">
        <f t="shared" si="147"/>
        <v>12</v>
      </c>
      <c r="AW217" s="3">
        <f t="shared" si="148"/>
        <v>4</v>
      </c>
      <c r="AX217" s="3">
        <f t="shared" si="149"/>
        <v>7</v>
      </c>
      <c r="AY217" s="3">
        <f t="shared" si="150"/>
        <v>4</v>
      </c>
      <c r="AZ217" s="3">
        <f t="shared" si="151"/>
        <v>1</v>
      </c>
      <c r="BA217" s="3">
        <f>IF(ISERROR(LEN(VLOOKUP(A217,Seqs!A:E,2,FALSE))-AL217),"-",LEN(VLOOKUP(A217,Seqs!A:E,2,FALSE))-AL217)</f>
        <v>23</v>
      </c>
      <c r="BB217" s="16">
        <f t="shared" si="152"/>
        <v>27</v>
      </c>
      <c r="BC217" s="9">
        <f t="shared" si="153"/>
        <v>20</v>
      </c>
      <c r="BD217" s="3">
        <f t="shared" si="154"/>
        <v>27</v>
      </c>
      <c r="BE217" s="3">
        <f t="shared" si="155"/>
        <v>50</v>
      </c>
      <c r="BF217" s="3">
        <f>AH217-AE217</f>
        <v>44</v>
      </c>
    </row>
    <row r="218" spans="1:59" s="3" customFormat="1" x14ac:dyDescent="0.2">
      <c r="A218" s="3" t="s">
        <v>353</v>
      </c>
      <c r="B218" s="3" t="str">
        <f>LOWER(VLOOKUP(A218,Xtal_Templ!A:B,2,FALSE))</f>
        <v>p2y12_human</v>
      </c>
      <c r="C218" s="3">
        <f>VLOOKUP($A218,'SegEnds_NonXtal_BW#'!$A:$Z,3,FALSE)+D218-50</f>
        <v>18</v>
      </c>
      <c r="D218" s="3">
        <v>40</v>
      </c>
      <c r="E218" s="3">
        <f>IF(ISERROR(VLOOKUP($A218,'SegEnds_NonXtal_BW#'!$A:$Z,4,FALSE)+VLOOKUP($A218,A:AL,4,FALSE)-50),"-",(VLOOKUP($A218,'SegEnds_NonXtal_BW#'!$A:$Z,4,FALSE)+VLOOKUP($A218,A:AL,4,FALSE)-50))</f>
        <v>50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54</v>
      </c>
      <c r="J218" s="3">
        <v>67</v>
      </c>
      <c r="K218" s="3">
        <f>VLOOKUP($A218,'SegEnds_NonXtal_BW#'!$A:$Z,8,FALSE)+VLOOKUP($A218,A:AL,10,FALSE)-50</f>
        <v>83</v>
      </c>
      <c r="L218" s="3" t="str">
        <f>IF(ISERROR(VLOOKUP($A218,'SegEnds_NonXtal_BW#'!$A:$Z,9,FALSE)+VLOOKUP($A218,A:AL,13,FALSE)-50),"-",(VLOOKUP($A218,'SegEnds_NonXtal_BW#'!$A:$Z,9,FALSE)+VLOOKUP($A218,A:AL,13,FALSE)-50))</f>
        <v>-</v>
      </c>
      <c r="M218" s="3" t="s">
        <v>23</v>
      </c>
      <c r="N218" s="3" t="str">
        <f>IF(ISERROR(VLOOKUP($A218,'SegEnds_NonXtal_BW#'!$A:$Z,10,FALSE)+VLOOKUP($A218,A:AL,13,FALSE)-50),"-",(VLOOKUP($A218,'SegEnds_NonXtal_BW#'!$A:$Z,10,FALSE)+VLOOKUP($A218,A:AL,13,FALSE)-50))</f>
        <v>-</v>
      </c>
      <c r="O218" s="3">
        <f>VLOOKUP($A218,'SegEnds_NonXtal_BW#'!$A:$Z,11,FALSE)+VLOOKUP($A218,A:AL,16,FALSE)-50</f>
        <v>87</v>
      </c>
      <c r="P218" s="3">
        <v>119</v>
      </c>
      <c r="Q218" s="3">
        <f>VLOOKUP($A218,'SegEnds_NonXtal_BW#'!$A:$Z,12,FALSE)+VLOOKUP($A218,A:AL,16,FALSE)-50</f>
        <v>125</v>
      </c>
      <c r="R218" s="3">
        <f>IF(ISERROR(VLOOKUP($A218,'SegEnds_NonXtal_BW#'!$A:$Z,13,FALSE)+VLOOKUP($A218,A:AL,19,FALSE)-50),"-",VLOOKUP($A218,'SegEnds_NonXtal_BW#'!$A:$Z,13,FALSE)+VLOOKUP($A218,A:AL,19,FALSE)-50)</f>
        <v>126</v>
      </c>
      <c r="S218" s="3">
        <v>126</v>
      </c>
      <c r="T218" s="100">
        <f>IF(ISERROR(VLOOKUP($A218,'SegEnds_NonXtal_BW#'!$A:$Z,14,FALSE)+VLOOKUP($A218,A:AL,19,FALSE)-50),"-",(VLOOKUP($A218,'SegEnds_NonXtal_BW#'!$A:$Z,14,FALSE)+VLOOKUP($A218,A:AL,19,FALSE)-50))</f>
        <v>133</v>
      </c>
      <c r="U218" s="9">
        <f>IF(ISERROR(VLOOKUP($A218,'SegEnds_NonXtal_BW#'!$A:$Z,15,FALSE)+VLOOKUP($A218,A:AL,22,FALSE)-50),"-",VLOOKUP($A218,'SegEnds_NonXtal_BW#'!$A:$Z,15,FALSE)+VLOOKUP($A218,A:AL,22,FALSE)-50)</f>
        <v>134</v>
      </c>
      <c r="V218" s="3">
        <v>146</v>
      </c>
      <c r="W218" s="3">
        <f>IF(ISERROR(VLOOKUP($A218,'SegEnds_NonXtal_BW#'!$A:$Z,16,FALSE)+VLOOKUP($A218,A:AL,22,FALSE)-50),"-",(VLOOKUP($A218,'SegEnds_NonXtal_BW#'!$A:$Z,16,FALSE)+VLOOKUP($A218,A:AL,22,FALSE)-50))</f>
        <v>160</v>
      </c>
      <c r="X218" s="3">
        <f>IF(ISERROR(VLOOKUP($A218,'SegEnds_NonXtal_BW#'!$A:$Z,17,FALSE)+VLOOKUP($A218,A:AL,25,FALSE)-50),"-",(VLOOKUP($A218,'SegEnds_NonXtal_BW#'!$A:$Z,17,FALSE)+VLOOKUP($A218,A:AL,25,FALSE)-50))</f>
        <v>172</v>
      </c>
      <c r="Y218" s="3">
        <v>172</v>
      </c>
      <c r="Z218" s="3">
        <f t="shared" si="140"/>
        <v>174</v>
      </c>
      <c r="AA218" s="3">
        <f>IF(ISERROR(VLOOKUP($A218,'SegEnds_NonXtal_BW#'!$A:$Z,19,FALSE)+VLOOKUP($A218,A:AL,28,FALSE)-50),"-",(VLOOKUP($A218,'SegEnds_NonXtal_BW#'!$A:$Z,19,FALSE)+VLOOKUP($A218,A:AL,28,FALSE)-50))</f>
        <v>178</v>
      </c>
      <c r="AB218" s="3">
        <v>198</v>
      </c>
      <c r="AC218" s="3">
        <f>IF(ISERROR((VLOOKUP($A218,'SegEnds_NonXtal_BW#'!$A:$Z,20,FALSE)+VLOOKUP($A218,A:AL,28,FALSE)-50)),"-",(VLOOKUP($A218,'SegEnds_NonXtal_BW#'!$A:$Z,20,FALSE)+VLOOKUP($A218,A:AL,28,FALSE)-50))</f>
        <v>220</v>
      </c>
      <c r="AD218" s="3">
        <f>IF(ISERROR(VLOOKUP($A218,'SegEnds_NonXtal_BW#'!$A:$Z,21,FALSE)+VLOOKUP($A218,A:AL,31,FALSE)-50),"-",(VLOOKUP($A218,'SegEnds_NonXtal_BW#'!$A:$Z,21,FALSE)+VLOOKUP($A218,A:AL,31,FALSE)-50))</f>
        <v>227</v>
      </c>
      <c r="AE218" s="3">
        <v>248</v>
      </c>
      <c r="AF218" s="3">
        <f>IF(ISERROR((VLOOKUP($A218,'SegEnds_NonXtal_BW#'!$A:$Z,22,FALSE)+VLOOKUP($A218,A:AL,31,FALSE)-50)),"-",(VLOOKUP($A218,'SegEnds_NonXtal_BW#'!$A:$Z,22,FALSE)+VLOOKUP($A218,A:AL,31,FALSE)-50))</f>
        <v>262</v>
      </c>
      <c r="AG218" s="3">
        <f>IF(ISERROR(VLOOKUP($A218,'SegEnds_NonXtal_BW#'!$A:$Z,23,FALSE)+VLOOKUP($A218,A:AL,34,FALSE)-50),"-",(VLOOKUP($A218,'SegEnds_NonXtal_BW#'!$A:$Z,23,FALSE)+VLOOKUP($A218,A:AL,34,FALSE)-50))</f>
        <v>266</v>
      </c>
      <c r="AH218" s="3">
        <v>292</v>
      </c>
      <c r="AI218" s="3">
        <f>IF(ISERROR((VLOOKUP($A218,'SegEnds_NonXtal_BW#'!$A:$Z,24,FALSE)+VLOOKUP($A218,A:AL,34,FALSE)-50)),"-",(VLOOKUP($A218,'SegEnds_NonXtal_BW#'!$A:$Z,24,FALSE)+VLOOKUP($A218,A:AL,34,FALSE)-50))</f>
        <v>298</v>
      </c>
      <c r="AJ218" s="3">
        <f>IF(ISERROR(VLOOKUP($A218,'SegEnds_NonXtal_BW#'!$A:$Z,25,FALSE)+VLOOKUP($A218,A:AL,37,FALSE)-50),"-",(VLOOKUP($A218,'SegEnds_NonXtal_BW#'!$A:$Z,25,FALSE)+VLOOKUP($A218,A:AL,37,FALSE)-50))</f>
        <v>299</v>
      </c>
      <c r="AK218" s="3">
        <v>302</v>
      </c>
      <c r="AL218" s="3">
        <f>IF(ISERROR((VLOOKUP($A218,'SegEnds_NonXtal_BW#'!$A:$Z,26,FALSE)+VLOOKUP($A218,A:AL,37,FALSE)-50)),"-",(VLOOKUP($A218,'SegEnds_NonXtal_BW#'!$A:$Z,26,FALSE)+VLOOKUP($A218,A:AL,37,FALSE)-50))</f>
        <v>309</v>
      </c>
      <c r="AM218" s="28" t="str">
        <f>VLOOKUP(A218,Classification!A:B,2,FALSE)</f>
        <v>A</v>
      </c>
      <c r="AN218" s="28" t="b">
        <f t="shared" si="156"/>
        <v>1</v>
      </c>
      <c r="AO218" s="3" t="str">
        <f>IF(ISERROR(MATCH(A218,'SegEnds_Xtal_Prot#'!B:B, 0)), "NoXtal", "Xtal")</f>
        <v>NoXtal</v>
      </c>
      <c r="AP218" s="3" t="str">
        <f t="shared" si="141"/>
        <v>-</v>
      </c>
      <c r="AQ218" s="3" t="str">
        <f t="shared" si="142"/>
        <v>-</v>
      </c>
      <c r="AR218" s="3" t="str">
        <f t="shared" si="143"/>
        <v>-</v>
      </c>
      <c r="AS218" s="3" t="str">
        <f t="shared" si="144"/>
        <v>-</v>
      </c>
      <c r="AT218" s="3">
        <f t="shared" si="145"/>
        <v>1</v>
      </c>
      <c r="AU218" s="3">
        <f t="shared" si="146"/>
        <v>1</v>
      </c>
      <c r="AV218" s="3">
        <f t="shared" si="147"/>
        <v>12</v>
      </c>
      <c r="AW218" s="3">
        <f t="shared" si="148"/>
        <v>4</v>
      </c>
      <c r="AX218" s="3">
        <f t="shared" si="149"/>
        <v>7</v>
      </c>
      <c r="AY218" s="3">
        <f t="shared" si="150"/>
        <v>4</v>
      </c>
      <c r="AZ218" s="3">
        <f t="shared" si="151"/>
        <v>1</v>
      </c>
      <c r="BA218" s="3">
        <f>IF(ISERROR(LEN(VLOOKUP(A218,Seqs!A:E,2,FALSE))-AL218),"-",LEN(VLOOKUP(A218,Seqs!A:E,2,FALSE))-AL218)</f>
        <v>29</v>
      </c>
      <c r="BB218" s="16">
        <f t="shared" si="152"/>
        <v>27</v>
      </c>
      <c r="BC218" s="9">
        <f t="shared" si="153"/>
        <v>20</v>
      </c>
      <c r="BD218" s="3">
        <f t="shared" si="154"/>
        <v>27</v>
      </c>
      <c r="BE218" s="3">
        <f t="shared" si="155"/>
        <v>50</v>
      </c>
      <c r="BF218" s="3">
        <f>AH218-AE218</f>
        <v>44</v>
      </c>
    </row>
    <row r="219" spans="1:59" s="3" customFormat="1" x14ac:dyDescent="0.2">
      <c r="A219" s="3" t="s">
        <v>354</v>
      </c>
      <c r="B219" s="3" t="str">
        <f>LOWER(VLOOKUP(A219,Xtal_Templ!A:B,2,FALSE))</f>
        <v>par1_human</v>
      </c>
      <c r="C219" s="3">
        <f>VLOOKUP($A219,'SegEnds_NonXtal_BW#'!$A:$Z,3,FALSE)+D219-50</f>
        <v>99</v>
      </c>
      <c r="D219" s="3">
        <v>120</v>
      </c>
      <c r="E219" s="3">
        <f>IF(ISERROR(VLOOKUP($A219,'SegEnds_NonXtal_BW#'!$A:$Z,4,FALSE)+VLOOKUP($A219,A:AL,4,FALSE)-50),"-",(VLOOKUP($A219,'SegEnds_NonXtal_BW#'!$A:$Z,4,FALSE)+VLOOKUP($A219,A:AL,4,FALSE)-50))</f>
        <v>130</v>
      </c>
      <c r="F219" s="3">
        <f>G219-2</f>
        <v>131</v>
      </c>
      <c r="G219" s="3">
        <v>133</v>
      </c>
      <c r="H219" s="3">
        <f>G219+1</f>
        <v>134</v>
      </c>
      <c r="I219" s="3">
        <f>H219+1</f>
        <v>135</v>
      </c>
      <c r="J219" s="3">
        <v>148</v>
      </c>
      <c r="K219" s="3">
        <f>VLOOKUP($A219,'SegEnds_NonXtal_BW#'!$A:$Z,8,FALSE)+VLOOKUP($A219,A:AL,10,FALSE)-50</f>
        <v>164</v>
      </c>
      <c r="L219" s="3">
        <f>M219-1</f>
        <v>167</v>
      </c>
      <c r="M219" s="3">
        <v>168</v>
      </c>
      <c r="N219" s="3">
        <f>M219+2</f>
        <v>170</v>
      </c>
      <c r="O219" s="3">
        <f>N219+1</f>
        <v>171</v>
      </c>
      <c r="P219" s="3">
        <v>200</v>
      </c>
      <c r="Q219" s="3">
        <f>VLOOKUP($A219,'SegEnds_NonXtal_BW#'!$A:$Z,12,FALSE)+VLOOKUP($A219,A:AL,16,FALSE)-50</f>
        <v>206</v>
      </c>
      <c r="R219" s="3">
        <f>IF(ISERROR(VLOOKUP($A219,'SegEnds_NonXtal_BW#'!$A:$Z,13,FALSE)+VLOOKUP($A219,A:AL,19,FALSE)-50),"-",VLOOKUP($A219,'SegEnds_NonXtal_BW#'!$A:$Z,13,FALSE)+VLOOKUP($A219,A:AL,19,FALSE)-50)</f>
        <v>207</v>
      </c>
      <c r="S219" s="3">
        <v>207</v>
      </c>
      <c r="T219" s="100">
        <f>IF(ISERROR(VLOOKUP($A219,'SegEnds_NonXtal_BW#'!$A:$Z,14,FALSE)+VLOOKUP($A219,A:AL,19,FALSE)-50),"-",(VLOOKUP($A219,'SegEnds_NonXtal_BW#'!$A:$Z,14,FALSE)+VLOOKUP($A219,A:AL,19,FALSE)-50))</f>
        <v>214</v>
      </c>
      <c r="U219" s="9">
        <f>IF(ISERROR(VLOOKUP($A219,'SegEnds_NonXtal_BW#'!$A:$Z,15,FALSE)+VLOOKUP($A219,A:AL,22,FALSE)-50),"-",VLOOKUP($A219,'SegEnds_NonXtal_BW#'!$A:$Z,15,FALSE)+VLOOKUP($A219,A:AL,22,FALSE)-50)</f>
        <v>215</v>
      </c>
      <c r="V219" s="3">
        <v>227</v>
      </c>
      <c r="W219" s="3">
        <f>IF(ISERROR(VLOOKUP($A219,'SegEnds_NonXtal_BW#'!$A:$Z,16,FALSE)+VLOOKUP($A219,A:AL,22,FALSE)-50),"-",(VLOOKUP($A219,'SegEnds_NonXtal_BW#'!$A:$Z,16,FALSE)+VLOOKUP($A219,A:AL,22,FALSE)-50))</f>
        <v>240</v>
      </c>
      <c r="X219" s="3">
        <f>IF(ISERROR(VLOOKUP($A219,'SegEnds_NonXtal_BW#'!$A:$Z,17,FALSE)+VLOOKUP($A219,A:AL,25,FALSE)-50),"-",(VLOOKUP($A219,'SegEnds_NonXtal_BW#'!$A:$Z,17,FALSE)+VLOOKUP($A219,A:AL,25,FALSE)-50))</f>
        <v>254</v>
      </c>
      <c r="Y219" s="3">
        <v>254</v>
      </c>
      <c r="Z219" s="3">
        <f t="shared" si="140"/>
        <v>256</v>
      </c>
      <c r="AA219" s="3">
        <f>IF(ISERROR(VLOOKUP($A219,'SegEnds_NonXtal_BW#'!$A:$Z,19,FALSE)+VLOOKUP($A219,A:AL,28,FALSE)-50),"-",(VLOOKUP($A219,'SegEnds_NonXtal_BW#'!$A:$Z,19,FALSE)+VLOOKUP($A219,A:AL,28,FALSE)-50))</f>
        <v>264</v>
      </c>
      <c r="AB219" s="3">
        <v>282</v>
      </c>
      <c r="AC219" s="3">
        <f>IF(ISERROR((VLOOKUP($A219,'SegEnds_NonXtal_BW#'!$A:$Z,20,FALSE)+VLOOKUP($A219,A:AL,28,FALSE)-50)),"-",(VLOOKUP($A219,'SegEnds_NonXtal_BW#'!$A:$Z,20,FALSE)+VLOOKUP($A219,A:AL,28,FALSE)-50))</f>
        <v>299</v>
      </c>
      <c r="AD219" s="3">
        <f>IF(ISERROR(VLOOKUP($A219,'SegEnds_NonXtal_BW#'!$A:$Z,21,FALSE)+VLOOKUP($A219,A:AL,31,FALSE)-50),"-",(VLOOKUP($A219,'SegEnds_NonXtal_BW#'!$A:$Z,21,FALSE)+VLOOKUP($A219,A:AL,31,FALSE)-50))</f>
        <v>304</v>
      </c>
      <c r="AE219" s="3">
        <v>328</v>
      </c>
      <c r="AF219" s="3">
        <f>IF(ISERROR((VLOOKUP($A219,'SegEnds_NonXtal_BW#'!$A:$Z,22,FALSE)+VLOOKUP($A219,A:AL,31,FALSE)-50)),"-",(VLOOKUP($A219,'SegEnds_NonXtal_BW#'!$A:$Z,22,FALSE)+VLOOKUP($A219,A:AL,31,FALSE)-50))</f>
        <v>340</v>
      </c>
      <c r="AG219" s="3">
        <f>IF(ISERROR(VLOOKUP($A219,'SegEnds_NonXtal_BW#'!$A:$Z,23,FALSE)+VLOOKUP($A219,A:AL,34,FALSE)-50),"-",(VLOOKUP($A219,'SegEnds_NonXtal_BW#'!$A:$Z,23,FALSE)+VLOOKUP($A219,A:AL,34,FALSE)-50))</f>
        <v>346</v>
      </c>
      <c r="AH219" s="3">
        <v>368</v>
      </c>
      <c r="AI219" s="3">
        <f>IF(ISERROR((VLOOKUP($A219,'SegEnds_NonXtal_BW#'!$A:$Z,24,FALSE)+VLOOKUP($A219,A:AL,34,FALSE)-50)),"-",(VLOOKUP($A219,'SegEnds_NonXtal_BW#'!$A:$Z,24,FALSE)+VLOOKUP($A219,A:AL,34,FALSE)-50))</f>
        <v>374</v>
      </c>
      <c r="AJ219" s="3">
        <f>IF(ISERROR(VLOOKUP($A219,'SegEnds_NonXtal_BW#'!$A:$Z,25,FALSE)+VLOOKUP($A219,A:AL,37,FALSE)-50),"-",(VLOOKUP($A219,'SegEnds_NonXtal_BW#'!$A:$Z,25,FALSE)+VLOOKUP($A219,A:AL,37,FALSE)-50))</f>
        <v>375</v>
      </c>
      <c r="AK219" s="3">
        <v>378</v>
      </c>
      <c r="AL219" s="3">
        <f>IF(ISERROR((VLOOKUP($A219,'SegEnds_NonXtal_BW#'!$A:$Z,26,FALSE)+VLOOKUP($A219,A:AL,37,FALSE)-50)),"-",(VLOOKUP($A219,'SegEnds_NonXtal_BW#'!$A:$Z,26,FALSE)+VLOOKUP($A219,A:AL,37,FALSE)-50))</f>
        <v>389</v>
      </c>
      <c r="AM219" s="28" t="str">
        <f>VLOOKUP(A219,Classification!A:B,2,FALSE)</f>
        <v>A</v>
      </c>
      <c r="AN219" s="28" t="b">
        <f t="shared" si="156"/>
        <v>1</v>
      </c>
      <c r="AO219" s="3" t="str">
        <f>IF(ISERROR(MATCH(A219,'SegEnds_Xtal_Prot#'!B:B, 0)), "NoXtal", "Xtal")</f>
        <v>Xtal</v>
      </c>
      <c r="AP219" s="3">
        <f t="shared" si="141"/>
        <v>1</v>
      </c>
      <c r="AQ219" s="3">
        <f t="shared" si="142"/>
        <v>1</v>
      </c>
      <c r="AR219" s="3">
        <f t="shared" si="143"/>
        <v>3</v>
      </c>
      <c r="AS219" s="3">
        <f t="shared" si="144"/>
        <v>1</v>
      </c>
      <c r="AT219" s="3">
        <f t="shared" si="145"/>
        <v>1</v>
      </c>
      <c r="AU219" s="3">
        <f t="shared" si="146"/>
        <v>1</v>
      </c>
      <c r="AV219" s="3">
        <f t="shared" si="147"/>
        <v>14</v>
      </c>
      <c r="AW219" s="3">
        <f t="shared" si="148"/>
        <v>8</v>
      </c>
      <c r="AX219" s="3">
        <f t="shared" si="149"/>
        <v>5</v>
      </c>
      <c r="AY219" s="3">
        <f t="shared" si="150"/>
        <v>6</v>
      </c>
      <c r="AZ219" s="3">
        <f t="shared" si="151"/>
        <v>1</v>
      </c>
      <c r="BA219" s="3">
        <f>IF(ISERROR(LEN(VLOOKUP(A219,Seqs!A:E,2,FALSE))-AL219),"-",LEN(VLOOKUP(A219,Seqs!A:E,2,FALSE))-AL219)</f>
        <v>36</v>
      </c>
      <c r="BB219" s="16">
        <f t="shared" si="152"/>
        <v>28</v>
      </c>
      <c r="BC219" s="9">
        <f t="shared" si="153"/>
        <v>20</v>
      </c>
      <c r="BD219" s="3">
        <f t="shared" si="154"/>
        <v>28</v>
      </c>
      <c r="BE219" s="3">
        <f t="shared" si="155"/>
        <v>46</v>
      </c>
    </row>
    <row r="220" spans="1:59" s="3" customFormat="1" x14ac:dyDescent="0.2">
      <c r="A220" s="3" t="s">
        <v>356</v>
      </c>
      <c r="B220" s="3" t="str">
        <f>LOWER(VLOOKUP(A220,Xtal_Templ!A:B,2,FALSE))</f>
        <v>par2_human</v>
      </c>
      <c r="C220" s="3">
        <f>VLOOKUP($A220,'SegEnds_NonXtal_BW#'!$A:$Z,3,FALSE)+D220-50</f>
        <v>90</v>
      </c>
      <c r="D220" s="3">
        <v>112</v>
      </c>
      <c r="E220" s="3">
        <f>IF(ISERROR(VLOOKUP($A220,'SegEnds_NonXtal_BW#'!$A:$Z,4,FALSE)+VLOOKUP($A220,A:AL,4,FALSE)-50),"-",(VLOOKUP($A220,'SegEnds_NonXtal_BW#'!$A:$Z,4,FALSE)+VLOOKUP($A220,A:AL,4,FALSE)-50))</f>
        <v>122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126</v>
      </c>
      <c r="J220" s="3">
        <v>139</v>
      </c>
      <c r="K220" s="3">
        <f>VLOOKUP($A220,'SegEnds_NonXtal_BW#'!$A:$Z,8,FALSE)+VLOOKUP($A220,A:AL,10,FALSE)-50</f>
        <v>155</v>
      </c>
      <c r="L220" s="3">
        <f>M220-1</f>
        <v>158</v>
      </c>
      <c r="M220" s="3">
        <v>159</v>
      </c>
      <c r="N220" s="3">
        <f>M220+2</f>
        <v>161</v>
      </c>
      <c r="O220" s="3">
        <f>N220+1</f>
        <v>162</v>
      </c>
      <c r="P220" s="3">
        <v>191</v>
      </c>
      <c r="Q220" s="3">
        <f>VLOOKUP($A220,'SegEnds_NonXtal_BW#'!$A:$Z,12,FALSE)+VLOOKUP($A220,A:AL,16,FALSE)-50</f>
        <v>197</v>
      </c>
      <c r="R220" s="3">
        <f>IF(ISERROR(VLOOKUP($A220,'SegEnds_NonXtal_BW#'!$A:$Z,13,FALSE)+VLOOKUP($A220,A:AL,19,FALSE)-50),"-",VLOOKUP($A220,'SegEnds_NonXtal_BW#'!$A:$Z,13,FALSE)+VLOOKUP($A220,A:AL,19,FALSE)-50)</f>
        <v>198</v>
      </c>
      <c r="S220" s="3">
        <v>198</v>
      </c>
      <c r="T220" s="100">
        <f>IF(ISERROR(VLOOKUP($A220,'SegEnds_NonXtal_BW#'!$A:$Z,14,FALSE)+VLOOKUP($A220,A:AL,19,FALSE)-50),"-",(VLOOKUP($A220,'SegEnds_NonXtal_BW#'!$A:$Z,14,FALSE)+VLOOKUP($A220,A:AL,19,FALSE)-50))</f>
        <v>205</v>
      </c>
      <c r="U220" s="9">
        <f>IF(ISERROR(VLOOKUP($A220,'SegEnds_NonXtal_BW#'!$A:$Z,15,FALSE)+VLOOKUP($A220,A:AL,22,FALSE)-50),"-",VLOOKUP($A220,'SegEnds_NonXtal_BW#'!$A:$Z,15,FALSE)+VLOOKUP($A220,A:AL,22,FALSE)-50)</f>
        <v>206</v>
      </c>
      <c r="V220" s="3">
        <v>218</v>
      </c>
      <c r="W220" s="3">
        <f>IF(ISERROR(VLOOKUP($A220,'SegEnds_NonXtal_BW#'!$A:$Z,16,FALSE)+VLOOKUP($A220,A:AL,22,FALSE)-50),"-",(VLOOKUP($A220,'SegEnds_NonXtal_BW#'!$A:$Z,16,FALSE)+VLOOKUP($A220,A:AL,22,FALSE)-50))</f>
        <v>230</v>
      </c>
      <c r="X220" s="3">
        <f>IF(ISERROR(VLOOKUP($A220,'SegEnds_NonXtal_BW#'!$A:$Z,17,FALSE)+VLOOKUP($A220,A:AL,25,FALSE)-50),"-",(VLOOKUP($A220,'SegEnds_NonXtal_BW#'!$A:$Z,17,FALSE)+VLOOKUP($A220,A:AL,25,FALSE)-50))</f>
        <v>252</v>
      </c>
      <c r="Y220" s="3">
        <v>252</v>
      </c>
      <c r="Z220" s="3">
        <f t="shared" si="140"/>
        <v>254</v>
      </c>
      <c r="AA220" s="3">
        <f>IF(ISERROR(VLOOKUP($A220,'SegEnds_NonXtal_BW#'!$A:$Z,19,FALSE)+VLOOKUP($A220,A:AL,28,FALSE)-50),"-",(VLOOKUP($A220,'SegEnds_NonXtal_BW#'!$A:$Z,19,FALSE)+VLOOKUP($A220,A:AL,28,FALSE)-50))</f>
        <v>259</v>
      </c>
      <c r="AB220" s="3">
        <v>274</v>
      </c>
      <c r="AC220" s="3">
        <f>IF(ISERROR((VLOOKUP($A220,'SegEnds_NonXtal_BW#'!$A:$Z,20,FALSE)+VLOOKUP($A220,A:AL,28,FALSE)-50)),"-",(VLOOKUP($A220,'SegEnds_NonXtal_BW#'!$A:$Z,20,FALSE)+VLOOKUP($A220,A:AL,28,FALSE)-50))</f>
        <v>292</v>
      </c>
      <c r="AD220" s="3">
        <f>IF(ISERROR(VLOOKUP($A220,'SegEnds_NonXtal_BW#'!$A:$Z,21,FALSE)+VLOOKUP($A220,A:AL,31,FALSE)-50),"-",(VLOOKUP($A220,'SegEnds_NonXtal_BW#'!$A:$Z,21,FALSE)+VLOOKUP($A220,A:AL,31,FALSE)-50))</f>
        <v>296</v>
      </c>
      <c r="AE220" s="3">
        <v>316</v>
      </c>
      <c r="AF220" s="3">
        <f>IF(ISERROR((VLOOKUP($A220,'SegEnds_NonXtal_BW#'!$A:$Z,22,FALSE)+VLOOKUP($A220,A:AL,31,FALSE)-50)),"-",(VLOOKUP($A220,'SegEnds_NonXtal_BW#'!$A:$Z,22,FALSE)+VLOOKUP($A220,A:AL,31,FALSE)-50))</f>
        <v>328</v>
      </c>
      <c r="AG220" s="3">
        <f>IF(ISERROR(VLOOKUP($A220,'SegEnds_NonXtal_BW#'!$A:$Z,23,FALSE)+VLOOKUP($A220,A:AL,34,FALSE)-50),"-",(VLOOKUP($A220,'SegEnds_NonXtal_BW#'!$A:$Z,23,FALSE)+VLOOKUP($A220,A:AL,34,FALSE)-50))</f>
        <v>336</v>
      </c>
      <c r="AH220" s="3">
        <v>355</v>
      </c>
      <c r="AI220" s="3">
        <f>IF(ISERROR((VLOOKUP($A220,'SegEnds_NonXtal_BW#'!$A:$Z,24,FALSE)+VLOOKUP($A220,A:AL,34,FALSE)-50)),"-",(VLOOKUP($A220,'SegEnds_NonXtal_BW#'!$A:$Z,24,FALSE)+VLOOKUP($A220,A:AL,34,FALSE)-50))</f>
        <v>361</v>
      </c>
      <c r="AJ220" s="3" t="s">
        <v>23</v>
      </c>
      <c r="AK220" s="3" t="s">
        <v>23</v>
      </c>
      <c r="AL220" s="3" t="s">
        <v>23</v>
      </c>
      <c r="AM220" s="28" t="str">
        <f>VLOOKUP(A220,Classification!A:B,2,FALSE)</f>
        <v>A</v>
      </c>
      <c r="AN220" s="28" t="b">
        <f t="shared" si="156"/>
        <v>1</v>
      </c>
      <c r="AO220" s="3" t="str">
        <f>IF(ISERROR(MATCH(A220,'SegEnds_Xtal_Prot#'!B:B, 0)), "NoXtal", "Xtal")</f>
        <v>NoXtal</v>
      </c>
      <c r="AP220" s="3" t="str">
        <f t="shared" si="141"/>
        <v>-</v>
      </c>
      <c r="AQ220" s="3" t="str">
        <f t="shared" si="142"/>
        <v>-</v>
      </c>
      <c r="AR220" s="3">
        <f t="shared" si="143"/>
        <v>3</v>
      </c>
      <c r="AS220" s="3">
        <f t="shared" si="144"/>
        <v>1</v>
      </c>
      <c r="AT220" s="3">
        <f t="shared" si="145"/>
        <v>1</v>
      </c>
      <c r="AU220" s="3">
        <f t="shared" si="146"/>
        <v>1</v>
      </c>
      <c r="AV220" s="3">
        <f t="shared" si="147"/>
        <v>22</v>
      </c>
      <c r="AW220" s="3">
        <f t="shared" si="148"/>
        <v>5</v>
      </c>
      <c r="AX220" s="3">
        <f t="shared" si="149"/>
        <v>4</v>
      </c>
      <c r="AY220" s="3">
        <f t="shared" si="150"/>
        <v>8</v>
      </c>
      <c r="AZ220" s="3" t="str">
        <f t="shared" si="151"/>
        <v>-</v>
      </c>
      <c r="BA220" s="3" t="str">
        <f>IF(ISERROR(LEN(VLOOKUP(A220,Seqs!A:E,2,FALSE))-AL220),"-",LEN(VLOOKUP(A220,Seqs!A:E,2,FALSE))-AL220)</f>
        <v>-</v>
      </c>
      <c r="BB220" s="16">
        <f t="shared" si="152"/>
        <v>27</v>
      </c>
      <c r="BC220" s="9">
        <f t="shared" si="153"/>
        <v>20</v>
      </c>
      <c r="BD220" s="3">
        <f t="shared" si="154"/>
        <v>27</v>
      </c>
      <c r="BE220" s="3">
        <f t="shared" si="155"/>
        <v>42</v>
      </c>
      <c r="BF220" s="3">
        <f>AH220-AE220</f>
        <v>39</v>
      </c>
      <c r="BG220" s="3" t="s">
        <v>1303</v>
      </c>
    </row>
    <row r="221" spans="1:59" s="3" customFormat="1" x14ac:dyDescent="0.2">
      <c r="A221" s="3" t="s">
        <v>357</v>
      </c>
      <c r="B221" s="3" t="str">
        <f>LOWER(VLOOKUP(A221,Xtal_Templ!A:B,2,FALSE))</f>
        <v>par2_human</v>
      </c>
      <c r="C221" s="3">
        <f>VLOOKUP($A221,'SegEnds_NonXtal_BW#'!$A:$Z,3,FALSE)+D221-50</f>
        <v>73</v>
      </c>
      <c r="D221" s="3">
        <v>95</v>
      </c>
      <c r="E221" s="3">
        <f>IF(ISERROR(VLOOKUP($A221,'SegEnds_NonXtal_BW#'!$A:$Z,4,FALSE)+VLOOKUP($A221,A:AL,4,FALSE)-50),"-",(VLOOKUP($A221,'SegEnds_NonXtal_BW#'!$A:$Z,4,FALSE)+VLOOKUP($A221,A:AL,4,FALSE)-50))</f>
        <v>105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109</v>
      </c>
      <c r="J221" s="3">
        <v>122</v>
      </c>
      <c r="K221" s="3">
        <f>VLOOKUP($A221,'SegEnds_NonXtal_BW#'!$A:$Z,8,FALSE)+VLOOKUP($A221,A:AL,10,FALSE)-50</f>
        <v>138</v>
      </c>
      <c r="L221" s="3">
        <f>M221-1</f>
        <v>141</v>
      </c>
      <c r="M221" s="3">
        <v>142</v>
      </c>
      <c r="N221" s="3">
        <f>M221+2</f>
        <v>144</v>
      </c>
      <c r="O221" s="3">
        <f>N221+1</f>
        <v>145</v>
      </c>
      <c r="P221" s="3">
        <v>174</v>
      </c>
      <c r="Q221" s="3">
        <f>VLOOKUP($A221,'SegEnds_NonXtal_BW#'!$A:$Z,12,FALSE)+VLOOKUP($A221,A:AL,16,FALSE)-50</f>
        <v>180</v>
      </c>
      <c r="R221" s="3">
        <f>IF(ISERROR(VLOOKUP($A221,'SegEnds_NonXtal_BW#'!$A:$Z,13,FALSE)+VLOOKUP($A221,A:AL,19,FALSE)-50),"-",VLOOKUP($A221,'SegEnds_NonXtal_BW#'!$A:$Z,13,FALSE)+VLOOKUP($A221,A:AL,19,FALSE)-50)</f>
        <v>181</v>
      </c>
      <c r="S221" s="3">
        <v>181</v>
      </c>
      <c r="T221" s="100">
        <f>IF(ISERROR(VLOOKUP($A221,'SegEnds_NonXtal_BW#'!$A:$Z,14,FALSE)+VLOOKUP($A221,A:AL,19,FALSE)-50),"-",(VLOOKUP($A221,'SegEnds_NonXtal_BW#'!$A:$Z,14,FALSE)+VLOOKUP($A221,A:AL,19,FALSE)-50))</f>
        <v>188</v>
      </c>
      <c r="U221" s="9">
        <f>IF(ISERROR(VLOOKUP($A221,'SegEnds_NonXtal_BW#'!$A:$Z,15,FALSE)+VLOOKUP($A221,A:AL,22,FALSE)-50),"-",VLOOKUP($A221,'SegEnds_NonXtal_BW#'!$A:$Z,15,FALSE)+VLOOKUP($A221,A:AL,22,FALSE)-50)</f>
        <v>189</v>
      </c>
      <c r="V221" s="3">
        <v>201</v>
      </c>
      <c r="W221" s="3">
        <f>IF(ISERROR(VLOOKUP($A221,'SegEnds_NonXtal_BW#'!$A:$Z,16,FALSE)+VLOOKUP($A221,A:AL,22,FALSE)-50),"-",(VLOOKUP($A221,'SegEnds_NonXtal_BW#'!$A:$Z,16,FALSE)+VLOOKUP($A221,A:AL,22,FALSE)-50))</f>
        <v>213</v>
      </c>
      <c r="X221" s="3">
        <f>IF(ISERROR(VLOOKUP($A221,'SegEnds_NonXtal_BW#'!$A:$Z,17,FALSE)+VLOOKUP($A221,A:AL,25,FALSE)-50),"-",(VLOOKUP($A221,'SegEnds_NonXtal_BW#'!$A:$Z,17,FALSE)+VLOOKUP($A221,A:AL,25,FALSE)-50))</f>
        <v>228</v>
      </c>
      <c r="Y221" s="3">
        <v>228</v>
      </c>
      <c r="Z221" s="3">
        <f t="shared" si="140"/>
        <v>230</v>
      </c>
      <c r="AA221" s="3">
        <f>IF(ISERROR(VLOOKUP($A221,'SegEnds_NonXtal_BW#'!$A:$Z,19,FALSE)+VLOOKUP($A221,A:AL,28,FALSE)-50),"-",(VLOOKUP($A221,'SegEnds_NonXtal_BW#'!$A:$Z,19,FALSE)+VLOOKUP($A221,A:AL,28,FALSE)-50))</f>
        <v>237</v>
      </c>
      <c r="AB221" s="3">
        <v>256</v>
      </c>
      <c r="AC221" s="3">
        <f>IF(ISERROR((VLOOKUP($A221,'SegEnds_NonXtal_BW#'!$A:$Z,20,FALSE)+VLOOKUP($A221,A:AL,28,FALSE)-50)),"-",(VLOOKUP($A221,'SegEnds_NonXtal_BW#'!$A:$Z,20,FALSE)+VLOOKUP($A221,A:AL,28,FALSE)-50))</f>
        <v>274</v>
      </c>
      <c r="AD221" s="3">
        <f>IF(ISERROR(VLOOKUP($A221,'SegEnds_NonXtal_BW#'!$A:$Z,21,FALSE)+VLOOKUP($A221,A:AL,31,FALSE)-50),"-",(VLOOKUP($A221,'SegEnds_NonXtal_BW#'!$A:$Z,21,FALSE)+VLOOKUP($A221,A:AL,31,FALSE)-50))</f>
        <v>278</v>
      </c>
      <c r="AE221" s="3">
        <v>298</v>
      </c>
      <c r="AF221" s="3">
        <f>IF(ISERROR((VLOOKUP($A221,'SegEnds_NonXtal_BW#'!$A:$Z,22,FALSE)+VLOOKUP($A221,A:AL,31,FALSE)-50)),"-",(VLOOKUP($A221,'SegEnds_NonXtal_BW#'!$A:$Z,22,FALSE)+VLOOKUP($A221,A:AL,31,FALSE)-50))</f>
        <v>310</v>
      </c>
      <c r="AG221" s="3">
        <f>IF(ISERROR(VLOOKUP($A221,'SegEnds_NonXtal_BW#'!$A:$Z,23,FALSE)+VLOOKUP($A221,A:AL,34,FALSE)-50),"-",(VLOOKUP($A221,'SegEnds_NonXtal_BW#'!$A:$Z,23,FALSE)+VLOOKUP($A221,A:AL,34,FALSE)-50))</f>
        <v>318</v>
      </c>
      <c r="AH221" s="3">
        <v>337</v>
      </c>
      <c r="AI221" s="3">
        <f>IF(ISERROR((VLOOKUP($A221,'SegEnds_NonXtal_BW#'!$A:$Z,24,FALSE)+VLOOKUP($A221,A:AL,34,FALSE)-50)),"-",(VLOOKUP($A221,'SegEnds_NonXtal_BW#'!$A:$Z,24,FALSE)+VLOOKUP($A221,A:AL,34,FALSE)-50))</f>
        <v>343</v>
      </c>
      <c r="AJ221" s="3">
        <f>IF(ISERROR(VLOOKUP($A221,'SegEnds_NonXtal_BW#'!$A:$Z,25,FALSE)+VLOOKUP($A221,A:AL,37,FALSE)-50),"-",(VLOOKUP($A221,'SegEnds_NonXtal_BW#'!$A:$Z,25,FALSE)+VLOOKUP($A221,A:AL,37,FALSE)-50))</f>
        <v>344</v>
      </c>
      <c r="AK221" s="3">
        <v>347</v>
      </c>
      <c r="AL221" s="3">
        <f>IF(ISERROR((VLOOKUP($A221,'SegEnds_NonXtal_BW#'!$A:$Z,26,FALSE)+VLOOKUP($A221,A:AL,37,FALSE)-50)),"-",(VLOOKUP($A221,'SegEnds_NonXtal_BW#'!$A:$Z,26,FALSE)+VLOOKUP($A221,A:AL,37,FALSE)-50))</f>
        <v>358</v>
      </c>
      <c r="AM221" s="28" t="str">
        <f>VLOOKUP(A221,Classification!A:B,2,FALSE)</f>
        <v>A</v>
      </c>
      <c r="AN221" s="28" t="b">
        <f t="shared" si="156"/>
        <v>1</v>
      </c>
      <c r="AO221" s="3" t="str">
        <f>IF(ISERROR(MATCH(A221,'SegEnds_Xtal_Prot#'!B:B, 0)), "NoXtal", "Xtal")</f>
        <v>NoXtal</v>
      </c>
      <c r="AP221" s="3" t="str">
        <f t="shared" si="141"/>
        <v>-</v>
      </c>
      <c r="AQ221" s="3" t="str">
        <f t="shared" si="142"/>
        <v>-</v>
      </c>
      <c r="AR221" s="3">
        <f t="shared" si="143"/>
        <v>3</v>
      </c>
      <c r="AS221" s="3">
        <f t="shared" si="144"/>
        <v>1</v>
      </c>
      <c r="AT221" s="3">
        <f t="shared" si="145"/>
        <v>1</v>
      </c>
      <c r="AU221" s="3">
        <f t="shared" si="146"/>
        <v>1</v>
      </c>
      <c r="AV221" s="3">
        <f t="shared" si="147"/>
        <v>15</v>
      </c>
      <c r="AW221" s="3">
        <f t="shared" si="148"/>
        <v>7</v>
      </c>
      <c r="AX221" s="3">
        <f t="shared" si="149"/>
        <v>4</v>
      </c>
      <c r="AY221" s="3">
        <f t="shared" si="150"/>
        <v>8</v>
      </c>
      <c r="AZ221" s="3">
        <f t="shared" si="151"/>
        <v>1</v>
      </c>
      <c r="BA221" s="3">
        <f>IF(ISERROR(LEN(VLOOKUP(A221,Seqs!A:E,2,FALSE))-AL221),"-",LEN(VLOOKUP(A221,Seqs!A:E,2,FALSE))-AL221)</f>
        <v>27</v>
      </c>
      <c r="BB221" s="16">
        <f t="shared" si="152"/>
        <v>27</v>
      </c>
      <c r="BC221" s="9">
        <f t="shared" si="153"/>
        <v>20</v>
      </c>
      <c r="BD221" s="3">
        <f t="shared" si="154"/>
        <v>27</v>
      </c>
      <c r="BE221" s="3">
        <f t="shared" si="155"/>
        <v>42</v>
      </c>
      <c r="BF221" s="3">
        <f>AH221-AE221</f>
        <v>39</v>
      </c>
    </row>
    <row r="222" spans="1:59" s="3" customFormat="1" x14ac:dyDescent="0.2">
      <c r="A222" s="3" t="s">
        <v>358</v>
      </c>
      <c r="B222" s="3" t="str">
        <f>LOWER(VLOOKUP(A222,Xtal_Templ!A:B,2,FALSE))</f>
        <v>pe2r4_human</v>
      </c>
      <c r="C222" s="3">
        <f>VLOOKUP($A222,'SegEnds_NonXtal_BW#'!$A:$Z,3,FALSE)+D222-50</f>
        <v>17</v>
      </c>
      <c r="D222" s="3">
        <v>34</v>
      </c>
      <c r="E222" s="3">
        <f>IF(ISERROR(VLOOKUP($A222,'SegEnds_NonXtal_BW#'!$A:$Z,4,FALSE)+VLOOKUP($A222,A:AL,4,FALSE)-50),"-",(VLOOKUP($A222,'SegEnds_NonXtal_BW#'!$A:$Z,4,FALSE)+VLOOKUP($A222,A:AL,4,FALSE)-50))</f>
        <v>42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59</v>
      </c>
      <c r="J222" s="3">
        <v>72</v>
      </c>
      <c r="K222" s="3">
        <f>VLOOKUP($A222,'SegEnds_NonXtal_BW#'!$A:$Z,8,FALSE)+VLOOKUP($A222,A:AL,10,FALSE)-50</f>
        <v>89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98</v>
      </c>
      <c r="P222" s="3">
        <v>130</v>
      </c>
      <c r="Q222" s="3">
        <f>VLOOKUP($A222,'SegEnds_NonXtal_BW#'!$A:$Z,12,FALSE)+VLOOKUP($A222,A:AL,16,FALSE)-50</f>
        <v>136</v>
      </c>
      <c r="R222" s="3">
        <f>IF(ISERROR(VLOOKUP($A222,'SegEnds_NonXtal_BW#'!$A:$Z,13,FALSE)+VLOOKUP($A222,A:AL,19,FALSE)-50),"-",VLOOKUP($A222,'SegEnds_NonXtal_BW#'!$A:$Z,13,FALSE)+VLOOKUP($A222,A:AL,19,FALSE)-50)</f>
        <v>137</v>
      </c>
      <c r="S222" s="3">
        <v>137</v>
      </c>
      <c r="T222" s="100">
        <f>IF(ISERROR(VLOOKUP($A222,'SegEnds_NonXtal_BW#'!$A:$Z,14,FALSE)+VLOOKUP($A222,A:AL,19,FALSE)-50),"-",(VLOOKUP($A222,'SegEnds_NonXtal_BW#'!$A:$Z,14,FALSE)+VLOOKUP($A222,A:AL,19,FALSE)-50))</f>
        <v>144</v>
      </c>
      <c r="U222" s="9">
        <f>IF(ISERROR(VLOOKUP($A222,'SegEnds_NonXtal_BW#'!$A:$Z,15,FALSE)+VLOOKUP($A222,A:AL,22,FALSE)-50),"-",VLOOKUP($A222,'SegEnds_NonXtal_BW#'!$A:$Z,15,FALSE)+VLOOKUP($A222,A:AL,22,FALSE)-50)</f>
        <v>145</v>
      </c>
      <c r="V222" s="3">
        <v>157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183</v>
      </c>
      <c r="Y222" s="3">
        <v>183</v>
      </c>
      <c r="Z222" s="3">
        <f t="shared" si="140"/>
        <v>185</v>
      </c>
      <c r="AA222" s="3">
        <f>IF(ISERROR(VLOOKUP($A222,'SegEnds_NonXtal_BW#'!$A:$Z,19,FALSE)+VLOOKUP($A222,A:AL,28,FALSE)-50),"-",(VLOOKUP($A222,'SegEnds_NonXtal_BW#'!$A:$Z,19,FALSE)+VLOOKUP($A222,A:AL,28,FALSE)-50))</f>
        <v>195</v>
      </c>
      <c r="AB222" s="3">
        <v>212</v>
      </c>
      <c r="AC222" s="3">
        <f>IF(ISERROR((VLOOKUP($A222,'SegEnds_NonXtal_BW#'!$A:$Z,20,FALSE)+VLOOKUP($A222,A:AL,28,FALSE)-50)),"-",(VLOOKUP($A222,'SegEnds_NonXtal_BW#'!$A:$Z,20,FALSE)+VLOOKUP($A222,A:AL,28,FALSE)-50))</f>
        <v>238</v>
      </c>
      <c r="AD222" s="3">
        <f>IF(ISERROR(VLOOKUP($A222,'SegEnds_NonXtal_BW#'!$A:$Z,21,FALSE)+VLOOKUP($A222,A:AL,31,FALSE)-50),"-",(VLOOKUP($A222,'SegEnds_NonXtal_BW#'!$A:$Z,21,FALSE)+VLOOKUP($A222,A:AL,31,FALSE)-50))</f>
        <v>254</v>
      </c>
      <c r="AE222" s="3">
        <v>280</v>
      </c>
      <c r="AF222" s="3">
        <f>IF(ISERROR((VLOOKUP($A222,'SegEnds_NonXtal_BW#'!$A:$Z,22,FALSE)+VLOOKUP($A222,A:AL,31,FALSE)-50)),"-",(VLOOKUP($A222,'SegEnds_NonXtal_BW#'!$A:$Z,22,FALSE)+VLOOKUP($A222,A:AL,31,FALSE)-50))</f>
        <v>291</v>
      </c>
      <c r="AG222" s="3">
        <f>IF(ISERROR(VLOOKUP($A222,'SegEnds_NonXtal_BW#'!$A:$Z,23,FALSE)+VLOOKUP($A222,A:AL,34,FALSE)-50),"-",(VLOOKUP($A222,'SegEnds_NonXtal_BW#'!$A:$Z,23,FALSE)+VLOOKUP($A222,A:AL,34,FALSE)-50))</f>
        <v>298</v>
      </c>
      <c r="AH222" s="3">
        <v>320</v>
      </c>
      <c r="AI222" s="3">
        <f>IF(ISERROR((VLOOKUP($A222,'SegEnds_NonXtal_BW#'!$A:$Z,24,FALSE)+VLOOKUP($A222,A:AL,34,FALSE)-50)),"-",(VLOOKUP($A222,'SegEnds_NonXtal_BW#'!$A:$Z,24,FALSE)+VLOOKUP($A222,A:AL,34,FALSE)-50))</f>
        <v>326</v>
      </c>
      <c r="AJ222" s="3">
        <f>IF(ISERROR(VLOOKUP($A222,'SegEnds_NonXtal_BW#'!$A:$Z,25,FALSE)+VLOOKUP($A222,A:AL,37,FALSE)-50),"-",(VLOOKUP($A222,'SegEnds_NonXtal_BW#'!$A:$Z,25,FALSE)+VLOOKUP($A222,A:AL,37,FALSE)-50))</f>
        <v>327</v>
      </c>
      <c r="AK222" s="3">
        <v>330</v>
      </c>
      <c r="AL222" s="3">
        <f>IF(ISERROR((VLOOKUP($A222,'SegEnds_NonXtal_BW#'!$A:$Z,26,FALSE)+VLOOKUP($A222,A:AL,37,FALSE)-50)),"-",(VLOOKUP($A222,'SegEnds_NonXtal_BW#'!$A:$Z,26,FALSE)+VLOOKUP($A222,A:AL,37,FALSE)-50))</f>
        <v>340</v>
      </c>
      <c r="AM222" s="28" t="str">
        <f>VLOOKUP(A222,Classification!A:B,2,FALSE)</f>
        <v>A</v>
      </c>
      <c r="AN222" s="28" t="b">
        <f t="shared" si="156"/>
        <v>1</v>
      </c>
      <c r="AO222" s="3" t="str">
        <f>IF(ISERROR(MATCH(A222,'SegEnds_Xtal_Prot#'!B:B, 0)), "NoXtal", "Xtal")</f>
        <v>NoXtal</v>
      </c>
      <c r="AP222" s="3" t="str">
        <f t="shared" si="141"/>
        <v>-</v>
      </c>
      <c r="AQ222" s="3" t="str">
        <f t="shared" si="142"/>
        <v>-</v>
      </c>
      <c r="AR222" s="3" t="str">
        <f t="shared" si="143"/>
        <v>-</v>
      </c>
      <c r="AS222" s="3" t="str">
        <f t="shared" si="144"/>
        <v>-</v>
      </c>
      <c r="AT222" s="3">
        <f t="shared" si="145"/>
        <v>1</v>
      </c>
      <c r="AU222" s="3">
        <f t="shared" si="146"/>
        <v>1</v>
      </c>
      <c r="AV222" s="3">
        <f t="shared" si="147"/>
        <v>13</v>
      </c>
      <c r="AW222" s="3">
        <f t="shared" si="148"/>
        <v>10</v>
      </c>
      <c r="AX222" s="3">
        <f t="shared" si="149"/>
        <v>16</v>
      </c>
      <c r="AY222" s="3">
        <f t="shared" si="150"/>
        <v>7</v>
      </c>
      <c r="AZ222" s="3">
        <f t="shared" si="151"/>
        <v>1</v>
      </c>
      <c r="BA222" s="3">
        <f>IF(ISERROR(LEN(VLOOKUP(A222,Seqs!A:E,2,FALSE))-AL222),"-",LEN(VLOOKUP(A222,Seqs!A:E,2,FALSE))-AL222)</f>
        <v>19</v>
      </c>
      <c r="BB222" s="16">
        <f t="shared" si="152"/>
        <v>38</v>
      </c>
      <c r="BC222" s="9">
        <f t="shared" si="153"/>
        <v>20</v>
      </c>
      <c r="BD222" s="3">
        <f t="shared" si="154"/>
        <v>38</v>
      </c>
      <c r="BE222" s="3">
        <f t="shared" si="155"/>
        <v>68</v>
      </c>
      <c r="BF222" s="3">
        <f>AH222-AE222</f>
        <v>40</v>
      </c>
    </row>
    <row r="223" spans="1:59" s="3" customFormat="1" x14ac:dyDescent="0.2">
      <c r="A223" s="3" t="s">
        <v>359</v>
      </c>
      <c r="B223" s="3" t="str">
        <f>LOWER(VLOOKUP(A223,Xtal_Templ!A:B,2,FALSE))</f>
        <v>pd2r2_human</v>
      </c>
      <c r="C223" s="3">
        <f>VLOOKUP($A223,'SegEnds_NonXtal_BW#'!$A:$Z,3,FALSE)+D223-50</f>
        <v>32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64</v>
      </c>
      <c r="J223" s="3">
        <v>77</v>
      </c>
      <c r="K223" s="3">
        <f>VLOOKUP($A223,'SegEnds_NonXtal_BW#'!$A:$Z,8,FALSE)+VLOOKUP($A223,A:AL,10,FALSE)-50</f>
        <v>94</v>
      </c>
      <c r="L223" s="3">
        <f>M223-1</f>
        <v>96</v>
      </c>
      <c r="M223" s="3">
        <v>97</v>
      </c>
      <c r="N223" s="3">
        <f>M223+2</f>
        <v>99</v>
      </c>
      <c r="O223" s="3">
        <f>N223+1</f>
        <v>100</v>
      </c>
      <c r="P223" s="3">
        <v>129</v>
      </c>
      <c r="Q223" s="3">
        <f>VLOOKUP($A223,'SegEnds_NonXtal_BW#'!$A:$Z,12,FALSE)+VLOOKUP($A223,A:AL,16,FALSE)-50</f>
        <v>135</v>
      </c>
      <c r="R223" s="3">
        <f>IF(ISERROR(VLOOKUP($A223,'SegEnds_NonXtal_BW#'!$A:$Z,13,FALSE)+VLOOKUP($A223,A:AL,19,FALSE)-50),"-",VLOOKUP($A223,'SegEnds_NonXtal_BW#'!$A:$Z,13,FALSE)+VLOOKUP($A223,A:AL,19,FALSE)-50)</f>
        <v>136</v>
      </c>
      <c r="S223" s="3">
        <v>136</v>
      </c>
      <c r="T223" s="100">
        <f>IF(ISERROR(VLOOKUP($A223,'SegEnds_NonXtal_BW#'!$A:$Z,14,FALSE)+VLOOKUP($A223,A:AL,19,FALSE)-50),"-",(VLOOKUP($A223,'SegEnds_NonXtal_BW#'!$A:$Z,14,FALSE)+VLOOKUP($A223,A:AL,19,FALSE)-50))</f>
        <v>143</v>
      </c>
      <c r="U223" s="9">
        <f>IF(ISERROR(VLOOKUP($A223,'SegEnds_NonXtal_BW#'!$A:$Z,15,FALSE)+VLOOKUP($A223,A:AL,22,FALSE)-50),"-",VLOOKUP($A223,'SegEnds_NonXtal_BW#'!$A:$Z,15,FALSE)+VLOOKUP($A223,A:AL,22,FALSE)-50)</f>
        <v>144</v>
      </c>
      <c r="V223" s="3">
        <v>156</v>
      </c>
      <c r="W223" s="3">
        <f>IF(ISERROR(VLOOKUP($A223,'SegEnds_NonXtal_BW#'!$A:$Z,16,FALSE)+VLOOKUP($A223,A:AL,22,FALSE)-50),"-",(VLOOKUP($A223,'SegEnds_NonXtal_BW#'!$A:$Z,16,FALSE)+VLOOKUP($A223,A:AL,22,FALSE)-50))</f>
        <v>170</v>
      </c>
      <c r="X223" s="3">
        <f>IF(ISERROR(VLOOKUP($A223,'SegEnds_NonXtal_BW#'!$A:$Z,17,FALSE)+VLOOKUP($A223,A:AL,25,FALSE)-50),"-",(VLOOKUP($A223,'SegEnds_NonXtal_BW#'!$A:$Z,17,FALSE)+VLOOKUP($A223,A:AL,25,FALSE)-50))</f>
        <v>182</v>
      </c>
      <c r="Y223" s="3">
        <v>182</v>
      </c>
      <c r="Z223" s="3">
        <f t="shared" si="140"/>
        <v>184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218</v>
      </c>
      <c r="AC223" s="3">
        <f>IF(ISERROR((VLOOKUP($A223,'SegEnds_NonXtal_BW#'!$A:$Z,20,FALSE)+VLOOKUP($A223,A:AL,28,FALSE)-50)),"-",(VLOOKUP($A223,'SegEnds_NonXtal_BW#'!$A:$Z,20,FALSE)+VLOOKUP($A223,A:AL,28,FALSE)-50))</f>
        <v>236</v>
      </c>
      <c r="AD223" s="3">
        <f>IF(ISERROR(VLOOKUP($A223,'SegEnds_NonXtal_BW#'!$A:$Z,21,FALSE)+VLOOKUP($A223,A:AL,31,FALSE)-50),"-",(VLOOKUP($A223,'SegEnds_NonXtal_BW#'!$A:$Z,21,FALSE)+VLOOKUP($A223,A:AL,31,FALSE)-50))</f>
        <v>241</v>
      </c>
      <c r="AE223" s="3">
        <v>261</v>
      </c>
      <c r="AF223" s="3">
        <f>IF(ISERROR((VLOOKUP($A223,'SegEnds_NonXtal_BW#'!$A:$Z,22,FALSE)+VLOOKUP($A223,A:AL,31,FALSE)-50)),"-",(VLOOKUP($A223,'SegEnds_NonXtal_BW#'!$A:$Z,22,FALSE)+VLOOKUP($A223,A:AL,31,FALSE)-50))</f>
        <v>272</v>
      </c>
      <c r="AG223" s="3">
        <f>IF(ISERROR(VLOOKUP($A223,'SegEnds_NonXtal_BW#'!$A:$Z,23,FALSE)+VLOOKUP($A223,A:AL,34,FALSE)-50),"-",(VLOOKUP($A223,'SegEnds_NonXtal_BW#'!$A:$Z,23,FALSE)+VLOOKUP($A223,A:AL,34,FALSE)-50))</f>
        <v>278</v>
      </c>
      <c r="AH223" s="3">
        <v>301</v>
      </c>
      <c r="AI223" s="3">
        <f>IF(ISERROR((VLOOKUP($A223,'SegEnds_NonXtal_BW#'!$A:$Z,24,FALSE)+VLOOKUP($A223,A:AL,34,FALSE)-50)),"-",(VLOOKUP($A223,'SegEnds_NonXtal_BW#'!$A:$Z,24,FALSE)+VLOOKUP($A223,A:AL,34,FALSE)-50))</f>
        <v>307</v>
      </c>
      <c r="AJ223" s="3">
        <f>IF(ISERROR(VLOOKUP($A223,'SegEnds_NonXtal_BW#'!$A:$Z,25,FALSE)+VLOOKUP($A223,A:AL,37,FALSE)-50),"-",(VLOOKUP($A223,'SegEnds_NonXtal_BW#'!$A:$Z,25,FALSE)+VLOOKUP($A223,A:AL,37,FALSE)-50))</f>
        <v>308</v>
      </c>
      <c r="AK223" s="3">
        <v>311</v>
      </c>
      <c r="AL223" s="3">
        <f>IF(ISERROR((VLOOKUP($A223,'SegEnds_NonXtal_BW#'!$A:$Z,26,FALSE)+VLOOKUP($A223,A:AL,37,FALSE)-50)),"-",(VLOOKUP($A223,'SegEnds_NonXtal_BW#'!$A:$Z,26,FALSE)+VLOOKUP($A223,A:AL,37,FALSE)-50))</f>
        <v>325</v>
      </c>
      <c r="AM223" s="28" t="str">
        <f>VLOOKUP(A223,Classification!A:B,2,FALSE)</f>
        <v>A</v>
      </c>
      <c r="AN223" s="28" t="b">
        <f t="shared" si="156"/>
        <v>1</v>
      </c>
      <c r="AO223" s="3" t="str">
        <f>IF(ISERROR(MATCH(A223,'SegEnds_Xtal_Prot#'!B:B, 0)), "NoXtal", "Xtal")</f>
        <v>Xtal</v>
      </c>
      <c r="AP223" s="3" t="str">
        <f t="shared" si="141"/>
        <v>-</v>
      </c>
      <c r="AQ223" s="3" t="str">
        <f t="shared" si="142"/>
        <v>-</v>
      </c>
      <c r="AR223" s="3">
        <f t="shared" si="143"/>
        <v>2</v>
      </c>
      <c r="AS223" s="3">
        <f t="shared" si="144"/>
        <v>1</v>
      </c>
      <c r="AT223" s="3">
        <f t="shared" si="145"/>
        <v>1</v>
      </c>
      <c r="AU223" s="3">
        <f t="shared" si="146"/>
        <v>1</v>
      </c>
      <c r="AV223" s="3">
        <f t="shared" si="147"/>
        <v>12</v>
      </c>
      <c r="AW223" s="3">
        <f t="shared" si="148"/>
        <v>10</v>
      </c>
      <c r="AX223" s="3">
        <f t="shared" si="149"/>
        <v>5</v>
      </c>
      <c r="AY223" s="3">
        <f t="shared" si="150"/>
        <v>6</v>
      </c>
      <c r="AZ223" s="3">
        <f t="shared" si="151"/>
        <v>1</v>
      </c>
      <c r="BA223" s="3">
        <f>IF(ISERROR(LEN(VLOOKUP(A223,Seqs!A:E,2,FALSE))-AL223),"-",LEN(VLOOKUP(A223,Seqs!A:E,2,FALSE))-AL223)</f>
        <v>70</v>
      </c>
      <c r="BB223" s="16">
        <f t="shared" si="152"/>
        <v>27</v>
      </c>
      <c r="BC223" s="9">
        <f t="shared" si="153"/>
        <v>20</v>
      </c>
      <c r="BD223" s="3">
        <f t="shared" si="154"/>
        <v>27</v>
      </c>
      <c r="BE223" s="3">
        <f t="shared" si="155"/>
        <v>43</v>
      </c>
    </row>
    <row r="224" spans="1:59" s="3" customFormat="1" x14ac:dyDescent="0.2">
      <c r="A224" s="3" t="s">
        <v>360</v>
      </c>
      <c r="B224" s="3" t="str">
        <f>LOWER(VLOOKUP(A224,Xtal_Templ!A:B,2,FALSE))</f>
        <v>ta2r_human</v>
      </c>
      <c r="C224" s="3">
        <f>VLOOKUP($A224,'SegEnds_NonXtal_BW#'!$A:$Z,3,FALSE)+D224-50</f>
        <v>35</v>
      </c>
      <c r="D224" s="3">
        <v>50</v>
      </c>
      <c r="E224" s="3">
        <f>IF(ISERROR(VLOOKUP($A224,'SegEnds_NonXtal_BW#'!$A:$Z,4,FALSE)+VLOOKUP($A224,A:AL,4,FALSE)-50),"-",(VLOOKUP($A224,'SegEnds_NonXtal_BW#'!$A:$Z,4,FALSE)+VLOOKUP($A224,A:AL,4,FALSE)-50))</f>
        <v>61</v>
      </c>
      <c r="F224" s="3">
        <f>G224-2</f>
        <v>62</v>
      </c>
      <c r="G224" s="3">
        <v>64</v>
      </c>
      <c r="H224" s="3">
        <f>G224+1</f>
        <v>65</v>
      </c>
      <c r="I224" s="3">
        <f>H224+1</f>
        <v>66</v>
      </c>
      <c r="J224" s="3">
        <v>84</v>
      </c>
      <c r="K224" s="3">
        <f>VLOOKUP($A224,'SegEnds_NonXtal_BW#'!$A:$Z,8,FALSE)+VLOOKUP($A224,A:AL,10,FALSE)-50</f>
        <v>100</v>
      </c>
      <c r="L224" s="3">
        <f>M224-1</f>
        <v>103</v>
      </c>
      <c r="M224" s="3">
        <v>104</v>
      </c>
      <c r="N224" s="3">
        <f>M224+2</f>
        <v>106</v>
      </c>
      <c r="O224" s="3">
        <f>N224+1</f>
        <v>107</v>
      </c>
      <c r="P224" s="3">
        <v>135</v>
      </c>
      <c r="Q224" s="3">
        <f>VLOOKUP($A224,'SegEnds_NonXtal_BW#'!$A:$Z,12,FALSE)+VLOOKUP($A224,A:AL,16,FALSE)-50</f>
        <v>141</v>
      </c>
      <c r="R224" s="3">
        <f>IF(ISERROR(VLOOKUP($A224,'SegEnds_NonXtal_BW#'!$A:$Z,13,FALSE)+VLOOKUP($A224,A:AL,19,FALSE)-50),"-",VLOOKUP($A224,'SegEnds_NonXtal_BW#'!$A:$Z,13,FALSE)+VLOOKUP($A224,A:AL,19,FALSE)-50)</f>
        <v>142</v>
      </c>
      <c r="S224" s="3">
        <v>142</v>
      </c>
      <c r="T224" s="100">
        <f>IF(ISERROR(VLOOKUP($A224,'SegEnds_NonXtal_BW#'!$A:$Z,14,FALSE)+VLOOKUP($A224,A:AL,19,FALSE)-50),"-",(VLOOKUP($A224,'SegEnds_NonXtal_BW#'!$A:$Z,14,FALSE)+VLOOKUP($A224,A:AL,19,FALSE)-50))</f>
        <v>149</v>
      </c>
      <c r="U224" s="9">
        <f>IF(ISERROR(VLOOKUP($A224,'SegEnds_NonXtal_BW#'!$A:$Z,15,FALSE)+VLOOKUP($A224,A:AL,22,FALSE)-50),"-",VLOOKUP($A224,'SegEnds_NonXtal_BW#'!$A:$Z,15,FALSE)+VLOOKUP($A224,A:AL,22,FALSE)-50)</f>
        <v>150</v>
      </c>
      <c r="V224" s="3">
        <v>162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188</v>
      </c>
      <c r="Y224" s="3">
        <v>188</v>
      </c>
      <c r="Z224" s="3">
        <f t="shared" si="140"/>
        <v>190</v>
      </c>
      <c r="AA224" s="3">
        <f>IF(ISERROR(VLOOKUP($A224,'SegEnds_NonXtal_BW#'!$A:$Z,19,FALSE)+VLOOKUP($A224,A:AL,28,FALSE)-50),"-",(VLOOKUP($A224,'SegEnds_NonXtal_BW#'!$A:$Z,19,FALSE)+VLOOKUP($A224,A:AL,28,FALSE)-50))</f>
        <v>197</v>
      </c>
      <c r="AB224" s="3">
        <v>216</v>
      </c>
      <c r="AC224" s="3">
        <f>IF(ISERROR((VLOOKUP($A224,'SegEnds_NonXtal_BW#'!$A:$Z,20,FALSE)+VLOOKUP($A224,A:AL,28,FALSE)-50)),"-",(VLOOKUP($A224,'SegEnds_NonXtal_BW#'!$A:$Z,20,FALSE)+VLOOKUP($A224,A:AL,28,FALSE)-50))</f>
        <v>240</v>
      </c>
      <c r="AD224" s="3">
        <f>IF(ISERROR(VLOOKUP($A224,'SegEnds_NonXtal_BW#'!$A:$Z,21,FALSE)+VLOOKUP($A224,A:AL,31,FALSE)-50),"-",(VLOOKUP($A224,'SegEnds_NonXtal_BW#'!$A:$Z,21,FALSE)+VLOOKUP($A224,A:AL,31,FALSE)-50))</f>
        <v>286</v>
      </c>
      <c r="AE224" s="3">
        <v>312</v>
      </c>
      <c r="AF224" s="3">
        <f>IF(ISERROR((VLOOKUP($A224,'SegEnds_NonXtal_BW#'!$A:$Z,22,FALSE)+VLOOKUP($A224,A:AL,31,FALSE)-50)),"-",(VLOOKUP($A224,'SegEnds_NonXtal_BW#'!$A:$Z,22,FALSE)+VLOOKUP($A224,A:AL,31,FALSE)-50))</f>
        <v>323</v>
      </c>
      <c r="AG224" s="3">
        <f>IF(ISERROR(VLOOKUP($A224,'SegEnds_NonXtal_BW#'!$A:$Z,23,FALSE)+VLOOKUP($A224,A:AL,34,FALSE)-50),"-",(VLOOKUP($A224,'SegEnds_NonXtal_BW#'!$A:$Z,23,FALSE)+VLOOKUP($A224,A:AL,34,FALSE)-50))</f>
        <v>329</v>
      </c>
      <c r="AH224" s="3">
        <v>348</v>
      </c>
      <c r="AI224" s="3">
        <f>IF(ISERROR((VLOOKUP($A224,'SegEnds_NonXtal_BW#'!$A:$Z,24,FALSE)+VLOOKUP($A224,A:AL,34,FALSE)-50)),"-",(VLOOKUP($A224,'SegEnds_NonXtal_BW#'!$A:$Z,24,FALSE)+VLOOKUP($A224,A:AL,34,FALSE)-50))</f>
        <v>354</v>
      </c>
      <c r="AJ224" s="3">
        <f>IF(ISERROR(VLOOKUP($A224,'SegEnds_NonXtal_BW#'!$A:$Z,25,FALSE)+VLOOKUP($A224,A:AL,37,FALSE)-50),"-",(VLOOKUP($A224,'SegEnds_NonXtal_BW#'!$A:$Z,25,FALSE)+VLOOKUP($A224,A:AL,37,FALSE)-50))</f>
        <v>355</v>
      </c>
      <c r="AK224" s="3">
        <v>358</v>
      </c>
      <c r="AL224" s="3">
        <f>IF(ISERROR((VLOOKUP($A224,'SegEnds_NonXtal_BW#'!$A:$Z,26,FALSE)+VLOOKUP($A224,A:AL,37,FALSE)-50)),"-",(VLOOKUP($A224,'SegEnds_NonXtal_BW#'!$A:$Z,26,FALSE)+VLOOKUP($A224,A:AL,37,FALSE)-50))</f>
        <v>374</v>
      </c>
      <c r="AM224" s="28" t="str">
        <f>VLOOKUP(A224,Classification!A:B,2,FALSE)</f>
        <v>A</v>
      </c>
      <c r="AN224" s="28" t="b">
        <f t="shared" si="156"/>
        <v>1</v>
      </c>
      <c r="AO224" s="3" t="str">
        <f>IF(ISERROR(MATCH(A224,'SegEnds_Xtal_Prot#'!B:B, 0)), "NoXtal", "Xtal")</f>
        <v>NoXtal</v>
      </c>
      <c r="AP224" s="3">
        <f t="shared" si="141"/>
        <v>1</v>
      </c>
      <c r="AQ224" s="3">
        <f t="shared" si="142"/>
        <v>1</v>
      </c>
      <c r="AR224" s="3">
        <f t="shared" si="143"/>
        <v>3</v>
      </c>
      <c r="AS224" s="3">
        <f t="shared" si="144"/>
        <v>1</v>
      </c>
      <c r="AT224" s="3">
        <f t="shared" si="145"/>
        <v>1</v>
      </c>
      <c r="AU224" s="3">
        <f t="shared" si="146"/>
        <v>1</v>
      </c>
      <c r="AV224" s="3">
        <f t="shared" si="147"/>
        <v>13</v>
      </c>
      <c r="AW224" s="3">
        <f t="shared" si="148"/>
        <v>7</v>
      </c>
      <c r="AX224" s="3">
        <f t="shared" si="149"/>
        <v>46</v>
      </c>
      <c r="AY224" s="3">
        <f t="shared" si="150"/>
        <v>6</v>
      </c>
      <c r="AZ224" s="3">
        <f t="shared" si="151"/>
        <v>1</v>
      </c>
      <c r="BA224" s="3">
        <f>IF(ISERROR(LEN(VLOOKUP(A224,Seqs!A:E,2,FALSE))-AL224),"-",LEN(VLOOKUP(A224,Seqs!A:E,2,FALSE))-AL224)</f>
        <v>28</v>
      </c>
      <c r="BB224" s="16">
        <f t="shared" si="152"/>
        <v>34</v>
      </c>
      <c r="BC224" s="9">
        <f t="shared" si="153"/>
        <v>20</v>
      </c>
      <c r="BD224" s="3">
        <f t="shared" si="154"/>
        <v>34</v>
      </c>
      <c r="BE224" s="3">
        <f t="shared" si="155"/>
        <v>96</v>
      </c>
    </row>
    <row r="225" spans="1:58" s="3" customFormat="1" x14ac:dyDescent="0.2">
      <c r="A225" s="3" t="s">
        <v>361</v>
      </c>
      <c r="B225" s="3" t="str">
        <f>LOWER(VLOOKUP(A225,Xtal_Templ!A:B,2,FALSE))</f>
        <v>pe2r4_human</v>
      </c>
      <c r="C225" s="3">
        <f>VLOOKUP($A225,'SegEnds_NonXtal_BW#'!$A:$Z,3,FALSE)+D225-50</f>
        <v>22</v>
      </c>
      <c r="D225" s="3">
        <v>39</v>
      </c>
      <c r="E225" s="3">
        <f>IF(ISERROR(VLOOKUP($A225,'SegEnds_NonXtal_BW#'!$A:$Z,4,FALSE)+VLOOKUP($A225,A:AL,4,FALSE)-50),"-",(VLOOKUP($A225,'SegEnds_NonXtal_BW#'!$A:$Z,4,FALSE)+VLOOKUP($A225,A:AL,4,FALSE)-50))</f>
        <v>47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78</v>
      </c>
      <c r="K225" s="3">
        <f>VLOOKUP($A225,'SegEnds_NonXtal_BW#'!$A:$Z,8,FALSE)+VLOOKUP($A225,A:AL,10,FALSE)-50</f>
        <v>95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102</v>
      </c>
      <c r="P225" s="3">
        <v>134</v>
      </c>
      <c r="Q225" s="3">
        <f>VLOOKUP($A225,'SegEnds_NonXtal_BW#'!$A:$Z,12,FALSE)+VLOOKUP($A225,A:AL,16,FALSE)-50</f>
        <v>140</v>
      </c>
      <c r="R225" s="3">
        <f>IF(ISERROR(VLOOKUP($A225,'SegEnds_NonXtal_BW#'!$A:$Z,13,FALSE)+VLOOKUP($A225,A:AL,19,FALSE)-50),"-",VLOOKUP($A225,'SegEnds_NonXtal_BW#'!$A:$Z,13,FALSE)+VLOOKUP($A225,A:AL,19,FALSE)-50)</f>
        <v>141</v>
      </c>
      <c r="S225" s="3">
        <v>141</v>
      </c>
      <c r="T225" s="100">
        <f>IF(ISERROR(VLOOKUP($A225,'SegEnds_NonXtal_BW#'!$A:$Z,14,FALSE)+VLOOKUP($A225,A:AL,19,FALSE)-50),"-",(VLOOKUP($A225,'SegEnds_NonXtal_BW#'!$A:$Z,14,FALSE)+VLOOKUP($A225,A:AL,19,FALSE)-50))</f>
        <v>148</v>
      </c>
      <c r="U225" s="9">
        <f>IF(ISERROR(VLOOKUP($A225,'SegEnds_NonXtal_BW#'!$A:$Z,15,FALSE)+VLOOKUP($A225,A:AL,22,FALSE)-50),"-",VLOOKUP($A225,'SegEnds_NonXtal_BW#'!$A:$Z,15,FALSE)+VLOOKUP($A225,A:AL,22,FALSE)-50)</f>
        <v>149</v>
      </c>
      <c r="V225" s="3">
        <v>161</v>
      </c>
      <c r="W225" s="3">
        <f>IF(ISERROR(VLOOKUP($A225,'SegEnds_NonXtal_BW#'!$A:$Z,16,FALSE)+VLOOKUP($A225,A:AL,22,FALSE)-50),"-",(VLOOKUP($A225,'SegEnds_NonXtal_BW#'!$A:$Z,16,FALSE)+VLOOKUP($A225,A:AL,22,FALSE)-50))</f>
        <v>174</v>
      </c>
      <c r="X225" s="3">
        <f>IF(ISERROR(VLOOKUP($A225,'SegEnds_NonXtal_BW#'!$A:$Z,17,FALSE)+VLOOKUP($A225,A:AL,25,FALSE)-50),"-",(VLOOKUP($A225,'SegEnds_NonXtal_BW#'!$A:$Z,17,FALSE)+VLOOKUP($A225,A:AL,25,FALSE)-50))</f>
        <v>187</v>
      </c>
      <c r="Y225" s="3">
        <v>187</v>
      </c>
      <c r="Z225" s="3">
        <f t="shared" si="140"/>
        <v>189</v>
      </c>
      <c r="AA225" s="3">
        <f>IF(ISERROR(VLOOKUP($A225,'SegEnds_NonXtal_BW#'!$A:$Z,19,FALSE)+VLOOKUP($A225,A:AL,28,FALSE)-50),"-",(VLOOKUP($A225,'SegEnds_NonXtal_BW#'!$A:$Z,19,FALSE)+VLOOKUP($A225,A:AL,28,FALSE)-50))</f>
        <v>194</v>
      </c>
      <c r="AB225" s="3">
        <v>209</v>
      </c>
      <c r="AC225" s="3">
        <f>IF(ISERROR((VLOOKUP($A225,'SegEnds_NonXtal_BW#'!$A:$Z,20,FALSE)+VLOOKUP($A225,A:AL,28,FALSE)-50)),"-",(VLOOKUP($A225,'SegEnds_NonXtal_BW#'!$A:$Z,20,FALSE)+VLOOKUP($A225,A:AL,28,FALSE)-50))</f>
        <v>235</v>
      </c>
      <c r="AD225" s="3">
        <f>IF(ISERROR(VLOOKUP($A225,'SegEnds_NonXtal_BW#'!$A:$Z,21,FALSE)+VLOOKUP($A225,A:AL,31,FALSE)-50),"-",(VLOOKUP($A225,'SegEnds_NonXtal_BW#'!$A:$Z,21,FALSE)+VLOOKUP($A225,A:AL,31,FALSE)-50))</f>
        <v>253</v>
      </c>
      <c r="AE225" s="3">
        <v>279</v>
      </c>
      <c r="AF225" s="3">
        <f>IF(ISERROR((VLOOKUP($A225,'SegEnds_NonXtal_BW#'!$A:$Z,22,FALSE)+VLOOKUP($A225,A:AL,31,FALSE)-50)),"-",(VLOOKUP($A225,'SegEnds_NonXtal_BW#'!$A:$Z,22,FALSE)+VLOOKUP($A225,A:AL,31,FALSE)-50))</f>
        <v>290</v>
      </c>
      <c r="AG225" s="3">
        <f>IF(ISERROR(VLOOKUP($A225,'SegEnds_NonXtal_BW#'!$A:$Z,23,FALSE)+VLOOKUP($A225,A:AL,34,FALSE)-50),"-",(VLOOKUP($A225,'SegEnds_NonXtal_BW#'!$A:$Z,23,FALSE)+VLOOKUP($A225,A:AL,34,FALSE)-50))</f>
        <v>295</v>
      </c>
      <c r="AH225" s="3">
        <v>312</v>
      </c>
      <c r="AI225" s="3">
        <f>IF(ISERROR((VLOOKUP($A225,'SegEnds_NonXtal_BW#'!$A:$Z,24,FALSE)+VLOOKUP($A225,A:AL,34,FALSE)-50)),"-",(VLOOKUP($A225,'SegEnds_NonXtal_BW#'!$A:$Z,24,FALSE)+VLOOKUP($A225,A:AL,34,FALSE)-50))</f>
        <v>318</v>
      </c>
      <c r="AJ225" s="3">
        <f>IF(ISERROR(VLOOKUP($A225,'SegEnds_NonXtal_BW#'!$A:$Z,25,FALSE)+VLOOKUP($A225,A:AL,37,FALSE)-50),"-",(VLOOKUP($A225,'SegEnds_NonXtal_BW#'!$A:$Z,25,FALSE)+VLOOKUP($A225,A:AL,37,FALSE)-50))</f>
        <v>319</v>
      </c>
      <c r="AK225" s="3">
        <v>322</v>
      </c>
      <c r="AL225" s="3">
        <f>IF(ISERROR((VLOOKUP($A225,'SegEnds_NonXtal_BW#'!$A:$Z,26,FALSE)+VLOOKUP($A225,A:AL,37,FALSE)-50)),"-",(VLOOKUP($A225,'SegEnds_NonXtal_BW#'!$A:$Z,26,FALSE)+VLOOKUP($A225,A:AL,37,FALSE)-50))</f>
        <v>332</v>
      </c>
      <c r="AM225" s="28" t="str">
        <f>VLOOKUP(A225,Classification!A:B,2,FALSE)</f>
        <v>A</v>
      </c>
      <c r="AN225" s="28" t="b">
        <f t="shared" si="156"/>
        <v>1</v>
      </c>
      <c r="AO225" s="3" t="str">
        <f>IF(ISERROR(MATCH(A225,'SegEnds_Xtal_Prot#'!B:B, 0)), "NoXtal", "Xtal")</f>
        <v>NoXtal</v>
      </c>
      <c r="AP225" s="3">
        <f t="shared" si="141"/>
        <v>9</v>
      </c>
      <c r="AQ225" s="3">
        <f t="shared" si="142"/>
        <v>1</v>
      </c>
      <c r="AR225" s="3" t="str">
        <f t="shared" si="143"/>
        <v>-</v>
      </c>
      <c r="AS225" s="3" t="str">
        <f t="shared" si="144"/>
        <v>-</v>
      </c>
      <c r="AT225" s="3">
        <f t="shared" si="145"/>
        <v>1</v>
      </c>
      <c r="AU225" s="3">
        <f t="shared" si="146"/>
        <v>1</v>
      </c>
      <c r="AV225" s="3">
        <f t="shared" si="147"/>
        <v>13</v>
      </c>
      <c r="AW225" s="3">
        <f t="shared" si="148"/>
        <v>5</v>
      </c>
      <c r="AX225" s="3">
        <f t="shared" si="149"/>
        <v>18</v>
      </c>
      <c r="AY225" s="3">
        <f t="shared" si="150"/>
        <v>5</v>
      </c>
      <c r="AZ225" s="3">
        <f t="shared" si="151"/>
        <v>1</v>
      </c>
      <c r="BA225" s="3">
        <f>IF(ISERROR(LEN(VLOOKUP(A225,Seqs!A:E,2,FALSE))-AL225),"-",LEN(VLOOKUP(A225,Seqs!A:E,2,FALSE))-AL225)</f>
        <v>26</v>
      </c>
      <c r="BB225" s="16">
        <f t="shared" si="152"/>
        <v>39</v>
      </c>
      <c r="BC225" s="9">
        <f t="shared" si="153"/>
        <v>20</v>
      </c>
      <c r="BD225" s="3">
        <f t="shared" si="154"/>
        <v>39</v>
      </c>
      <c r="BE225" s="3">
        <f t="shared" si="155"/>
        <v>70</v>
      </c>
      <c r="BF225" s="3">
        <f>AH225-AE225</f>
        <v>33</v>
      </c>
    </row>
    <row r="226" spans="1:58" s="3" customFormat="1" x14ac:dyDescent="0.2">
      <c r="A226" s="3" t="s">
        <v>362</v>
      </c>
      <c r="B226" s="3" t="str">
        <f>LOWER(VLOOKUP(A226,Xtal_Templ!A:B,2,FALSE))</f>
        <v>pe2r3_human</v>
      </c>
      <c r="C226" s="3">
        <f>VLOOKUP($A226,'SegEnds_NonXtal_BW#'!$A:$Z,3,FALSE)+D226-50</f>
        <v>52</v>
      </c>
      <c r="D226" s="3">
        <v>66</v>
      </c>
      <c r="E226" s="3">
        <f>IF(ISERROR(VLOOKUP($A226,'SegEnds_NonXtal_BW#'!$A:$Z,4,FALSE)+VLOOKUP($A226,A:AL,4,FALSE)-50),"-",(VLOOKUP($A226,'SegEnds_NonXtal_BW#'!$A:$Z,4,FALSE)+VLOOKUP($A226,A:AL,4,FALSE)-50))</f>
        <v>78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86</v>
      </c>
      <c r="J226" s="3">
        <v>99</v>
      </c>
      <c r="K226" s="3">
        <f>VLOOKUP($A226,'SegEnds_NonXtal_BW#'!$A:$Z,8,FALSE)+VLOOKUP($A226,A:AL,10,FALSE)-50</f>
        <v>117</v>
      </c>
      <c r="L226" s="3">
        <f>M226-1</f>
        <v>119</v>
      </c>
      <c r="M226" s="3">
        <v>120</v>
      </c>
      <c r="N226" s="3">
        <f>M226+2</f>
        <v>122</v>
      </c>
      <c r="O226" s="3">
        <f>N226+1</f>
        <v>123</v>
      </c>
      <c r="P226" s="3">
        <v>155</v>
      </c>
      <c r="Q226" s="3">
        <f>VLOOKUP($A226,'SegEnds_NonXtal_BW#'!$A:$Z,12,FALSE)+VLOOKUP($A226,A:AL,16,FALSE)-50</f>
        <v>161</v>
      </c>
      <c r="R226" s="3">
        <f>IF(ISERROR(VLOOKUP($A226,'SegEnds_NonXtal_BW#'!$A:$Z,13,FALSE)+VLOOKUP($A226,A:AL,19,FALSE)-50),"-",VLOOKUP($A226,'SegEnds_NonXtal_BW#'!$A:$Z,13,FALSE)+VLOOKUP($A226,A:AL,19,FALSE)-50)</f>
        <v>162</v>
      </c>
      <c r="S226" s="3">
        <v>162</v>
      </c>
      <c r="T226" s="100">
        <f>IF(ISERROR(VLOOKUP($A226,'SegEnds_NonXtal_BW#'!$A:$Z,14,FALSE)+VLOOKUP($A226,A:AL,19,FALSE)-50),"-",(VLOOKUP($A226,'SegEnds_NonXtal_BW#'!$A:$Z,14,FALSE)+VLOOKUP($A226,A:AL,19,FALSE)-50))</f>
        <v>169</v>
      </c>
      <c r="U226" s="9">
        <f>IF(ISERROR(VLOOKUP($A226,'SegEnds_NonXtal_BW#'!$A:$Z,15,FALSE)+VLOOKUP($A226,A:AL,22,FALSE)-50),"-",VLOOKUP($A226,'SegEnds_NonXtal_BW#'!$A:$Z,15,FALSE)+VLOOKUP($A226,A:AL,22,FALSE)-50)</f>
        <v>170</v>
      </c>
      <c r="V226" s="3">
        <v>182</v>
      </c>
      <c r="W226" s="3">
        <f>IF(ISERROR(VLOOKUP($A226,'SegEnds_NonXtal_BW#'!$A:$Z,16,FALSE)+VLOOKUP($A226,A:AL,22,FALSE)-50),"-",(VLOOKUP($A226,'SegEnds_NonXtal_BW#'!$A:$Z,16,FALSE)+VLOOKUP($A226,A:AL,22,FALSE)-50))</f>
        <v>195</v>
      </c>
      <c r="X226" s="3">
        <f>Y226</f>
        <v>208</v>
      </c>
      <c r="Y226" s="3">
        <v>208</v>
      </c>
      <c r="Z226" s="3">
        <f t="shared" si="140"/>
        <v>210</v>
      </c>
      <c r="AA226" s="3">
        <f>IF(ISERROR(VLOOKUP($A226,'SegEnds_NonXtal_BW#'!$A:$Z,19,FALSE)+VLOOKUP($A226,A:AL,28,FALSE)-50),"-",(VLOOKUP($A226,'SegEnds_NonXtal_BW#'!$A:$Z,19,FALSE)+VLOOKUP($A226,A:AL,28,FALSE)-50))</f>
        <v>225</v>
      </c>
      <c r="AB226" s="3">
        <v>241</v>
      </c>
      <c r="AC226" s="3">
        <f>IF(ISERROR((VLOOKUP($A226,'SegEnds_NonXtal_BW#'!$A:$Z,20,FALSE)+VLOOKUP($A226,A:AL,28,FALSE)-50)),"-",(VLOOKUP($A226,'SegEnds_NonXtal_BW#'!$A:$Z,20,FALSE)+VLOOKUP($A226,A:AL,28,FALSE)-50))</f>
        <v>264</v>
      </c>
      <c r="AD226" s="3">
        <f>IF(ISERROR(VLOOKUP($A226,'SegEnds_NonXtal_BW#'!$A:$Z,21,FALSE)+VLOOKUP($A226,A:AL,31,FALSE)-50),"-",(VLOOKUP($A226,'SegEnds_NonXtal_BW#'!$A:$Z,21,FALSE)+VLOOKUP($A226,A:AL,31,FALSE)-50))</f>
        <v>269</v>
      </c>
      <c r="AE226" s="3">
        <v>297</v>
      </c>
      <c r="AF226" s="3">
        <f>IF(ISERROR((VLOOKUP($A226,'SegEnds_NonXtal_BW#'!$A:$Z,22,FALSE)+VLOOKUP($A226,A:AL,31,FALSE)-50)),"-",(VLOOKUP($A226,'SegEnds_NonXtal_BW#'!$A:$Z,22,FALSE)+VLOOKUP($A226,A:AL,31,FALSE)-50))</f>
        <v>311</v>
      </c>
      <c r="AG226" s="3">
        <f>IF(ISERROR(VLOOKUP($A226,'SegEnds_NonXtal_BW#'!$A:$Z,23,FALSE)+VLOOKUP($A226,A:AL,34,FALSE)-50),"-",(VLOOKUP($A226,'SegEnds_NonXtal_BW#'!$A:$Z,23,FALSE)+VLOOKUP($A226,A:AL,34,FALSE)-50))</f>
        <v>317</v>
      </c>
      <c r="AH226" s="3">
        <v>343</v>
      </c>
      <c r="AI226" s="3">
        <f>IF(ISERROR((VLOOKUP($A226,'SegEnds_NonXtal_BW#'!$A:$Z,24,FALSE)+VLOOKUP($A226,A:AL,34,FALSE)-50)),"-",(VLOOKUP($A226,'SegEnds_NonXtal_BW#'!$A:$Z,24,FALSE)+VLOOKUP($A226,A:AL,34,FALSE)-50))</f>
        <v>346</v>
      </c>
      <c r="AJ226" s="3">
        <f>IF(ISERROR(VLOOKUP($A226,'SegEnds_NonXtal_BW#'!$A:$Z,25,FALSE)+VLOOKUP($A226,A:AL,37,FALSE)-50),"-",(VLOOKUP($A226,'SegEnds_NonXtal_BW#'!$A:$Z,25,FALSE)+VLOOKUP($A226,A:AL,37,FALSE)-50))</f>
        <v>347</v>
      </c>
      <c r="AK226" s="3">
        <v>353</v>
      </c>
      <c r="AL226" s="3">
        <f>IF(ISERROR((VLOOKUP($A226,'SegEnds_NonXtal_BW#'!$A:$Z,26,FALSE)+VLOOKUP($A226,A:AL,37,FALSE)-50)),"-",(VLOOKUP($A226,'SegEnds_NonXtal_BW#'!$A:$Z,26,FALSE)+VLOOKUP($A226,A:AL,37,FALSE)-50))</f>
        <v>369</v>
      </c>
      <c r="AM226" s="28" t="str">
        <f>VLOOKUP(A226,Classification!A:B,2,FALSE)</f>
        <v>A</v>
      </c>
      <c r="AN226" s="28" t="b">
        <f t="shared" si="156"/>
        <v>1</v>
      </c>
      <c r="AO226" s="3" t="str">
        <f>IF(ISERROR(MATCH(A226,'SegEnds_Xtal_Prot#'!B:B, 0)), "NoXtal", "Xtal")</f>
        <v>Xtal</v>
      </c>
      <c r="AP226" s="3" t="str">
        <f t="shared" si="141"/>
        <v>-</v>
      </c>
      <c r="AQ226" s="3" t="str">
        <f t="shared" si="142"/>
        <v>-</v>
      </c>
      <c r="AR226" s="3">
        <f t="shared" si="143"/>
        <v>2</v>
      </c>
      <c r="AS226" s="3">
        <f t="shared" si="144"/>
        <v>1</v>
      </c>
      <c r="AT226" s="3">
        <f t="shared" si="145"/>
        <v>1</v>
      </c>
      <c r="AU226" s="3">
        <f t="shared" si="146"/>
        <v>1</v>
      </c>
      <c r="AV226" s="3">
        <f t="shared" si="147"/>
        <v>13</v>
      </c>
      <c r="AW226" s="3">
        <f t="shared" si="148"/>
        <v>15</v>
      </c>
      <c r="AX226" s="3">
        <f t="shared" si="149"/>
        <v>5</v>
      </c>
      <c r="AY226" s="3">
        <f t="shared" si="150"/>
        <v>6</v>
      </c>
      <c r="AZ226" s="3">
        <f t="shared" si="151"/>
        <v>1</v>
      </c>
      <c r="BA226" s="3">
        <f>IF(ISERROR(LEN(VLOOKUP(A226,Seqs!A:E,2,FALSE))-AL226),"-",LEN(VLOOKUP(A226,Seqs!A:E,2,FALSE))-AL226)</f>
        <v>21</v>
      </c>
      <c r="BB226" s="16">
        <f t="shared" si="152"/>
        <v>33</v>
      </c>
      <c r="BC226" s="9">
        <f t="shared" si="153"/>
        <v>20</v>
      </c>
      <c r="BD226" s="3">
        <f t="shared" si="154"/>
        <v>33</v>
      </c>
      <c r="BE226" s="3">
        <f t="shared" si="155"/>
        <v>56</v>
      </c>
      <c r="BF226" s="3">
        <f>AH226-AE226</f>
        <v>46</v>
      </c>
    </row>
    <row r="227" spans="1:58" s="3" customFormat="1" x14ac:dyDescent="0.2">
      <c r="A227" s="3" t="s">
        <v>363</v>
      </c>
      <c r="B227" s="3" t="str">
        <f>LOWER(VLOOKUP(A227,Xtal_Templ!A:B,2,FALSE))</f>
        <v>pe2r4_human</v>
      </c>
      <c r="C227" s="3">
        <f>VLOOKUP($A227,'SegEnds_NonXtal_BW#'!$A:$Z,3,FALSE)+D227-50</f>
        <v>18</v>
      </c>
      <c r="D227" s="3">
        <v>35</v>
      </c>
      <c r="E227" s="3">
        <f>IF(ISERROR(VLOOKUP($A227,'SegEnds_NonXtal_BW#'!$A:$Z,4,FALSE)+VLOOKUP($A227,A:AL,4,FALSE)-50),"-",(VLOOKUP($A227,'SegEnds_NonXtal_BW#'!$A:$Z,4,FALSE)+VLOOKUP($A227,A:AL,4,FALSE)-50))</f>
        <v>43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52</v>
      </c>
      <c r="J227" s="3">
        <v>65</v>
      </c>
      <c r="K227" s="3">
        <f>VLOOKUP($A227,'SegEnds_NonXtal_BW#'!$A:$Z,8,FALSE)+VLOOKUP($A227,A:AL,10,FALSE)-50</f>
        <v>82</v>
      </c>
      <c r="L227" s="3">
        <f>M227-1</f>
        <v>84</v>
      </c>
      <c r="M227" s="3">
        <v>85</v>
      </c>
      <c r="N227" s="3">
        <f>M227+2</f>
        <v>87</v>
      </c>
      <c r="O227" s="3">
        <f>VLOOKUP($A227,'SegEnds_NonXtal_BW#'!$A:$Z,11,FALSE)+VLOOKUP($A227,A:AL,16,FALSE)-50</f>
        <v>88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0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157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IF(ISERROR(VLOOKUP($A227,'SegEnds_NonXtal_BW#'!$A:$Z,18,FALSE)+VLOOKUP($A227,A:AL,25,FALSE)-50),"-",(VLOOKUP($A227,'SegEnds_NonXtal_BW#'!$A:$Z,18,FALSE)+VLOOKUP($A227,A:AL,25,FALSE)-50))</f>
        <v>172</v>
      </c>
      <c r="AA227" s="3">
        <f>IF(ISERROR(VLOOKUP($A227,'SegEnds_NonXtal_BW#'!$A:$Z,19,FALSE)+VLOOKUP($A227,A:AL,28,FALSE)-50),"-",(VLOOKUP($A227,'SegEnds_NonXtal_BW#'!$A:$Z,19,FALSE)+VLOOKUP($A227,A:AL,28,FALSE)-50))</f>
        <v>178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221</v>
      </c>
      <c r="AD227" s="3">
        <f>IF(ISERROR(VLOOKUP($A227,'SegEnds_NonXtal_BW#'!$A:$Z,21,FALSE)+VLOOKUP($A227,A:AL,31,FALSE)-50),"-",(VLOOKUP($A227,'SegEnds_NonXtal_BW#'!$A:$Z,21,FALSE)+VLOOKUP($A227,A:AL,31,FALSE)-50))</f>
        <v>261</v>
      </c>
      <c r="AE227" s="3">
        <v>287</v>
      </c>
      <c r="AF227" s="3">
        <f>IF(ISERROR((VLOOKUP($A227,'SegEnds_NonXtal_BW#'!$A:$Z,22,FALSE)+VLOOKUP($A227,A:AL,31,FALSE)-50)),"-",(VLOOKUP($A227,'SegEnds_NonXtal_BW#'!$A:$Z,22,FALSE)+VLOOKUP($A227,A:AL,31,FALSE)-50))</f>
        <v>298</v>
      </c>
      <c r="AG227" s="3">
        <f>IF(ISERROR(VLOOKUP($A227,'SegEnds_NonXtal_BW#'!$A:$Z,23,FALSE)+VLOOKUP($A227,A:AL,34,FALSE)-50),"-",(VLOOKUP($A227,'SegEnds_NonXtal_BW#'!$A:$Z,23,FALSE)+VLOOKUP($A227,A:AL,34,FALSE)-50))</f>
        <v>309</v>
      </c>
      <c r="AH227" s="3">
        <v>326</v>
      </c>
      <c r="AI227" s="3">
        <f>IF(ISERROR((VLOOKUP($A227,'SegEnds_NonXtal_BW#'!$A:$Z,24,FALSE)+VLOOKUP($A227,A:AL,34,FALSE)-50)),"-",(VLOOKUP($A227,'SegEnds_NonXtal_BW#'!$A:$Z,24,FALSE)+VLOOKUP($A227,A:AL,34,FALSE)-50))</f>
        <v>332</v>
      </c>
      <c r="AJ227" s="3">
        <f>IF(ISERROR(VLOOKUP($A227,'SegEnds_NonXtal_BW#'!$A:$Z,25,FALSE)+VLOOKUP($A227,A:AL,37,FALSE)-50),"-",(VLOOKUP($A227,'SegEnds_NonXtal_BW#'!$A:$Z,25,FALSE)+VLOOKUP($A227,A:AL,37,FALSE)-50))</f>
        <v>333</v>
      </c>
      <c r="AK227" s="3">
        <v>336</v>
      </c>
      <c r="AL227" s="3">
        <f>IF(ISERROR((VLOOKUP($A227,'SegEnds_NonXtal_BW#'!$A:$Z,26,FALSE)+VLOOKUP($A227,A:AL,37,FALSE)-50)),"-",(VLOOKUP($A227,'SegEnds_NonXtal_BW#'!$A:$Z,26,FALSE)+VLOOKUP($A227,A:AL,37,FALSE)-50))</f>
        <v>346</v>
      </c>
      <c r="AM227" s="28" t="str">
        <f>VLOOKUP(A227,Classification!A:B,2,FALSE)</f>
        <v>A</v>
      </c>
      <c r="AN227" s="28" t="b">
        <f t="shared" si="156"/>
        <v>1</v>
      </c>
      <c r="AO227" s="3" t="str">
        <f>IF(ISERROR(MATCH(A227,'SegEnds_Xtal_Prot#'!B:B, 0)), "NoXtal", "Xtal")</f>
        <v>Xtal</v>
      </c>
      <c r="AP227" s="3" t="str">
        <f t="shared" si="141"/>
        <v>-</v>
      </c>
      <c r="AQ227" s="3" t="str">
        <f t="shared" si="142"/>
        <v>-</v>
      </c>
      <c r="AR227" s="3">
        <f t="shared" si="143"/>
        <v>2</v>
      </c>
      <c r="AS227" s="3">
        <f t="shared" si="144"/>
        <v>1</v>
      </c>
      <c r="AT227" s="3">
        <f t="shared" si="145"/>
        <v>1</v>
      </c>
      <c r="AU227" s="3">
        <f t="shared" si="146"/>
        <v>1</v>
      </c>
      <c r="AV227" s="3">
        <f t="shared" si="147"/>
        <v>13</v>
      </c>
      <c r="AW227" s="3">
        <f t="shared" si="148"/>
        <v>6</v>
      </c>
      <c r="AX227" s="3">
        <f t="shared" si="149"/>
        <v>40</v>
      </c>
      <c r="AY227" s="3">
        <f t="shared" si="150"/>
        <v>11</v>
      </c>
      <c r="AZ227" s="3">
        <f t="shared" si="151"/>
        <v>1</v>
      </c>
      <c r="BA227" s="3">
        <f>IF(ISERROR(LEN(VLOOKUP(A227,Seqs!A:E,2,FALSE))-AL227),"-",LEN(VLOOKUP(A227,Seqs!A:E,2,FALSE))-AL227)</f>
        <v>142</v>
      </c>
      <c r="BB227" s="16">
        <f t="shared" si="152"/>
        <v>30</v>
      </c>
      <c r="BC227" s="9">
        <f t="shared" si="153"/>
        <v>20</v>
      </c>
      <c r="BD227" s="3">
        <f t="shared" si="154"/>
        <v>30</v>
      </c>
      <c r="BE227" s="3">
        <f t="shared" si="155"/>
        <v>92</v>
      </c>
    </row>
    <row r="228" spans="1:58" s="3" customFormat="1" x14ac:dyDescent="0.2">
      <c r="A228" s="3" t="s">
        <v>364</v>
      </c>
      <c r="B228" s="3" t="str">
        <f>LOWER(VLOOKUP(A228,Xtal_Templ!A:B,2,FALSE))</f>
        <v>ta2r_human</v>
      </c>
      <c r="C228" s="3">
        <f>VLOOKUP($A228,'SegEnds_NonXtal_BW#'!$A:$Z,3,FALSE)+D228-50</f>
        <v>29</v>
      </c>
      <c r="D228" s="3">
        <v>44</v>
      </c>
      <c r="E228" s="3">
        <f>IF(ISERROR(VLOOKUP($A228,'SegEnds_NonXtal_BW#'!$A:$Z,4,FALSE)+VLOOKUP($A228,A:AL,4,FALSE)-50),"-",(VLOOKUP($A228,'SegEnds_NonXtal_BW#'!$A:$Z,4,FALSE)+VLOOKUP($A228,A:AL,4,FALSE)-50))</f>
        <v>55</v>
      </c>
      <c r="F228" s="3">
        <f>G228-2</f>
        <v>56</v>
      </c>
      <c r="G228" s="3">
        <v>58</v>
      </c>
      <c r="H228" s="3">
        <f>G228+1</f>
        <v>59</v>
      </c>
      <c r="I228" s="3">
        <f>H228+1</f>
        <v>60</v>
      </c>
      <c r="J228" s="3">
        <v>77</v>
      </c>
      <c r="K228" s="3">
        <f>VLOOKUP($A228,'SegEnds_NonXtal_BW#'!$A:$Z,8,FALSE)+VLOOKUP($A228,A:AL,10,FALSE)-50</f>
        <v>94</v>
      </c>
      <c r="L228" s="3">
        <f>M228-1</f>
        <v>97</v>
      </c>
      <c r="M228" s="3">
        <v>98</v>
      </c>
      <c r="N228" s="3">
        <f>M228+2</f>
        <v>100</v>
      </c>
      <c r="O228" s="3">
        <f>N228+1</f>
        <v>101</v>
      </c>
      <c r="P228" s="3">
        <v>133</v>
      </c>
      <c r="Q228" s="3">
        <f>VLOOKUP($A228,'SegEnds_NonXtal_BW#'!$A:$Z,12,FALSE)+VLOOKUP($A228,A:AL,16,FALSE)-50</f>
        <v>139</v>
      </c>
      <c r="R228" s="3">
        <f>IF(ISERROR(VLOOKUP($A228,'SegEnds_NonXtal_BW#'!$A:$Z,13,FALSE)+VLOOKUP($A228,A:AL,19,FALSE)-50),"-",VLOOKUP($A228,'SegEnds_NonXtal_BW#'!$A:$Z,13,FALSE)+VLOOKUP($A228,A:AL,19,FALSE)-50)</f>
        <v>140</v>
      </c>
      <c r="S228" s="3">
        <v>140</v>
      </c>
      <c r="T228" s="100">
        <f>IF(ISERROR(VLOOKUP($A228,'SegEnds_NonXtal_BW#'!$A:$Z,14,FALSE)+VLOOKUP($A228,A:AL,19,FALSE)-50),"-",(VLOOKUP($A228,'SegEnds_NonXtal_BW#'!$A:$Z,14,FALSE)+VLOOKUP($A228,A:AL,19,FALSE)-50))</f>
        <v>147</v>
      </c>
      <c r="U228" s="9">
        <f>IF(ISERROR(VLOOKUP($A228,'SegEnds_NonXtal_BW#'!$A:$Z,15,FALSE)+VLOOKUP($A228,A:AL,22,FALSE)-50),"-",VLOOKUP($A228,'SegEnds_NonXtal_BW#'!$A:$Z,15,FALSE)+VLOOKUP($A228,A:AL,22,FALSE)-50)</f>
        <v>148</v>
      </c>
      <c r="V228" s="3">
        <v>160</v>
      </c>
      <c r="W228" s="3">
        <f>IF(ISERROR(VLOOKUP($A228,'SegEnds_NonXtal_BW#'!$A:$Z,16,FALSE)+VLOOKUP($A228,A:AL,22,FALSE)-50),"-",(VLOOKUP($A228,'SegEnds_NonXtal_BW#'!$A:$Z,16,FALSE)+VLOOKUP($A228,A:AL,22,FALSE)-50))</f>
        <v>173</v>
      </c>
      <c r="X228" s="3">
        <f>IF(ISERROR(VLOOKUP($A228,'SegEnds_NonXtal_BW#'!$A:$Z,17,FALSE)+VLOOKUP($A228,A:AL,25,FALSE)-50),"-",(VLOOKUP($A228,'SegEnds_NonXtal_BW#'!$A:$Z,17,FALSE)+VLOOKUP($A228,A:AL,25,FALSE)-50))</f>
        <v>186</v>
      </c>
      <c r="Y228" s="3">
        <v>186</v>
      </c>
      <c r="Z228" s="3">
        <f t="shared" ref="Z228:Z233" si="161">Y228+2</f>
        <v>188</v>
      </c>
      <c r="AA228" s="3">
        <f>IF(ISERROR(VLOOKUP($A228,'SegEnds_NonXtal_BW#'!$A:$Z,19,FALSE)+VLOOKUP($A228,A:AL,28,FALSE)-50),"-",(VLOOKUP($A228,'SegEnds_NonXtal_BW#'!$A:$Z,19,FALSE)+VLOOKUP($A228,A:AL,28,FALSE)-50))</f>
        <v>199</v>
      </c>
      <c r="AB228" s="3">
        <v>214</v>
      </c>
      <c r="AC228" s="3">
        <f>IF(ISERROR((VLOOKUP($A228,'SegEnds_NonXtal_BW#'!$A:$Z,20,FALSE)+VLOOKUP($A228,A:AL,28,FALSE)-50)),"-",(VLOOKUP($A228,'SegEnds_NonXtal_BW#'!$A:$Z,20,FALSE)+VLOOKUP($A228,A:AL,28,FALSE)-50))</f>
        <v>236</v>
      </c>
      <c r="AD228" s="3">
        <f>IF(ISERROR(VLOOKUP($A228,'SegEnds_NonXtal_BW#'!$A:$Z,21,FALSE)+VLOOKUP($A228,A:AL,31,FALSE)-50),"-",(VLOOKUP($A228,'SegEnds_NonXtal_BW#'!$A:$Z,21,FALSE)+VLOOKUP($A228,A:AL,31,FALSE)-50))</f>
        <v>243</v>
      </c>
      <c r="AE228" s="3">
        <v>264</v>
      </c>
      <c r="AF228" s="3">
        <f>IF(ISERROR((VLOOKUP($A228,'SegEnds_NonXtal_BW#'!$A:$Z,22,FALSE)+VLOOKUP($A228,A:AL,31,FALSE)-50)),"-",(VLOOKUP($A228,'SegEnds_NonXtal_BW#'!$A:$Z,22,FALSE)+VLOOKUP($A228,A:AL,31,FALSE)-50))</f>
        <v>275</v>
      </c>
      <c r="AG228" s="3">
        <f>IF(ISERROR(VLOOKUP($A228,'SegEnds_NonXtal_BW#'!$A:$Z,23,FALSE)+VLOOKUP($A228,A:AL,34,FALSE)-50),"-",(VLOOKUP($A228,'SegEnds_NonXtal_BW#'!$A:$Z,23,FALSE)+VLOOKUP($A228,A:AL,34,FALSE)-50))</f>
        <v>282</v>
      </c>
      <c r="AH228" s="3">
        <v>301</v>
      </c>
      <c r="AI228" s="3">
        <f>IF(ISERROR((VLOOKUP($A228,'SegEnds_NonXtal_BW#'!$A:$Z,24,FALSE)+VLOOKUP($A228,A:AL,34,FALSE)-50)),"-",(VLOOKUP($A228,'SegEnds_NonXtal_BW#'!$A:$Z,24,FALSE)+VLOOKUP($A228,A:AL,34,FALSE)-50))</f>
        <v>307</v>
      </c>
      <c r="AJ228" s="3">
        <f>IF(ISERROR(VLOOKUP($A228,'SegEnds_NonXtal_BW#'!$A:$Z,25,FALSE)+VLOOKUP($A228,A:AL,37,FALSE)-50),"-",(VLOOKUP($A228,'SegEnds_NonXtal_BW#'!$A:$Z,25,FALSE)+VLOOKUP($A228,A:AL,37,FALSE)-50))</f>
        <v>308</v>
      </c>
      <c r="AK228" s="3">
        <v>311</v>
      </c>
      <c r="AL228" s="3">
        <f>IF(ISERROR((VLOOKUP($A228,'SegEnds_NonXtal_BW#'!$A:$Z,26,FALSE)+VLOOKUP($A228,A:AL,37,FALSE)-50)),"-",(VLOOKUP($A228,'SegEnds_NonXtal_BW#'!$A:$Z,26,FALSE)+VLOOKUP($A228,A:AL,37,FALSE)-50))</f>
        <v>327</v>
      </c>
      <c r="AM228" s="28" t="str">
        <f>VLOOKUP(A228,Classification!A:B,2,FALSE)</f>
        <v>A</v>
      </c>
      <c r="AN228" s="28" t="b">
        <f t="shared" si="156"/>
        <v>1</v>
      </c>
      <c r="AO228" s="3" t="str">
        <f>IF(ISERROR(MATCH(A228,'SegEnds_Xtal_Prot#'!B:B, 0)), "NoXtal", "Xtal")</f>
        <v>NoXtal</v>
      </c>
      <c r="AP228" s="3">
        <f t="shared" si="141"/>
        <v>1</v>
      </c>
      <c r="AQ228" s="3">
        <f t="shared" si="142"/>
        <v>1</v>
      </c>
      <c r="AR228" s="3">
        <f t="shared" si="143"/>
        <v>3</v>
      </c>
      <c r="AS228" s="3">
        <f t="shared" si="144"/>
        <v>1</v>
      </c>
      <c r="AT228" s="3">
        <f t="shared" si="145"/>
        <v>1</v>
      </c>
      <c r="AU228" s="3">
        <f t="shared" si="146"/>
        <v>1</v>
      </c>
      <c r="AV228" s="3">
        <f t="shared" si="147"/>
        <v>13</v>
      </c>
      <c r="AW228" s="3">
        <f t="shared" si="148"/>
        <v>11</v>
      </c>
      <c r="AX228" s="3">
        <f t="shared" si="149"/>
        <v>7</v>
      </c>
      <c r="AY228" s="3">
        <f t="shared" si="150"/>
        <v>7</v>
      </c>
      <c r="AZ228" s="3">
        <f t="shared" si="151"/>
        <v>1</v>
      </c>
      <c r="BA228" s="3">
        <f>IF(ISERROR(LEN(VLOOKUP(A228,Seqs!A:E,2,FALSE))-AL228),"-",LEN(VLOOKUP(A228,Seqs!A:E,2,FALSE))-AL228)</f>
        <v>32</v>
      </c>
      <c r="BB228" s="16">
        <f t="shared" si="152"/>
        <v>33</v>
      </c>
      <c r="BC228" s="9">
        <f t="shared" si="153"/>
        <v>20</v>
      </c>
      <c r="BD228" s="3">
        <f t="shared" si="154"/>
        <v>33</v>
      </c>
      <c r="BE228" s="3">
        <f t="shared" si="155"/>
        <v>50</v>
      </c>
    </row>
    <row r="229" spans="1:58" s="3" customFormat="1" x14ac:dyDescent="0.2">
      <c r="A229" s="3" t="s">
        <v>365</v>
      </c>
      <c r="B229" s="3" t="str">
        <f>LOWER(VLOOKUP(A229,Xtal_Templ!A:B,2,FALSE))</f>
        <v>pe2r4_human</v>
      </c>
      <c r="C229" s="3">
        <f>VLOOKUP($A229,'SegEnds_NonXtal_BW#'!$A:$Z,3,FALSE)+D229-50</f>
        <v>14</v>
      </c>
      <c r="D229" s="3">
        <v>31</v>
      </c>
      <c r="E229" s="3">
        <f>IF(ISERROR(VLOOKUP($A229,'SegEnds_NonXtal_BW#'!$A:$Z,4,FALSE)+VLOOKUP($A229,A:AL,4,FALSE)-50),"-",(VLOOKUP($A229,'SegEnds_NonXtal_BW#'!$A:$Z,4,FALSE)+VLOOKUP($A229,A:AL,4,FALSE)-50))</f>
        <v>39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 t="str">
        <f>IF(ISERROR(VLOOKUP($A229,'SegEnds_NonXtal_BW#'!$A:$Z,9,FALSE)+VLOOKUP($A229,A:AL,13,FALSE)-50),"-",(VLOOKUP($A229,'SegEnds_NonXtal_BW#'!$A:$Z,9,FALSE)+VLOOKUP($A229,A:AL,13,FALSE)-50))</f>
        <v>-</v>
      </c>
      <c r="M229" s="3" t="s">
        <v>23</v>
      </c>
      <c r="N229" s="3" t="str">
        <f>IF(ISERROR(VLOOKUP($A229,'SegEnds_NonXtal_BW#'!$A:$Z,10,FALSE)+VLOOKUP($A229,A:AL,13,FALSE)-50),"-",(VLOOKUP($A229,'SegEnds_NonXtal_BW#'!$A:$Z,10,FALSE)+VLOOKUP($A229,A:AL,13,FALSE)-50))</f>
        <v>-</v>
      </c>
      <c r="O229" s="3">
        <f>VLOOKUP($A229,'SegEnds_NonXtal_BW#'!$A:$Z,11,FALSE)+VLOOKUP($A229,A:AL,16,FALSE)-50</f>
        <v>85</v>
      </c>
      <c r="P229" s="3">
        <v>117</v>
      </c>
      <c r="Q229" s="3">
        <f>VLOOKUP($A229,'SegEnds_NonXtal_BW#'!$A:$Z,12,FALSE)+VLOOKUP($A229,A:AL,16,FALSE)-50</f>
        <v>123</v>
      </c>
      <c r="R229" s="3">
        <f>IF(ISERROR(VLOOKUP($A229,'SegEnds_NonXtal_BW#'!$A:$Z,13,FALSE)+VLOOKUP($A229,A:AL,19,FALSE)-50),"-",VLOOKUP($A229,'SegEnds_NonXtal_BW#'!$A:$Z,13,FALSE)+VLOOKUP($A229,A:AL,19,FALSE)-50)</f>
        <v>124</v>
      </c>
      <c r="S229" s="3">
        <v>124</v>
      </c>
      <c r="T229" s="100">
        <f>IF(ISERROR(VLOOKUP($A229,'SegEnds_NonXtal_BW#'!$A:$Z,14,FALSE)+VLOOKUP($A229,A:AL,19,FALSE)-50),"-",(VLOOKUP($A229,'SegEnds_NonXtal_BW#'!$A:$Z,14,FALSE)+VLOOKUP($A229,A:AL,19,FALSE)-50))</f>
        <v>131</v>
      </c>
      <c r="U229" s="9">
        <f>IF(ISERROR(VLOOKUP($A229,'SegEnds_NonXtal_BW#'!$A:$Z,15,FALSE)+VLOOKUP($A229,A:AL,22,FALSE)-50),"-",VLOOKUP($A229,'SegEnds_NonXtal_BW#'!$A:$Z,15,FALSE)+VLOOKUP($A229,A:AL,22,FALSE)-50)</f>
        <v>132</v>
      </c>
      <c r="V229" s="3">
        <v>144</v>
      </c>
      <c r="W229" s="3">
        <f>IF(ISERROR(VLOOKUP($A229,'SegEnds_NonXtal_BW#'!$A:$Z,16,FALSE)+VLOOKUP($A229,A:AL,22,FALSE)-50),"-",(VLOOKUP($A229,'SegEnds_NonXtal_BW#'!$A:$Z,16,FALSE)+VLOOKUP($A229,A:AL,22,FALSE)-50))</f>
        <v>157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61"/>
        <v>172</v>
      </c>
      <c r="AA229" s="3">
        <f>IF(ISERROR(VLOOKUP($A229,'SegEnds_NonXtal_BW#'!$A:$Z,19,FALSE)+VLOOKUP($A229,A:AL,28,FALSE)-50),"-",(VLOOKUP($A229,'SegEnds_NonXtal_BW#'!$A:$Z,19,FALSE)+VLOOKUP($A229,A:AL,28,FALSE)-50))</f>
        <v>180</v>
      </c>
      <c r="AB229" s="3">
        <v>197</v>
      </c>
      <c r="AC229" s="3">
        <f>IF(ISERROR((VLOOKUP($A229,'SegEnds_NonXtal_BW#'!$A:$Z,20,FALSE)+VLOOKUP($A229,A:AL,28,FALSE)-50)),"-",(VLOOKUP($A229,'SegEnds_NonXtal_BW#'!$A:$Z,20,FALSE)+VLOOKUP($A229,A:AL,28,FALSE)-50))</f>
        <v>220</v>
      </c>
      <c r="AD229" s="3">
        <f>IF(ISERROR(VLOOKUP($A229,'SegEnds_NonXtal_BW#'!$A:$Z,21,FALSE)+VLOOKUP($A229,A:AL,31,FALSE)-50),"-",(VLOOKUP($A229,'SegEnds_NonXtal_BW#'!$A:$Z,21,FALSE)+VLOOKUP($A229,A:AL,31,FALSE)-50))</f>
        <v>226</v>
      </c>
      <c r="AE229" s="3">
        <v>254</v>
      </c>
      <c r="AF229" s="3">
        <f>IF(ISERROR((VLOOKUP($A229,'SegEnds_NonXtal_BW#'!$A:$Z,22,FALSE)+VLOOKUP($A229,A:AL,31,FALSE)-50)),"-",(VLOOKUP($A229,'SegEnds_NonXtal_BW#'!$A:$Z,22,FALSE)+VLOOKUP($A229,A:AL,31,FALSE)-50))</f>
        <v>265</v>
      </c>
      <c r="AG229" s="3">
        <f>IF(ISERROR(VLOOKUP($A229,'SegEnds_NonXtal_BW#'!$A:$Z,23,FALSE)+VLOOKUP($A229,A:AL,34,FALSE)-50),"-",(VLOOKUP($A229,'SegEnds_NonXtal_BW#'!$A:$Z,23,FALSE)+VLOOKUP($A229,A:AL,34,FALSE)-50))</f>
        <v>270</v>
      </c>
      <c r="AH229" s="3">
        <v>289</v>
      </c>
      <c r="AI229" s="3">
        <f>IF(ISERROR((VLOOKUP($A229,'SegEnds_NonXtal_BW#'!$A:$Z,24,FALSE)+VLOOKUP($A229,A:AL,34,FALSE)-50)),"-",(VLOOKUP($A229,'SegEnds_NonXtal_BW#'!$A:$Z,24,FALSE)+VLOOKUP($A229,A:AL,34,FALSE)-50))</f>
        <v>295</v>
      </c>
      <c r="AJ229" s="3">
        <f>IF(ISERROR(VLOOKUP($A229,'SegEnds_NonXtal_BW#'!$A:$Z,25,FALSE)+VLOOKUP($A229,A:AL,37,FALSE)-50),"-",(VLOOKUP($A229,'SegEnds_NonXtal_BW#'!$A:$Z,25,FALSE)+VLOOKUP($A229,A:AL,37,FALSE)-50))</f>
        <v>296</v>
      </c>
      <c r="AK229" s="3">
        <v>299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6"/>
        <v>1</v>
      </c>
      <c r="AO229" s="3" t="str">
        <f>IF(ISERROR(MATCH(A229,'SegEnds_Xtal_Prot#'!B:B, 0)), "NoXtal", "Xtal")</f>
        <v>NoXtal</v>
      </c>
      <c r="AP229" s="3" t="str">
        <f t="shared" si="141"/>
        <v>-</v>
      </c>
      <c r="AQ229" s="3" t="str">
        <f t="shared" si="142"/>
        <v>-</v>
      </c>
      <c r="AR229" s="3" t="str">
        <f t="shared" si="143"/>
        <v>-</v>
      </c>
      <c r="AS229" s="3" t="str">
        <f t="shared" si="144"/>
        <v>-</v>
      </c>
      <c r="AT229" s="3">
        <f t="shared" si="145"/>
        <v>1</v>
      </c>
      <c r="AU229" s="3">
        <f t="shared" si="146"/>
        <v>1</v>
      </c>
      <c r="AV229" s="3">
        <f t="shared" si="147"/>
        <v>13</v>
      </c>
      <c r="AW229" s="3">
        <f t="shared" si="148"/>
        <v>8</v>
      </c>
      <c r="AX229" s="3">
        <f t="shared" si="149"/>
        <v>6</v>
      </c>
      <c r="AY229" s="3">
        <f t="shared" si="150"/>
        <v>5</v>
      </c>
      <c r="AZ229" s="3">
        <f t="shared" si="151"/>
        <v>1</v>
      </c>
      <c r="BA229" s="3">
        <f>IF(ISERROR(LEN(VLOOKUP(A229,Seqs!A:E,2,FALSE))-AL229),"-",LEN(VLOOKUP(A229,Seqs!A:E,2,FALSE))-AL229)</f>
        <v>77</v>
      </c>
      <c r="BB229" s="16">
        <f t="shared" si="152"/>
        <v>29</v>
      </c>
      <c r="BC229" s="9">
        <f t="shared" si="153"/>
        <v>20</v>
      </c>
      <c r="BD229" s="3">
        <f t="shared" si="154"/>
        <v>29</v>
      </c>
      <c r="BE229" s="3">
        <f t="shared" si="155"/>
        <v>57</v>
      </c>
    </row>
    <row r="230" spans="1:58" s="3" customFormat="1" x14ac:dyDescent="0.2">
      <c r="A230" s="3" t="s">
        <v>369</v>
      </c>
      <c r="B230" s="3" t="str">
        <f>LOWER(VLOOKUP(A230,Xtal_Templ!A:B,2,FALSE))</f>
        <v>p2ry1_human</v>
      </c>
      <c r="C230" s="3">
        <f>VLOOKUP($A230,'SegEnds_NonXtal_BW#'!$A:$Z,3,FALSE)+D230-50</f>
        <v>12</v>
      </c>
      <c r="D230" s="3">
        <v>32</v>
      </c>
      <c r="E230" s="3">
        <f>IF(ISERROR(VLOOKUP($A230,'SegEnds_NonXtal_BW#'!$A:$Z,4,FALSE)+VLOOKUP($A230,A:AL,4,FALSE)-50),"-",(VLOOKUP($A230,'SegEnds_NonXtal_BW#'!$A:$Z,4,FALSE)+VLOOKUP($A230,A:AL,4,FALSE)-50))</f>
        <v>42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47</v>
      </c>
      <c r="J230" s="3">
        <v>60</v>
      </c>
      <c r="K230" s="3">
        <f>VLOOKUP($A230,'SegEnds_NonXtal_BW#'!$A:$Z,8,FALSE)+VLOOKUP($A230,A:AL,10,FALSE)-50</f>
        <v>76</v>
      </c>
      <c r="L230" s="3">
        <f>M230-1</f>
        <v>79</v>
      </c>
      <c r="M230" s="3">
        <v>80</v>
      </c>
      <c r="N230" s="3">
        <f>M230+2</f>
        <v>82</v>
      </c>
      <c r="O230" s="3">
        <f t="shared" ref="O230:O253" si="162">N230+1</f>
        <v>83</v>
      </c>
      <c r="P230" s="3">
        <v>112</v>
      </c>
      <c r="Q230" s="3">
        <f>VLOOKUP($A230,'SegEnds_NonXtal_BW#'!$A:$Z,12,FALSE)+VLOOKUP($A230,A:AL,16,FALSE)-50</f>
        <v>118</v>
      </c>
      <c r="R230" s="3">
        <f>IF(ISERROR(VLOOKUP($A230,'SegEnds_NonXtal_BW#'!$A:$Z,13,FALSE)+VLOOKUP($A230,A:AL,19,FALSE)-50),"-",VLOOKUP($A230,'SegEnds_NonXtal_BW#'!$A:$Z,13,FALSE)+VLOOKUP($A230,A:AL,19,FALSE)-50)</f>
        <v>119</v>
      </c>
      <c r="S230" s="3">
        <v>119</v>
      </c>
      <c r="T230" s="100">
        <f>IF(ISERROR(VLOOKUP($A230,'SegEnds_NonXtal_BW#'!$A:$Z,14,FALSE)+VLOOKUP($A230,A:AL,19,FALSE)-50),"-",(VLOOKUP($A230,'SegEnds_NonXtal_BW#'!$A:$Z,14,FALSE)+VLOOKUP($A230,A:AL,19,FALSE)-50))</f>
        <v>126</v>
      </c>
      <c r="U230" s="9">
        <f>IF(ISERROR(VLOOKUP($A230,'SegEnds_NonXtal_BW#'!$A:$Z,15,FALSE)+VLOOKUP($A230,A:AL,22,FALSE)-50),"-",VLOOKUP($A230,'SegEnds_NonXtal_BW#'!$A:$Z,15,FALSE)+VLOOKUP($A230,A:AL,22,FALSE)-50)</f>
        <v>127</v>
      </c>
      <c r="V230" s="3">
        <v>139</v>
      </c>
      <c r="W230" s="3">
        <f>IF(ISERROR(VLOOKUP($A230,'SegEnds_NonXtal_BW#'!$A:$Z,16,FALSE)+VLOOKUP($A230,A:AL,22,FALSE)-50),"-",(VLOOKUP($A230,'SegEnds_NonXtal_BW#'!$A:$Z,16,FALSE)+VLOOKUP($A230,A:AL,22,FALSE)-50))</f>
        <v>153</v>
      </c>
      <c r="X230" s="3">
        <f>IF(ISERROR(VLOOKUP($A230,'SegEnds_NonXtal_BW#'!$A:$Z,17,FALSE)+VLOOKUP($A230,A:AL,25,FALSE)-50),"-",(VLOOKUP($A230,'SegEnds_NonXtal_BW#'!$A:$Z,17,FALSE)+VLOOKUP($A230,A:AL,25,FALSE)-50))</f>
        <v>170</v>
      </c>
      <c r="Y230" s="3">
        <v>170</v>
      </c>
      <c r="Z230" s="3">
        <f t="shared" si="161"/>
        <v>172</v>
      </c>
      <c r="AA230" s="3">
        <f>IF(ISERROR(VLOOKUP($A230,'SegEnds_NonXtal_BW#'!$A:$Z,19,FALSE)+VLOOKUP($A230,A:AL,28,FALSE)-50),"-",(VLOOKUP($A230,'SegEnds_NonXtal_BW#'!$A:$Z,19,FALSE)+VLOOKUP($A230,A:AL,28,FALSE)-50))</f>
        <v>177</v>
      </c>
      <c r="AB230" s="3">
        <v>195</v>
      </c>
      <c r="AC230" s="3">
        <f>IF(ISERROR((VLOOKUP($A230,'SegEnds_NonXtal_BW#'!$A:$Z,20,FALSE)+VLOOKUP($A230,A:AL,28,FALSE)-50)),"-",(VLOOKUP($A230,'SegEnds_NonXtal_BW#'!$A:$Z,20,FALSE)+VLOOKUP($A230,A:AL,28,FALSE)-50))</f>
        <v>212</v>
      </c>
      <c r="AD230" s="3">
        <f>IF(ISERROR(VLOOKUP($A230,'SegEnds_NonXtal_BW#'!$A:$Z,21,FALSE)+VLOOKUP($A230,A:AL,31,FALSE)-50),"-",(VLOOKUP($A230,'SegEnds_NonXtal_BW#'!$A:$Z,21,FALSE)+VLOOKUP($A230,A:AL,31,FALSE)-50))</f>
        <v>217</v>
      </c>
      <c r="AE230" s="3">
        <v>241</v>
      </c>
      <c r="AF230" s="3">
        <f>IF(ISERROR((VLOOKUP($A230,'SegEnds_NonXtal_BW#'!$A:$Z,22,FALSE)+VLOOKUP($A230,A:AL,31,FALSE)-50)),"-",(VLOOKUP($A230,'SegEnds_NonXtal_BW#'!$A:$Z,22,FALSE)+VLOOKUP($A230,A:AL,31,FALSE)-50))</f>
        <v>255</v>
      </c>
      <c r="AG230" s="3">
        <f>IF(ISERROR(VLOOKUP($A230,'SegEnds_NonXtal_BW#'!$A:$Z,23,FALSE)+VLOOKUP($A230,A:AL,34,FALSE)-50),"-",(VLOOKUP($A230,'SegEnds_NonXtal_BW#'!$A:$Z,23,FALSE)+VLOOKUP($A230,A:AL,34,FALSE)-50))</f>
        <v>261</v>
      </c>
      <c r="AH230" s="3">
        <v>287</v>
      </c>
      <c r="AI230" s="3">
        <f>IF(ISERROR((VLOOKUP($A230,'SegEnds_NonXtal_BW#'!$A:$Z,24,FALSE)+VLOOKUP($A230,A:AL,34,FALSE)-50)),"-",(VLOOKUP($A230,'SegEnds_NonXtal_BW#'!$A:$Z,24,FALSE)+VLOOKUP($A230,A:AL,34,FALSE)-50))</f>
        <v>293</v>
      </c>
      <c r="AJ230" s="3">
        <f>IF(ISERROR(VLOOKUP($A230,'SegEnds_NonXtal_BW#'!$A:$Z,25,FALSE)+VLOOKUP($A230,A:AL,37,FALSE)-50),"-",(VLOOKUP($A230,'SegEnds_NonXtal_BW#'!$A:$Z,25,FALSE)+VLOOKUP($A230,A:AL,37,FALSE)-50))</f>
        <v>294</v>
      </c>
      <c r="AK230" s="3">
        <v>297</v>
      </c>
      <c r="AL230" s="3">
        <f>IF(ISERROR((VLOOKUP($A230,'SegEnds_NonXtal_BW#'!$A:$Z,26,FALSE)+VLOOKUP($A230,A:AL,37,FALSE)-50)),"-",(VLOOKUP($A230,'SegEnds_NonXtal_BW#'!$A:$Z,26,FALSE)+VLOOKUP($A230,A:AL,37,FALSE)-50))</f>
        <v>306</v>
      </c>
      <c r="AM230" s="28" t="str">
        <f>VLOOKUP(A230,Classification!A:B,2,FALSE)</f>
        <v>A</v>
      </c>
      <c r="AN230" s="28" t="b">
        <f t="shared" si="156"/>
        <v>1</v>
      </c>
      <c r="AO230" s="3" t="str">
        <f>IF(ISERROR(MATCH(A230,'SegEnds_Xtal_Prot#'!B:B, 0)), "NoXtal", "Xtal")</f>
        <v>NoXtal</v>
      </c>
      <c r="AP230" s="3" t="str">
        <f t="shared" si="141"/>
        <v>-</v>
      </c>
      <c r="AQ230" s="3" t="str">
        <f t="shared" si="142"/>
        <v>-</v>
      </c>
      <c r="AR230" s="3">
        <f t="shared" si="143"/>
        <v>3</v>
      </c>
      <c r="AS230" s="3">
        <f t="shared" si="144"/>
        <v>1</v>
      </c>
      <c r="AT230" s="3">
        <f t="shared" si="145"/>
        <v>1</v>
      </c>
      <c r="AU230" s="3">
        <f t="shared" si="146"/>
        <v>1</v>
      </c>
      <c r="AV230" s="3">
        <f t="shared" si="147"/>
        <v>17</v>
      </c>
      <c r="AW230" s="3">
        <f t="shared" si="148"/>
        <v>5</v>
      </c>
      <c r="AX230" s="3">
        <f t="shared" si="149"/>
        <v>5</v>
      </c>
      <c r="AY230" s="3">
        <f t="shared" si="150"/>
        <v>6</v>
      </c>
      <c r="AZ230" s="3">
        <f t="shared" si="151"/>
        <v>1</v>
      </c>
      <c r="BA230" s="3">
        <f>IF(ISERROR(LEN(VLOOKUP(A230,Seqs!A:E,2,FALSE))-AL230),"-",LEN(VLOOKUP(A230,Seqs!A:E,2,FALSE))-AL230)</f>
        <v>31</v>
      </c>
      <c r="BB230" s="16">
        <f t="shared" si="152"/>
        <v>28</v>
      </c>
      <c r="BC230" s="9">
        <f t="shared" si="153"/>
        <v>20</v>
      </c>
      <c r="BD230" s="3">
        <f t="shared" si="154"/>
        <v>28</v>
      </c>
      <c r="BE230" s="3">
        <f t="shared" si="155"/>
        <v>46</v>
      </c>
    </row>
    <row r="231" spans="1:58" s="3" customFormat="1" x14ac:dyDescent="0.2">
      <c r="A231" s="3" t="s">
        <v>370</v>
      </c>
      <c r="B231" s="3" t="str">
        <f>LOWER(VLOOKUP(A231,Xtal_Templ!A:B,2,FALSE))</f>
        <v>ptafr_human</v>
      </c>
      <c r="C231" s="3">
        <f>VLOOKUP($A231,'SegEnds_NonXtal_BW#'!$A:$Z,3,FALSE)+D231-50</f>
        <v>10</v>
      </c>
      <c r="D231" s="3">
        <v>33</v>
      </c>
      <c r="E231" s="3">
        <f>IF(ISERROR(VLOOKUP($A231,'SegEnds_NonXtal_BW#'!$A:$Z,4,FALSE)+VLOOKUP($A231,A:AL,4,FALSE)-50),"-",(VLOOKUP($A231,'SegEnds_NonXtal_BW#'!$A:$Z,4,FALSE)+VLOOKUP($A231,A:AL,4,FALSE)-50))</f>
        <v>44</v>
      </c>
      <c r="F231" s="3" t="str">
        <f>IF(ISERROR(VLOOKUP($A231,'SegEnds_NonXtal_BW#'!$A:$Z,5,FALSE)+VLOOKUP($A231,A:AL,7,FALSE)-50),"-",(VLOOKUP($A231,'SegEnds_NonXtal_BW#'!$A:$Z,5,FALSE)+VLOOKUP($A231,A:AL,7,FALSE)-50))</f>
        <v>-</v>
      </c>
      <c r="G231" s="3" t="s">
        <v>23</v>
      </c>
      <c r="H231" s="3" t="str">
        <f>IF(ISERROR(VLOOKUP($A231,'SegEnds_NonXtal_BW#'!$A:$Z,6,FALSE)+VLOOKUP($A231,A:AL,7,FALSE)-50),"-",(VLOOKUP($A231,'SegEnds_NonXtal_BW#'!$A:$Z,6,FALSE)+VLOOKUP($A231,A:AL,7,FALSE)-50))</f>
        <v>-</v>
      </c>
      <c r="I231" s="3">
        <f>VLOOKUP($A231,'SegEnds_NonXtal_BW#'!$A:$Z,7,FALSE)+J231-50</f>
        <v>49</v>
      </c>
      <c r="J231" s="3">
        <v>63</v>
      </c>
      <c r="K231" s="3">
        <f>VLOOKUP($A231,'SegEnds_NonXtal_BW#'!$A:$Z,8,FALSE)+VLOOKUP($A231,A:AL,10,FALSE)-50</f>
        <v>80</v>
      </c>
      <c r="L231" s="3">
        <f>M231-1</f>
        <v>82</v>
      </c>
      <c r="M231" s="3">
        <v>83</v>
      </c>
      <c r="N231" s="3">
        <f>M231+2</f>
        <v>85</v>
      </c>
      <c r="O231" s="3">
        <f t="shared" si="162"/>
        <v>86</v>
      </c>
      <c r="P231" s="3">
        <v>115</v>
      </c>
      <c r="Q231" s="3">
        <f>VLOOKUP($A231,'SegEnds_NonXtal_BW#'!$A:$Z,12,FALSE)+VLOOKUP($A231,A:AL,16,FALSE)-50</f>
        <v>121</v>
      </c>
      <c r="R231" s="3">
        <f>IF(ISERROR(VLOOKUP($A231,'SegEnds_NonXtal_BW#'!$A:$Z,13,FALSE)+VLOOKUP($A231,A:AL,19,FALSE)-50),"-",VLOOKUP($A231,'SegEnds_NonXtal_BW#'!$A:$Z,13,FALSE)+VLOOKUP($A231,A:AL,19,FALSE)-50)</f>
        <v>122</v>
      </c>
      <c r="S231" s="3">
        <v>122</v>
      </c>
      <c r="T231" s="100">
        <f>IF(ISERROR(VLOOKUP($A231,'SegEnds_NonXtal_BW#'!$A:$Z,14,FALSE)+VLOOKUP($A231,A:AL,19,FALSE)-50),"-",(VLOOKUP($A231,'SegEnds_NonXtal_BW#'!$A:$Z,14,FALSE)+VLOOKUP($A231,A:AL,19,FALSE)-50))</f>
        <v>129</v>
      </c>
      <c r="U231" s="9">
        <f>IF(ISERROR(VLOOKUP($A231,'SegEnds_NonXtal_BW#'!$A:$Z,15,FALSE)+VLOOKUP($A231,A:AL,22,FALSE)-50),"-",VLOOKUP($A231,'SegEnds_NonXtal_BW#'!$A:$Z,15,FALSE)+VLOOKUP($A231,A:AL,22,FALSE)-50)</f>
        <v>130</v>
      </c>
      <c r="V231" s="3">
        <v>142</v>
      </c>
      <c r="W231" s="3">
        <f>IF(ISERROR(VLOOKUP($A231,'SegEnds_NonXtal_BW#'!$A:$Z,16,FALSE)+VLOOKUP($A231,A:AL,22,FALSE)-50),"-",(VLOOKUP($A231,'SegEnds_NonXtal_BW#'!$A:$Z,16,FALSE)+VLOOKUP($A231,A:AL,22,FALSE)-50))</f>
        <v>155</v>
      </c>
      <c r="X231" s="3">
        <f>IF(ISERROR(VLOOKUP($A231,'SegEnds_NonXtal_BW#'!$A:$Z,17,FALSE)+VLOOKUP($A231,A:AL,25,FALSE)-50),"-",(VLOOKUP($A231,'SegEnds_NonXtal_BW#'!$A:$Z,17,FALSE)+VLOOKUP($A231,A:AL,25,FALSE)-50))</f>
        <v>173</v>
      </c>
      <c r="Y231" s="3">
        <v>173</v>
      </c>
      <c r="Z231" s="3">
        <f t="shared" si="161"/>
        <v>175</v>
      </c>
      <c r="AA231" s="3">
        <f>IF(ISERROR(VLOOKUP($A231,'SegEnds_NonXtal_BW#'!$A:$Z,19,FALSE)+VLOOKUP($A231,A:AL,28,FALSE)-50),"-",(VLOOKUP($A231,'SegEnds_NonXtal_BW#'!$A:$Z,19,FALSE)+VLOOKUP($A231,A:AL,28,FALSE)-50))</f>
        <v>181</v>
      </c>
      <c r="AB231" s="3">
        <v>198</v>
      </c>
      <c r="AC231" s="3">
        <f>IF(ISERROR((VLOOKUP($A231,'SegEnds_NonXtal_BW#'!$A:$Z,20,FALSE)+VLOOKUP($A231,A:AL,28,FALSE)-50)),"-",(VLOOKUP($A231,'SegEnds_NonXtal_BW#'!$A:$Z,20,FALSE)+VLOOKUP($A231,A:AL,28,FALSE)-50))</f>
        <v>216</v>
      </c>
      <c r="AD231" s="3">
        <f>IF(ISERROR(VLOOKUP($A231,'SegEnds_NonXtal_BW#'!$A:$Z,21,FALSE)+VLOOKUP($A231,A:AL,31,FALSE)-50),"-",(VLOOKUP($A231,'SegEnds_NonXtal_BW#'!$A:$Z,21,FALSE)+VLOOKUP($A231,A:AL,31,FALSE)-50))</f>
        <v>221</v>
      </c>
      <c r="AE231" s="3">
        <v>247</v>
      </c>
      <c r="AF231" s="3">
        <f>IF(ISERROR((VLOOKUP($A231,'SegEnds_NonXtal_BW#'!$A:$Z,22,FALSE)+VLOOKUP($A231,A:AL,31,FALSE)-50)),"-",(VLOOKUP($A231,'SegEnds_NonXtal_BW#'!$A:$Z,22,FALSE)+VLOOKUP($A231,A:AL,31,FALSE)-50))</f>
        <v>261</v>
      </c>
      <c r="AG231" s="3">
        <f>IF(ISERROR(VLOOKUP($A231,'SegEnds_NonXtal_BW#'!$A:$Z,23,FALSE)+VLOOKUP($A231,A:AL,34,FALSE)-50),"-",(VLOOKUP($A231,'SegEnds_NonXtal_BW#'!$A:$Z,23,FALSE)+VLOOKUP($A231,A:AL,34,FALSE)-50))</f>
        <v>264</v>
      </c>
      <c r="AH231" s="3">
        <v>290</v>
      </c>
      <c r="AI231" s="3">
        <f>IF(ISERROR((VLOOKUP($A231,'SegEnds_NonXtal_BW#'!$A:$Z,24,FALSE)+VLOOKUP($A231,A:AL,34,FALSE)-50)),"-",(VLOOKUP($A231,'SegEnds_NonXtal_BW#'!$A:$Z,24,FALSE)+VLOOKUP($A231,A:AL,34,FALSE)-50))</f>
        <v>299</v>
      </c>
      <c r="AJ231" s="3">
        <f>IF(ISERROR(VLOOKUP($A231,'SegEnds_NonXtal_BW#'!$A:$Z,25,FALSE)+VLOOKUP($A231,A:AL,37,FALSE)-50),"-",(VLOOKUP($A231,'SegEnds_NonXtal_BW#'!$A:$Z,25,FALSE)+VLOOKUP($A231,A:AL,37,FALSE)-50))</f>
        <v>300</v>
      </c>
      <c r="AK231" s="3">
        <v>300</v>
      </c>
      <c r="AL231" s="3">
        <f>IF(ISERROR((VLOOKUP($A231,'SegEnds_NonXtal_BW#'!$A:$Z,26,FALSE)+VLOOKUP($A231,A:AL,37,FALSE)-50)),"-",(VLOOKUP($A231,'SegEnds_NonXtal_BW#'!$A:$Z,26,FALSE)+VLOOKUP($A231,A:AL,37,FALSE)-50))</f>
        <v>313</v>
      </c>
      <c r="AM231" s="28" t="str">
        <f>VLOOKUP(A231,Classification!A:B,2,FALSE)</f>
        <v>A</v>
      </c>
      <c r="AN231" s="28" t="b">
        <f t="shared" si="156"/>
        <v>1</v>
      </c>
      <c r="AO231" s="3" t="str">
        <f>IF(ISERROR(MATCH(A231,'SegEnds_Xtal_Prot#'!B:B, 0)), "NoXtal", "Xtal")</f>
        <v>Xtal</v>
      </c>
      <c r="AP231" s="3" t="str">
        <f t="shared" si="141"/>
        <v>-</v>
      </c>
      <c r="AQ231" s="3" t="str">
        <f t="shared" si="142"/>
        <v>-</v>
      </c>
      <c r="AR231" s="3">
        <f t="shared" si="143"/>
        <v>2</v>
      </c>
      <c r="AS231" s="3">
        <f t="shared" si="144"/>
        <v>1</v>
      </c>
      <c r="AT231" s="3">
        <f t="shared" si="145"/>
        <v>1</v>
      </c>
      <c r="AU231" s="3">
        <f t="shared" si="146"/>
        <v>1</v>
      </c>
      <c r="AV231" s="3">
        <f t="shared" si="147"/>
        <v>18</v>
      </c>
      <c r="AW231" s="3">
        <f t="shared" si="148"/>
        <v>6</v>
      </c>
      <c r="AX231" s="3">
        <f t="shared" si="149"/>
        <v>5</v>
      </c>
      <c r="AY231" s="3">
        <f t="shared" si="150"/>
        <v>3</v>
      </c>
      <c r="AZ231" s="3">
        <f t="shared" si="151"/>
        <v>1</v>
      </c>
      <c r="BA231" s="3">
        <f>IF(ISERROR(LEN(VLOOKUP(A231,Seqs!A:E,2,FALSE))-AL231),"-",LEN(VLOOKUP(A231,Seqs!A:E,2,FALSE))-AL231)</f>
        <v>29</v>
      </c>
      <c r="BB231" s="16">
        <f t="shared" si="152"/>
        <v>30</v>
      </c>
      <c r="BC231" s="9">
        <f t="shared" si="153"/>
        <v>20</v>
      </c>
      <c r="BD231" s="3">
        <f t="shared" si="154"/>
        <v>30</v>
      </c>
      <c r="BE231" s="3">
        <f t="shared" si="155"/>
        <v>49</v>
      </c>
    </row>
    <row r="232" spans="1:58" s="3" customFormat="1" x14ac:dyDescent="0.2">
      <c r="A232" s="3" t="s">
        <v>371</v>
      </c>
      <c r="B232" s="3" t="str">
        <f>LOWER(VLOOKUP(A232,Xtal_Templ!A:B,2,FALSE))</f>
        <v>ox2r_human</v>
      </c>
      <c r="C232" s="3">
        <f>VLOOKUP($A232,'SegEnds_NonXtal_BW#'!$A:$Z,3,FALSE)+D232-50</f>
        <v>44</v>
      </c>
      <c r="D232" s="3">
        <v>63</v>
      </c>
      <c r="E232" s="3">
        <f>IF(ISERROR(VLOOKUP($A232,'SegEnds_NonXtal_BW#'!$A:$Z,4,FALSE)+VLOOKUP($A232,A:AL,4,FALSE)-50),"-",(VLOOKUP($A232,'SegEnds_NonXtal_BW#'!$A:$Z,4,FALSE)+VLOOKUP($A232,A:AL,4,FALSE)-50))</f>
        <v>73</v>
      </c>
      <c r="F232" s="3">
        <f t="shared" ref="F232:F239" si="163">G232-2</f>
        <v>74</v>
      </c>
      <c r="G232" s="3">
        <v>76</v>
      </c>
      <c r="H232" s="3">
        <f t="shared" ref="H232:I239" si="164">G232+1</f>
        <v>77</v>
      </c>
      <c r="I232" s="3">
        <f t="shared" si="164"/>
        <v>78</v>
      </c>
      <c r="J232" s="3">
        <v>91</v>
      </c>
      <c r="K232" s="3">
        <f>VLOOKUP($A232,'SegEnds_NonXtal_BW#'!$A:$Z,8,FALSE)+VLOOKUP($A232,A:AL,10,FALSE)-50</f>
        <v>109</v>
      </c>
      <c r="L232" s="3">
        <f>M232-1</f>
        <v>110</v>
      </c>
      <c r="M232" s="3">
        <v>111</v>
      </c>
      <c r="N232" s="3">
        <f>M232+2</f>
        <v>113</v>
      </c>
      <c r="O232" s="3">
        <f t="shared" si="162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0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184</v>
      </c>
      <c r="X232" s="3">
        <f>IF(ISERROR(VLOOKUP($A232,'SegEnds_NonXtal_BW#'!$A:$Z,17,FALSE)+VLOOKUP($A232,A:AL,25,FALSE)-50),"-",(VLOOKUP($A232,'SegEnds_NonXtal_BW#'!$A:$Z,17,FALSE)+VLOOKUP($A232,A:AL,25,FALSE)-50))</f>
        <v>201</v>
      </c>
      <c r="Y232" s="3">
        <v>201</v>
      </c>
      <c r="Z232" s="3">
        <f t="shared" si="161"/>
        <v>203</v>
      </c>
      <c r="AA232" s="3">
        <f>IF(ISERROR(VLOOKUP($A232,'SegEnds_NonXtal_BW#'!$A:$Z,19,FALSE)+VLOOKUP($A232,A:AL,28,FALSE)-50),"-",(VLOOKUP($A232,'SegEnds_NonXtal_BW#'!$A:$Z,19,FALSE)+VLOOKUP($A232,A:AL,28,FALSE)-50))</f>
        <v>209</v>
      </c>
      <c r="AB232" s="3">
        <v>226</v>
      </c>
      <c r="AC232" s="3">
        <f>IF(ISERROR((VLOOKUP($A232,'SegEnds_NonXtal_BW#'!$A:$Z,20,FALSE)+VLOOKUP($A232,A:AL,28,FALSE)-50)),"-",(VLOOKUP($A232,'SegEnds_NonXtal_BW#'!$A:$Z,20,FALSE)+VLOOKUP($A232,A:AL,28,FALSE)-50))</f>
        <v>250</v>
      </c>
      <c r="AD232" s="3">
        <f>IF(ISERROR(VLOOKUP($A232,'SegEnds_NonXtal_BW#'!$A:$Z,21,FALSE)+VLOOKUP($A232,A:AL,31,FALSE)-50),"-",(VLOOKUP($A232,'SegEnds_NonXtal_BW#'!$A:$Z,21,FALSE)+VLOOKUP($A232,A:AL,31,FALSE)-50))</f>
        <v>259</v>
      </c>
      <c r="AE232" s="3">
        <v>288</v>
      </c>
      <c r="AF232" s="3">
        <f>IF(ISERROR((VLOOKUP($A232,'SegEnds_NonXtal_BW#'!$A:$Z,22,FALSE)+VLOOKUP($A232,A:AL,31,FALSE)-50)),"-",(VLOOKUP($A232,'SegEnds_NonXtal_BW#'!$A:$Z,22,FALSE)+VLOOKUP($A232,A:AL,31,FALSE)-50))</f>
        <v>299</v>
      </c>
      <c r="AG232" s="3">
        <f>IF(ISERROR(VLOOKUP($A232,'SegEnds_NonXtal_BW#'!$A:$Z,23,FALSE)+VLOOKUP($A232,A:AL,34,FALSE)-50),"-",(VLOOKUP($A232,'SegEnds_NonXtal_BW#'!$A:$Z,23,FALSE)+VLOOKUP($A232,A:AL,34,FALSE)-50))</f>
        <v>307</v>
      </c>
      <c r="AH232" s="3">
        <v>329</v>
      </c>
      <c r="AI232" s="3">
        <f>IF(ISERROR((VLOOKUP($A232,'SegEnds_NonXtal_BW#'!$A:$Z,24,FALSE)+VLOOKUP($A232,A:AL,34,FALSE)-50)),"-",(VLOOKUP($A232,'SegEnds_NonXtal_BW#'!$A:$Z,24,FALSE)+VLOOKUP($A232,A:AL,34,FALSE)-50))</f>
        <v>335</v>
      </c>
      <c r="AJ232" s="3">
        <f>IF(ISERROR(VLOOKUP($A232,'SegEnds_NonXtal_BW#'!$A:$Z,25,FALSE)+VLOOKUP($A232,A:AL,37,FALSE)-50),"-",(VLOOKUP($A232,'SegEnds_NonXtal_BW#'!$A:$Z,25,FALSE)+VLOOKUP($A232,A:AL,37,FALSE)-50))</f>
        <v>336</v>
      </c>
      <c r="AK232" s="3">
        <v>339</v>
      </c>
      <c r="AL232" s="3">
        <f>IF(ISERROR((VLOOKUP($A232,'SegEnds_NonXtal_BW#'!$A:$Z,26,FALSE)+VLOOKUP($A232,A:AL,37,FALSE)-50)),"-",(VLOOKUP($A232,'SegEnds_NonXtal_BW#'!$A:$Z,26,FALSE)+VLOOKUP($A232,A:AL,37,FALSE)-50))</f>
        <v>352</v>
      </c>
      <c r="AM232" s="28" t="str">
        <f>VLOOKUP(A232,Classification!A:B,2,FALSE)</f>
        <v>A</v>
      </c>
      <c r="AN232" s="28" t="b">
        <f t="shared" si="156"/>
        <v>1</v>
      </c>
      <c r="AO232" s="3" t="str">
        <f>IF(ISERROR(MATCH(A232,'SegEnds_Xtal_Prot#'!B:B, 0)), "NoXtal", "Xtal")</f>
        <v>NoXtal</v>
      </c>
      <c r="AP232" s="3">
        <f t="shared" si="141"/>
        <v>1</v>
      </c>
      <c r="AQ232" s="3">
        <f t="shared" si="142"/>
        <v>1</v>
      </c>
      <c r="AR232" s="3">
        <f t="shared" si="143"/>
        <v>1</v>
      </c>
      <c r="AS232" s="3">
        <f t="shared" si="144"/>
        <v>1</v>
      </c>
      <c r="AT232" s="3">
        <f t="shared" si="145"/>
        <v>1</v>
      </c>
      <c r="AU232" s="3">
        <f t="shared" si="146"/>
        <v>1</v>
      </c>
      <c r="AV232" s="3">
        <f t="shared" si="147"/>
        <v>17</v>
      </c>
      <c r="AW232" s="3">
        <f t="shared" si="148"/>
        <v>6</v>
      </c>
      <c r="AX232" s="3">
        <f t="shared" si="149"/>
        <v>9</v>
      </c>
      <c r="AY232" s="3">
        <f t="shared" si="150"/>
        <v>8</v>
      </c>
      <c r="AZ232" s="3">
        <f t="shared" si="151"/>
        <v>1</v>
      </c>
      <c r="BA232" s="3">
        <f>IF(ISERROR(LEN(VLOOKUP(A232,Seqs!A:E,2,FALSE))-AL232),"-",LEN(VLOOKUP(A232,Seqs!A:E,2,FALSE))-AL232)</f>
        <v>79</v>
      </c>
      <c r="BB232" s="16">
        <f t="shared" si="152"/>
        <v>28</v>
      </c>
      <c r="BC232" s="9">
        <f t="shared" si="153"/>
        <v>20</v>
      </c>
      <c r="BD232" s="3">
        <f t="shared" si="154"/>
        <v>28</v>
      </c>
      <c r="BE232" s="3">
        <f t="shared" si="155"/>
        <v>62</v>
      </c>
    </row>
    <row r="233" spans="1:58" s="3" customFormat="1" x14ac:dyDescent="0.2">
      <c r="A233" s="3" t="s">
        <v>373</v>
      </c>
      <c r="B233" s="3" t="str">
        <f>LOWER(VLOOKUP(A233,Xtal_Templ!A:B,2,FALSE))</f>
        <v>oprk_human</v>
      </c>
      <c r="C233" s="3">
        <f>VLOOKUP($A233,'SegEnds_NonXtal_BW#'!$A:$Z,3,FALSE)+D233-50</f>
        <v>37</v>
      </c>
      <c r="D233" s="3">
        <v>57</v>
      </c>
      <c r="E233" s="3">
        <f>IF(ISERROR(VLOOKUP($A233,'SegEnds_NonXtal_BW#'!$A:$Z,4,FALSE)+VLOOKUP($A233,A:AL,4,FALSE)-50),"-",(VLOOKUP($A233,'SegEnds_NonXtal_BW#'!$A:$Z,4,FALSE)+VLOOKUP($A233,A:AL,4,FALSE)-50))</f>
        <v>67</v>
      </c>
      <c r="F233" s="3">
        <f t="shared" si="163"/>
        <v>69</v>
      </c>
      <c r="G233" s="3">
        <v>71</v>
      </c>
      <c r="H233" s="3">
        <f t="shared" si="164"/>
        <v>72</v>
      </c>
      <c r="I233" s="3">
        <f t="shared" si="164"/>
        <v>73</v>
      </c>
      <c r="J233" s="3">
        <v>87</v>
      </c>
      <c r="K233" s="3">
        <f>VLOOKUP($A233,'SegEnds_NonXtal_BW#'!$A:$Z,8,FALSE)+VLOOKUP($A233,A:AL,10,FALSE)-50</f>
        <v>104</v>
      </c>
      <c r="L233" s="3">
        <f>M233-1</f>
        <v>106</v>
      </c>
      <c r="M233" s="3">
        <v>107</v>
      </c>
      <c r="N233" s="3">
        <f>M233+2</f>
        <v>109</v>
      </c>
      <c r="O233" s="3">
        <f t="shared" si="162"/>
        <v>110</v>
      </c>
      <c r="P233" s="3">
        <v>139</v>
      </c>
      <c r="Q233" s="3">
        <f>VLOOKUP($A233,'SegEnds_NonXtal_BW#'!$A:$Z,12,FALSE)+VLOOKUP($A233,A:AL,16,FALSE)-50</f>
        <v>145</v>
      </c>
      <c r="R233" s="3">
        <f>IF(ISERROR(VLOOKUP($A233,'SegEnds_NonXtal_BW#'!$A:$Z,13,FALSE)+VLOOKUP($A233,A:AL,19,FALSE)-50),"-",VLOOKUP($A233,'SegEnds_NonXtal_BW#'!$A:$Z,13,FALSE)+VLOOKUP($A233,A:AL,19,FALSE)-50)</f>
        <v>146</v>
      </c>
      <c r="S233" s="3">
        <v>146</v>
      </c>
      <c r="T233" s="100">
        <f>IF(ISERROR(VLOOKUP($A233,'SegEnds_NonXtal_BW#'!$A:$Z,14,FALSE)+VLOOKUP($A233,A:AL,19,FALSE)-50),"-",(VLOOKUP($A233,'SegEnds_NonXtal_BW#'!$A:$Z,14,FALSE)+VLOOKUP($A233,A:AL,19,FALSE)-50))</f>
        <v>153</v>
      </c>
      <c r="U233" s="9">
        <f>IF(ISERROR(VLOOKUP($A233,'SegEnds_NonXtal_BW#'!$A:$Z,15,FALSE)+VLOOKUP($A233,A:AL,22,FALSE)-50),"-",VLOOKUP($A233,'SegEnds_NonXtal_BW#'!$A:$Z,15,FALSE)+VLOOKUP($A233,A:AL,22,FALSE)-50)</f>
        <v>154</v>
      </c>
      <c r="V233" s="3">
        <v>166</v>
      </c>
      <c r="W233" s="3">
        <f>IF(ISERROR(VLOOKUP($A233,'SegEnds_NonXtal_BW#'!$A:$Z,16,FALSE)+VLOOKUP($A233,A:AL,22,FALSE)-50),"-",(VLOOKUP($A233,'SegEnds_NonXtal_BW#'!$A:$Z,16,FALSE)+VLOOKUP($A233,A:AL,22,FALSE)-50))</f>
        <v>180</v>
      </c>
      <c r="X233" s="3">
        <f>IF(ISERROR(VLOOKUP($A233,'SegEnds_NonXtal_BW#'!$A:$Z,17,FALSE)+VLOOKUP($A233,A:AL,25,FALSE)-50),"-",(VLOOKUP($A233,'SegEnds_NonXtal_BW#'!$A:$Z,17,FALSE)+VLOOKUP($A233,A:AL,25,FALSE)-50))</f>
        <v>191</v>
      </c>
      <c r="Y233" s="3">
        <v>191</v>
      </c>
      <c r="Z233" s="3">
        <f t="shared" si="161"/>
        <v>193</v>
      </c>
      <c r="AA233" s="3">
        <f>IF(ISERROR(VLOOKUP($A233,'SegEnds_NonXtal_BW#'!$A:$Z,19,FALSE)+VLOOKUP($A233,A:AL,28,FALSE)-50),"-",(VLOOKUP($A233,'SegEnds_NonXtal_BW#'!$A:$Z,19,FALSE)+VLOOKUP($A233,A:AL,28,FALSE)-50))</f>
        <v>196</v>
      </c>
      <c r="AB233" s="3">
        <v>216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261</v>
      </c>
      <c r="AF233" s="3">
        <f>IF(ISERROR((VLOOKUP($A233,'SegEnds_NonXtal_BW#'!$A:$Z,22,FALSE)+VLOOKUP($A233,A:AL,31,FALSE)-50)),"-",(VLOOKUP($A233,'SegEnds_NonXtal_BW#'!$A:$Z,22,FALSE)+VLOOKUP($A233,A:AL,31,FALSE)-50))</f>
        <v>275</v>
      </c>
      <c r="AG233" s="3">
        <f>IF(ISERROR(VLOOKUP($A233,'SegEnds_NonXtal_BW#'!$A:$Z,23,FALSE)+VLOOKUP($A233,A:AL,34,FALSE)-50),"-",(VLOOKUP($A233,'SegEnds_NonXtal_BW#'!$A:$Z,23,FALSE)+VLOOKUP($A233,A:AL,34,FALSE)-50))</f>
        <v>280</v>
      </c>
      <c r="AH233" s="3">
        <v>306</v>
      </c>
      <c r="AI233" s="3">
        <f>IF(ISERROR((VLOOKUP($A233,'SegEnds_NonXtal_BW#'!$A:$Z,24,FALSE)+VLOOKUP($A233,A:AL,34,FALSE)-50)),"-",(VLOOKUP($A233,'SegEnds_NonXtal_BW#'!$A:$Z,24,FALSE)+VLOOKUP($A233,A:AL,34,FALSE)-50))</f>
        <v>312</v>
      </c>
      <c r="AJ233" s="3">
        <f>IF(ISERROR(VLOOKUP($A233,'SegEnds_NonXtal_BW#'!$A:$Z,25,FALSE)+VLOOKUP($A233,A:AL,37,FALSE)-50),"-",(VLOOKUP($A233,'SegEnds_NonXtal_BW#'!$A:$Z,25,FALSE)+VLOOKUP($A233,A:AL,37,FALSE)-50))</f>
        <v>313</v>
      </c>
      <c r="AK233" s="3">
        <v>316</v>
      </c>
      <c r="AL233" s="3">
        <f>IF(ISERROR((VLOOKUP($A233,'SegEnds_NonXtal_BW#'!$A:$Z,26,FALSE)+VLOOKUP($A233,A:AL,37,FALSE)-50)),"-",(VLOOKUP($A233,'SegEnds_NonXtal_BW#'!$A:$Z,26,FALSE)+VLOOKUP($A233,A:AL,37,FALSE)-50))</f>
        <v>325</v>
      </c>
      <c r="AM233" s="28" t="str">
        <f>VLOOKUP(A233,Classification!A:B,2,FALSE)</f>
        <v>A</v>
      </c>
      <c r="AN233" s="28" t="b">
        <f t="shared" si="156"/>
        <v>1</v>
      </c>
      <c r="AO233" s="3" t="str">
        <f>IF(ISERROR(MATCH(A233,'SegEnds_Xtal_Prot#'!B:B, 0)), "NoXtal", "Xtal")</f>
        <v>NoXtal</v>
      </c>
      <c r="AP233" s="3">
        <f t="shared" si="141"/>
        <v>2</v>
      </c>
      <c r="AQ233" s="3">
        <f t="shared" si="142"/>
        <v>1</v>
      </c>
      <c r="AR233" s="3">
        <f t="shared" si="143"/>
        <v>2</v>
      </c>
      <c r="AS233" s="3">
        <f t="shared" si="144"/>
        <v>1</v>
      </c>
      <c r="AT233" s="3">
        <f t="shared" si="145"/>
        <v>1</v>
      </c>
      <c r="AU233" s="3">
        <f t="shared" si="146"/>
        <v>1</v>
      </c>
      <c r="AV233" s="3">
        <f t="shared" si="147"/>
        <v>11</v>
      </c>
      <c r="AW233" s="3">
        <f t="shared" si="148"/>
        <v>3</v>
      </c>
      <c r="AX233" s="3">
        <f t="shared" si="149"/>
        <v>6</v>
      </c>
      <c r="AY233" s="3">
        <f t="shared" si="150"/>
        <v>5</v>
      </c>
      <c r="AZ233" s="3">
        <f t="shared" si="151"/>
        <v>1</v>
      </c>
      <c r="BA233" s="3">
        <f>IF(ISERROR(LEN(VLOOKUP(A233,Seqs!A:E,2,FALSE))-AL233),"-",LEN(VLOOKUP(A233,Seqs!A:E,2,FALSE))-AL233)</f>
        <v>49</v>
      </c>
      <c r="BB233" s="16">
        <f t="shared" si="152"/>
        <v>30</v>
      </c>
      <c r="BC233" s="9">
        <f t="shared" si="153"/>
        <v>20</v>
      </c>
      <c r="BD233" s="3">
        <f t="shared" si="154"/>
        <v>30</v>
      </c>
      <c r="BE233" s="3">
        <f t="shared" si="155"/>
        <v>45</v>
      </c>
    </row>
    <row r="234" spans="1:58" s="3" customFormat="1" x14ac:dyDescent="0.2">
      <c r="A234" s="3" t="s">
        <v>378</v>
      </c>
      <c r="B234" s="3" t="str">
        <f>LOWER(VLOOKUP(A234,Xtal_Templ!A:B,2,FALSE))</f>
        <v>s1pr1_human</v>
      </c>
      <c r="C234" s="3">
        <f>VLOOKUP($A234,'SegEnds_NonXtal_BW#'!$A:$Z,3,FALSE)+D234-50</f>
        <v>43</v>
      </c>
      <c r="D234" s="3">
        <v>64</v>
      </c>
      <c r="E234" s="3">
        <f>IF(ISERROR(VLOOKUP($A234,'SegEnds_NonXtal_BW#'!$A:$Z,4,FALSE)+VLOOKUP($A234,A:AL,4,FALSE)-50),"-",(VLOOKUP($A234,'SegEnds_NonXtal_BW#'!$A:$Z,4,FALSE)+VLOOKUP($A234,A:AL,4,FALSE)-50))</f>
        <v>74</v>
      </c>
      <c r="F234" s="3">
        <f t="shared" si="163"/>
        <v>75</v>
      </c>
      <c r="G234" s="3">
        <v>77</v>
      </c>
      <c r="H234" s="3">
        <f t="shared" si="164"/>
        <v>78</v>
      </c>
      <c r="I234" s="3">
        <f t="shared" si="164"/>
        <v>79</v>
      </c>
      <c r="J234" s="3">
        <v>92</v>
      </c>
      <c r="K234" s="3">
        <f>VLOOKUP($A234,'SegEnds_NonXtal_BW#'!$A:$Z,8,FALSE)+VLOOKUP($A234,A:AL,10,FALSE)-50</f>
        <v>105</v>
      </c>
      <c r="L234" s="3">
        <f>M234-3</f>
        <v>107</v>
      </c>
      <c r="M234" s="3">
        <v>110</v>
      </c>
      <c r="N234" s="3">
        <f>M234+3</f>
        <v>113</v>
      </c>
      <c r="O234" s="3">
        <f t="shared" si="162"/>
        <v>114</v>
      </c>
      <c r="P234" s="3">
        <v>143</v>
      </c>
      <c r="Q234" s="3">
        <f>VLOOKUP($A234,'SegEnds_NonXtal_BW#'!$A:$Z,12,FALSE)+VLOOKUP($A234,A:AL,16,FALSE)-50</f>
        <v>149</v>
      </c>
      <c r="R234" s="3">
        <f>IF(ISERROR(VLOOKUP($A234,'SegEnds_NonXtal_BW#'!$A:$Z,13,FALSE)+VLOOKUP($A234,A:AL,19,FALSE)-50),"-",VLOOKUP($A234,'SegEnds_NonXtal_BW#'!$A:$Z,13,FALSE)+VLOOKUP($A234,A:AL,19,FALSE)-50)</f>
        <v>150</v>
      </c>
      <c r="S234" s="3">
        <v>150</v>
      </c>
      <c r="T234" s="100">
        <f>IF(ISERROR(VLOOKUP($A234,'SegEnds_NonXtal_BW#'!$A:$Z,14,FALSE)+VLOOKUP($A234,A:AL,19,FALSE)-50),"-",(VLOOKUP($A234,'SegEnds_NonXtal_BW#'!$A:$Z,14,FALSE)+VLOOKUP($A234,A:AL,19,FALSE)-50))</f>
        <v>157</v>
      </c>
      <c r="U234" s="9">
        <f>IF(ISERROR(VLOOKUP($A234,'SegEnds_NonXtal_BW#'!$A:$Z,15,FALSE)+VLOOKUP($A234,A:AL,22,FALSE)-50),"-",VLOOKUP($A234,'SegEnds_NonXtal_BW#'!$A:$Z,15,FALSE)+VLOOKUP($A234,A:AL,22,FALSE)-50)</f>
        <v>158</v>
      </c>
      <c r="V234" s="3">
        <v>170</v>
      </c>
      <c r="W234" s="3">
        <f>IF(ISERROR(VLOOKUP($A234,'SegEnds_NonXtal_BW#'!$A:$Z,16,FALSE)+VLOOKUP($A234,A:AL,22,FALSE)-50),"-",(VLOOKUP($A234,'SegEnds_NonXtal_BW#'!$A:$Z,16,FALSE)+VLOOKUP($A234,A:AL,22,FALSE)-50))</f>
        <v>183</v>
      </c>
      <c r="X234" s="3" t="str">
        <f>IF(ISERROR(VLOOKUP($A234,'SegEnds_NonXtal_BW#'!$A:$Z,17,FALSE)+VLOOKUP($A234,A:AL,25,FALSE)-50),"-",(VLOOKUP($A234,'SegEnds_NonXtal_BW#'!$A:$Z,17,FALSE)+VLOOKUP($A234,A:AL,25,FALSE)-50))</f>
        <v>-</v>
      </c>
      <c r="Y234" s="3" t="s">
        <v>23</v>
      </c>
      <c r="Z234" s="3" t="str">
        <f>IF(ISERROR(VLOOKUP($A234,'SegEnds_NonXtal_BW#'!$A:$Z,18,FALSE)+VLOOKUP($A234,A:AL,25,FALSE)-50),"-",(VLOOKUP($A234,'SegEnds_NonXtal_BW#'!$A:$Z,18,FALSE)+VLOOKUP($A234,A:AL,25,FALSE)-50))</f>
        <v>-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215</v>
      </c>
      <c r="AC234" s="3">
        <f>IF(ISERROR((VLOOKUP($A234,'SegEnds_NonXtal_BW#'!$A:$Z,20,FALSE)+VLOOKUP($A234,A:AL,28,FALSE)-50)),"-",(VLOOKUP($A234,'SegEnds_NonXtal_BW#'!$A:$Z,20,FALSE)+VLOOKUP($A234,A:AL,28,FALSE)-50))</f>
        <v>233</v>
      </c>
      <c r="AD234" s="3">
        <f>IF(ISERROR(VLOOKUP($A234,'SegEnds_NonXtal_BW#'!$A:$Z,21,FALSE)+VLOOKUP($A234,A:AL,31,FALSE)-50),"-",(VLOOKUP($A234,'SegEnds_NonXtal_BW#'!$A:$Z,21,FALSE)+VLOOKUP($A234,A:AL,31,FALSE)-50))</f>
        <v>239</v>
      </c>
      <c r="AE234" s="3">
        <v>266</v>
      </c>
      <c r="AF234" s="3">
        <f>IF(ISERROR((VLOOKUP($A234,'SegEnds_NonXtal_BW#'!$A:$Z,22,FALSE)+VLOOKUP($A234,A:AL,31,FALSE)-50)),"-",(VLOOKUP($A234,'SegEnds_NonXtal_BW#'!$A:$Z,22,FALSE)+VLOOKUP($A234,A:AL,31,FALSE)-50))</f>
        <v>277</v>
      </c>
      <c r="AG234" s="3">
        <f>IF(ISERROR(VLOOKUP($A234,'SegEnds_NonXtal_BW#'!$A:$Z,23,FALSE)+VLOOKUP($A234,A:AL,34,FALSE)-50),"-",(VLOOKUP($A234,'SegEnds_NonXtal_BW#'!$A:$Z,23,FALSE)+VLOOKUP($A234,A:AL,34,FALSE)-50))</f>
        <v>284</v>
      </c>
      <c r="AH234" s="3">
        <v>304</v>
      </c>
      <c r="AI234" s="3">
        <f>IF(ISERROR((VLOOKUP($A234,'SegEnds_NonXtal_BW#'!$A:$Z,24,FALSE)+VLOOKUP($A234,A:AL,34,FALSE)-50)),"-",(VLOOKUP($A234,'SegEnds_NonXtal_BW#'!$A:$Z,24,FALSE)+VLOOKUP($A234,A:AL,34,FALSE)-50))</f>
        <v>310</v>
      </c>
      <c r="AJ234" s="3">
        <f>IF(ISERROR(VLOOKUP($A234,'SegEnds_NonXtal_BW#'!$A:$Z,25,FALSE)+VLOOKUP($A234,A:AL,37,FALSE)-50),"-",(VLOOKUP($A234,'SegEnds_NonXtal_BW#'!$A:$Z,25,FALSE)+VLOOKUP($A234,A:AL,37,FALSE)-50))</f>
        <v>311</v>
      </c>
      <c r="AK234" s="3">
        <v>314</v>
      </c>
      <c r="AL234" s="3">
        <f>IF(ISERROR((VLOOKUP($A234,'SegEnds_NonXtal_BW#'!$A:$Z,26,FALSE)+VLOOKUP($A234,A:AL,37,FALSE)-50)),"-",(VLOOKUP($A234,'SegEnds_NonXtal_BW#'!$A:$Z,26,FALSE)+VLOOKUP($A234,A:AL,37,FALSE)-50))</f>
        <v>323</v>
      </c>
      <c r="AM234" s="28" t="str">
        <f>VLOOKUP(A234,Classification!A:B,2,FALSE)</f>
        <v>A</v>
      </c>
      <c r="AN234" s="28" t="b">
        <f t="shared" si="156"/>
        <v>1</v>
      </c>
      <c r="AO234" s="3" t="str">
        <f>IF(ISERROR(MATCH(A234,'SegEnds_Xtal_Prot#'!B:B, 0)), "NoXtal", "Xtal")</f>
        <v>NoXtal</v>
      </c>
      <c r="AP234" s="3">
        <f t="shared" si="141"/>
        <v>1</v>
      </c>
      <c r="AQ234" s="3">
        <f t="shared" si="142"/>
        <v>1</v>
      </c>
      <c r="AR234" s="3">
        <f t="shared" si="143"/>
        <v>2</v>
      </c>
      <c r="AS234" s="3">
        <f t="shared" si="144"/>
        <v>1</v>
      </c>
      <c r="AT234" s="3">
        <f t="shared" si="145"/>
        <v>1</v>
      </c>
      <c r="AU234" s="3">
        <f t="shared" si="146"/>
        <v>1</v>
      </c>
      <c r="AV234" s="3" t="str">
        <f t="shared" si="147"/>
        <v>-</v>
      </c>
      <c r="AW234" s="3" t="str">
        <f t="shared" si="148"/>
        <v>-</v>
      </c>
      <c r="AX234" s="3">
        <f t="shared" si="149"/>
        <v>6</v>
      </c>
      <c r="AY234" s="3">
        <f t="shared" si="150"/>
        <v>7</v>
      </c>
      <c r="AZ234" s="3">
        <f t="shared" si="151"/>
        <v>1</v>
      </c>
      <c r="BA234" s="3">
        <f>IF(ISERROR(LEN(VLOOKUP(A234,Seqs!A:E,2,FALSE))-AL234),"-",LEN(VLOOKUP(A234,Seqs!A:E,2,FALSE))-AL234)</f>
        <v>61</v>
      </c>
      <c r="BB234" s="16">
        <f t="shared" si="152"/>
        <v>28</v>
      </c>
      <c r="BC234" s="9">
        <f t="shared" si="153"/>
        <v>20</v>
      </c>
      <c r="BD234" s="3">
        <f t="shared" si="154"/>
        <v>28</v>
      </c>
      <c r="BE234" s="3">
        <f t="shared" si="155"/>
        <v>51</v>
      </c>
    </row>
    <row r="235" spans="1:58" s="3" customFormat="1" x14ac:dyDescent="0.2">
      <c r="A235" s="3" t="s">
        <v>380</v>
      </c>
      <c r="B235" s="3" t="str">
        <f>LOWER(VLOOKUP(A235,Xtal_Templ!A:B,2,FALSE))</f>
        <v>oprk_human</v>
      </c>
      <c r="C235" s="3">
        <f>VLOOKUP($A235,'SegEnds_NonXtal_BW#'!$A:$Z,3,FALSE)+D235-50</f>
        <v>56</v>
      </c>
      <c r="D235" s="3">
        <v>76</v>
      </c>
      <c r="E235" s="3">
        <f>IF(ISERROR(VLOOKUP($A235,'SegEnds_NonXtal_BW#'!$A:$Z,4,FALSE)+VLOOKUP($A235,A:AL,4,FALSE)-50),"-",(VLOOKUP($A235,'SegEnds_NonXtal_BW#'!$A:$Z,4,FALSE)+VLOOKUP($A235,A:AL,4,FALSE)-50))</f>
        <v>86</v>
      </c>
      <c r="F235" s="3">
        <f t="shared" si="163"/>
        <v>87</v>
      </c>
      <c r="G235" s="3">
        <v>89</v>
      </c>
      <c r="H235" s="3">
        <f t="shared" si="164"/>
        <v>90</v>
      </c>
      <c r="I235" s="3">
        <f t="shared" si="164"/>
        <v>91</v>
      </c>
      <c r="J235" s="3">
        <v>104</v>
      </c>
      <c r="K235" s="3">
        <f>VLOOKUP($A235,'SegEnds_NonXtal_BW#'!$A:$Z,8,FALSE)+VLOOKUP($A235,A:AL,10,FALSE)-50</f>
        <v>120</v>
      </c>
      <c r="L235" s="3">
        <f t="shared" ref="L235:L253" si="165">M235-1</f>
        <v>122</v>
      </c>
      <c r="M235" s="3">
        <v>123</v>
      </c>
      <c r="N235" s="3">
        <f t="shared" ref="N235:N253" si="166">M235+2</f>
        <v>125</v>
      </c>
      <c r="O235" s="3">
        <f t="shared" si="162"/>
        <v>126</v>
      </c>
      <c r="P235" s="3">
        <v>155</v>
      </c>
      <c r="Q235" s="3">
        <f>VLOOKUP($A235,'SegEnds_NonXtal_BW#'!$A:$Z,12,FALSE)+VLOOKUP($A235,A:AL,16,FALSE)-50</f>
        <v>161</v>
      </c>
      <c r="R235" s="3">
        <f>IF(ISERROR(VLOOKUP($A235,'SegEnds_NonXtal_BW#'!$A:$Z,13,FALSE)+VLOOKUP($A235,A:AL,19,FALSE)-50),"-",VLOOKUP($A235,'SegEnds_NonXtal_BW#'!$A:$Z,13,FALSE)+VLOOKUP($A235,A:AL,19,FALSE)-50)</f>
        <v>162</v>
      </c>
      <c r="S235" s="3">
        <v>162</v>
      </c>
      <c r="T235" s="100">
        <f>IF(ISERROR(VLOOKUP($A235,'SegEnds_NonXtal_BW#'!$A:$Z,14,FALSE)+VLOOKUP($A235,A:AL,19,FALSE)-50),"-",(VLOOKUP($A235,'SegEnds_NonXtal_BW#'!$A:$Z,14,FALSE)+VLOOKUP($A235,A:AL,19,FALSE)-50))</f>
        <v>169</v>
      </c>
      <c r="U235" s="9">
        <f>IF(ISERROR(VLOOKUP($A235,'SegEnds_NonXtal_BW#'!$A:$Z,15,FALSE)+VLOOKUP($A235,A:AL,22,FALSE)-50),"-",VLOOKUP($A235,'SegEnds_NonXtal_BW#'!$A:$Z,15,FALSE)+VLOOKUP($A235,A:AL,22,FALSE)-50)</f>
        <v>170</v>
      </c>
      <c r="V235" s="3">
        <v>182</v>
      </c>
      <c r="W235" s="3">
        <f>IF(ISERROR(VLOOKUP($A235,'SegEnds_NonXtal_BW#'!$A:$Z,16,FALSE)+VLOOKUP($A235,A:AL,22,FALSE)-50),"-",(VLOOKUP($A235,'SegEnds_NonXtal_BW#'!$A:$Z,16,FALSE)+VLOOKUP($A235,A:AL,22,FALSE)-50))</f>
        <v>196</v>
      </c>
      <c r="X235" s="3">
        <f>IF(ISERROR(VLOOKUP($A235,'SegEnds_NonXtal_BW#'!$A:$Z,17,FALSE)+VLOOKUP($A235,A:AL,25,FALSE)-50),"-",(VLOOKUP($A235,'SegEnds_NonXtal_BW#'!$A:$Z,17,FALSE)+VLOOKUP($A235,A:AL,25,FALSE)-50))</f>
        <v>208</v>
      </c>
      <c r="Y235" s="3">
        <v>208</v>
      </c>
      <c r="Z235" s="3">
        <f t="shared" ref="Z235:Z270" si="167">Y235+2</f>
        <v>210</v>
      </c>
      <c r="AA235" s="3">
        <f>IF(ISERROR(VLOOKUP($A235,'SegEnds_NonXtal_BW#'!$A:$Z,19,FALSE)+VLOOKUP($A235,A:AL,28,FALSE)-50),"-",(VLOOKUP($A235,'SegEnds_NonXtal_BW#'!$A:$Z,19,FALSE)+VLOOKUP($A235,A:AL,28,FALSE)-50))</f>
        <v>215</v>
      </c>
      <c r="AB235" s="3">
        <v>235</v>
      </c>
      <c r="AC235" s="3">
        <f>IF(ISERROR((VLOOKUP($A235,'SegEnds_NonXtal_BW#'!$A:$Z,20,FALSE)+VLOOKUP($A235,A:AL,28,FALSE)-50)),"-",(VLOOKUP($A235,'SegEnds_NonXtal_BW#'!$A:$Z,20,FALSE)+VLOOKUP($A235,A:AL,28,FALSE)-50))</f>
        <v>253</v>
      </c>
      <c r="AD235" s="3">
        <f>IF(ISERROR(VLOOKUP($A235,'SegEnds_NonXtal_BW#'!$A:$Z,21,FALSE)+VLOOKUP($A235,A:AL,31,FALSE)-50),"-",(VLOOKUP($A235,'SegEnds_NonXtal_BW#'!$A:$Z,21,FALSE)+VLOOKUP($A235,A:AL,31,FALSE)-50))</f>
        <v>259</v>
      </c>
      <c r="AE235" s="3">
        <v>286</v>
      </c>
      <c r="AF235" s="3">
        <f>IF(ISERROR((VLOOKUP($A235,'SegEnds_NonXtal_BW#'!$A:$Z,22,FALSE)+VLOOKUP($A235,A:AL,31,FALSE)-50)),"-",(VLOOKUP($A235,'SegEnds_NonXtal_BW#'!$A:$Z,22,FALSE)+VLOOKUP($A235,A:AL,31,FALSE)-50))</f>
        <v>297</v>
      </c>
      <c r="AG235" s="3">
        <f>IF(ISERROR(VLOOKUP($A235,'SegEnds_NonXtal_BW#'!$A:$Z,23,FALSE)+VLOOKUP($A235,A:AL,34,FALSE)-50),"-",(VLOOKUP($A235,'SegEnds_NonXtal_BW#'!$A:$Z,23,FALSE)+VLOOKUP($A235,A:AL,34,FALSE)-50))</f>
        <v>302</v>
      </c>
      <c r="AH235" s="3">
        <v>320</v>
      </c>
      <c r="AI235" s="3">
        <f>IF(ISERROR((VLOOKUP($A235,'SegEnds_NonXtal_BW#'!$A:$Z,24,FALSE)+VLOOKUP($A235,A:AL,34,FALSE)-50)),"-",(VLOOKUP($A235,'SegEnds_NonXtal_BW#'!$A:$Z,24,FALSE)+VLOOKUP($A235,A:AL,34,FALSE)-50))</f>
        <v>326</v>
      </c>
      <c r="AJ235" s="3">
        <f>IF(ISERROR(VLOOKUP($A235,'SegEnds_NonXtal_BW#'!$A:$Z,25,FALSE)+VLOOKUP($A235,A:AL,37,FALSE)-50),"-",(VLOOKUP($A235,'SegEnds_NonXtal_BW#'!$A:$Z,25,FALSE)+VLOOKUP($A235,A:AL,37,FALSE)-50))</f>
        <v>327</v>
      </c>
      <c r="AK235" s="3">
        <v>330</v>
      </c>
      <c r="AL235" s="3">
        <f>IF(ISERROR((VLOOKUP($A235,'SegEnds_NonXtal_BW#'!$A:$Z,26,FALSE)+VLOOKUP($A235,A:AL,37,FALSE)-50)),"-",(VLOOKUP($A235,'SegEnds_NonXtal_BW#'!$A:$Z,26,FALSE)+VLOOKUP($A235,A:AL,37,FALSE)-50))</f>
        <v>339</v>
      </c>
      <c r="AM235" s="28" t="str">
        <f>VLOOKUP(A235,Classification!A:B,2,FALSE)</f>
        <v>A</v>
      </c>
      <c r="AN235" s="28" t="b">
        <f t="shared" si="156"/>
        <v>1</v>
      </c>
      <c r="AO235" s="3" t="str">
        <f>IF(ISERROR(MATCH(A235,'SegEnds_Xtal_Prot#'!B:B, 0)), "NoXtal", "Xtal")</f>
        <v>NoXtal</v>
      </c>
      <c r="AP235" s="3">
        <f t="shared" si="141"/>
        <v>1</v>
      </c>
      <c r="AQ235" s="3">
        <f t="shared" si="142"/>
        <v>1</v>
      </c>
      <c r="AR235" s="3">
        <f t="shared" si="143"/>
        <v>2</v>
      </c>
      <c r="AS235" s="3">
        <f t="shared" si="144"/>
        <v>1</v>
      </c>
      <c r="AT235" s="3">
        <f t="shared" si="145"/>
        <v>1</v>
      </c>
      <c r="AU235" s="3">
        <f t="shared" si="146"/>
        <v>1</v>
      </c>
      <c r="AV235" s="3">
        <f t="shared" si="147"/>
        <v>12</v>
      </c>
      <c r="AW235" s="3">
        <f t="shared" si="148"/>
        <v>5</v>
      </c>
      <c r="AX235" s="3">
        <f t="shared" si="149"/>
        <v>6</v>
      </c>
      <c r="AY235" s="3">
        <f t="shared" si="150"/>
        <v>5</v>
      </c>
      <c r="AZ235" s="3">
        <f t="shared" si="151"/>
        <v>1</v>
      </c>
      <c r="BA235" s="3">
        <f>IF(ISERROR(LEN(VLOOKUP(A235,Seqs!A:E,2,FALSE))-AL235),"-",LEN(VLOOKUP(A235,Seqs!A:E,2,FALSE))-AL235)</f>
        <v>52</v>
      </c>
      <c r="BB235" s="16">
        <f t="shared" si="152"/>
        <v>28</v>
      </c>
      <c r="BC235" s="9">
        <f t="shared" si="153"/>
        <v>20</v>
      </c>
      <c r="BD235" s="3">
        <f t="shared" si="154"/>
        <v>28</v>
      </c>
      <c r="BE235" s="3">
        <f t="shared" si="155"/>
        <v>51</v>
      </c>
    </row>
    <row r="236" spans="1:58" s="3" customFormat="1" x14ac:dyDescent="0.2">
      <c r="A236" s="3" t="s">
        <v>381</v>
      </c>
      <c r="B236" s="3" t="str">
        <f>LOWER(VLOOKUP(A236,Xtal_Templ!A:B,2,FALSE))</f>
        <v>oprk_human</v>
      </c>
      <c r="C236" s="3">
        <f>VLOOKUP($A236,'SegEnds_NonXtal_BW#'!$A:$Z,3,FALSE)+D236-50</f>
        <v>41</v>
      </c>
      <c r="D236" s="3">
        <v>61</v>
      </c>
      <c r="E236" s="3">
        <f>IF(ISERROR(VLOOKUP($A236,'SegEnds_NonXtal_BW#'!$A:$Z,4,FALSE)+VLOOKUP($A236,A:AL,4,FALSE)-50),"-",(VLOOKUP($A236,'SegEnds_NonXtal_BW#'!$A:$Z,4,FALSE)+VLOOKUP($A236,A:AL,4,FALSE)-50))</f>
        <v>71</v>
      </c>
      <c r="F236" s="3">
        <f t="shared" si="163"/>
        <v>72</v>
      </c>
      <c r="G236" s="3">
        <v>74</v>
      </c>
      <c r="H236" s="3">
        <f t="shared" si="164"/>
        <v>75</v>
      </c>
      <c r="I236" s="3">
        <f t="shared" si="164"/>
        <v>76</v>
      </c>
      <c r="J236" s="3">
        <v>89</v>
      </c>
      <c r="K236" s="3">
        <f>VLOOKUP($A236,'SegEnds_NonXtal_BW#'!$A:$Z,8,FALSE)+VLOOKUP($A236,A:AL,10,FALSE)-50</f>
        <v>105</v>
      </c>
      <c r="L236" s="3">
        <f t="shared" si="165"/>
        <v>107</v>
      </c>
      <c r="M236" s="3">
        <v>108</v>
      </c>
      <c r="N236" s="3">
        <f t="shared" si="166"/>
        <v>110</v>
      </c>
      <c r="O236" s="3">
        <f t="shared" si="162"/>
        <v>111</v>
      </c>
      <c r="P236" s="3">
        <v>140</v>
      </c>
      <c r="Q236" s="3">
        <f>VLOOKUP($A236,'SegEnds_NonXtal_BW#'!$A:$Z,12,FALSE)+VLOOKUP($A236,A:AL,16,FALSE)-50</f>
        <v>146</v>
      </c>
      <c r="R236" s="3">
        <f>IF(ISERROR(VLOOKUP($A236,'SegEnds_NonXtal_BW#'!$A:$Z,13,FALSE)+VLOOKUP($A236,A:AL,19,FALSE)-50),"-",VLOOKUP($A236,'SegEnds_NonXtal_BW#'!$A:$Z,13,FALSE)+VLOOKUP($A236,A:AL,19,FALSE)-50)</f>
        <v>147</v>
      </c>
      <c r="S236" s="3">
        <v>147</v>
      </c>
      <c r="T236" s="100">
        <f>IF(ISERROR(VLOOKUP($A236,'SegEnds_NonXtal_BW#'!$A:$Z,14,FALSE)+VLOOKUP($A236,A:AL,19,FALSE)-50),"-",(VLOOKUP($A236,'SegEnds_NonXtal_BW#'!$A:$Z,14,FALSE)+VLOOKUP($A236,A:AL,19,FALSE)-50))</f>
        <v>154</v>
      </c>
      <c r="U236" s="9">
        <f>IF(ISERROR(VLOOKUP($A236,'SegEnds_NonXtal_BW#'!$A:$Z,15,FALSE)+VLOOKUP($A236,A:AL,22,FALSE)-50),"-",VLOOKUP($A236,'SegEnds_NonXtal_BW#'!$A:$Z,15,FALSE)+VLOOKUP($A236,A:AL,22,FALSE)-50)</f>
        <v>155</v>
      </c>
      <c r="V236" s="3">
        <v>167</v>
      </c>
      <c r="W236" s="3">
        <f>IF(ISERROR(VLOOKUP($A236,'SegEnds_NonXtal_BW#'!$A:$Z,16,FALSE)+VLOOKUP($A236,A:AL,22,FALSE)-50),"-",(VLOOKUP($A236,'SegEnds_NonXtal_BW#'!$A:$Z,16,FALSE)+VLOOKUP($A236,A:AL,22,FALSE)-50))</f>
        <v>181</v>
      </c>
      <c r="X236" s="3">
        <f>IF(ISERROR(VLOOKUP($A236,'SegEnds_NonXtal_BW#'!$A:$Z,17,FALSE)+VLOOKUP($A236,A:AL,25,FALSE)-50),"-",(VLOOKUP($A236,'SegEnds_NonXtal_BW#'!$A:$Z,17,FALSE)+VLOOKUP($A236,A:AL,25,FALSE)-50))</f>
        <v>193</v>
      </c>
      <c r="Y236" s="3">
        <v>193</v>
      </c>
      <c r="Z236" s="3">
        <f t="shared" si="167"/>
        <v>195</v>
      </c>
      <c r="AA236" s="3">
        <f>IF(ISERROR(VLOOKUP($A236,'SegEnds_NonXtal_BW#'!$A:$Z,19,FALSE)+VLOOKUP($A236,A:AL,28,FALSE)-50),"-",(VLOOKUP($A236,'SegEnds_NonXtal_BW#'!$A:$Z,19,FALSE)+VLOOKUP($A236,A:AL,28,FALSE)-50))</f>
        <v>200</v>
      </c>
      <c r="AB236" s="3">
        <v>220</v>
      </c>
      <c r="AC236" s="3">
        <f>IF(ISERROR((VLOOKUP($A236,'SegEnds_NonXtal_BW#'!$A:$Z,20,FALSE)+VLOOKUP($A236,A:AL,28,FALSE)-50)),"-",(VLOOKUP($A236,'SegEnds_NonXtal_BW#'!$A:$Z,20,FALSE)+VLOOKUP($A236,A:AL,28,FALSE)-50))</f>
        <v>238</v>
      </c>
      <c r="AD236" s="3">
        <f>IF(ISERROR(VLOOKUP($A236,'SegEnds_NonXtal_BW#'!$A:$Z,21,FALSE)+VLOOKUP($A236,A:AL,31,FALSE)-50),"-",(VLOOKUP($A236,'SegEnds_NonXtal_BW#'!$A:$Z,21,FALSE)+VLOOKUP($A236,A:AL,31,FALSE)-50))</f>
        <v>244</v>
      </c>
      <c r="AE236" s="3">
        <v>271</v>
      </c>
      <c r="AF236" s="3">
        <f>IF(ISERROR((VLOOKUP($A236,'SegEnds_NonXtal_BW#'!$A:$Z,22,FALSE)+VLOOKUP($A236,A:AL,31,FALSE)-50)),"-",(VLOOKUP($A236,'SegEnds_NonXtal_BW#'!$A:$Z,22,FALSE)+VLOOKUP($A236,A:AL,31,FALSE)-50))</f>
        <v>282</v>
      </c>
      <c r="AG236" s="3">
        <f>IF(ISERROR(VLOOKUP($A236,'SegEnds_NonXtal_BW#'!$A:$Z,23,FALSE)+VLOOKUP($A236,A:AL,34,FALSE)-50),"-",(VLOOKUP($A236,'SegEnds_NonXtal_BW#'!$A:$Z,23,FALSE)+VLOOKUP($A236,A:AL,34,FALSE)-50))</f>
        <v>287</v>
      </c>
      <c r="AH236" s="3">
        <v>309</v>
      </c>
      <c r="AI236" s="3">
        <f>IF(ISERROR((VLOOKUP($A236,'SegEnds_NonXtal_BW#'!$A:$Z,24,FALSE)+VLOOKUP($A236,A:AL,34,FALSE)-50)),"-",(VLOOKUP($A236,'SegEnds_NonXtal_BW#'!$A:$Z,24,FALSE)+VLOOKUP($A236,A:AL,34,FALSE)-50))</f>
        <v>315</v>
      </c>
      <c r="AJ236" s="3">
        <f>IF(ISERROR(VLOOKUP($A236,'SegEnds_NonXtal_BW#'!$A:$Z,25,FALSE)+VLOOKUP($A236,A:AL,37,FALSE)-50),"-",(VLOOKUP($A236,'SegEnds_NonXtal_BW#'!$A:$Z,25,FALSE)+VLOOKUP($A236,A:AL,37,FALSE)-50))</f>
        <v>316</v>
      </c>
      <c r="AK236" s="3">
        <v>319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6"/>
        <v>1</v>
      </c>
      <c r="AO236" s="3" t="str">
        <f>IF(ISERROR(MATCH(A236,'SegEnds_Xtal_Prot#'!B:B, 0)), "NoXtal", "Xtal")</f>
        <v>NoXtal</v>
      </c>
      <c r="AP236" s="3">
        <f t="shared" si="141"/>
        <v>1</v>
      </c>
      <c r="AQ236" s="3">
        <f t="shared" si="142"/>
        <v>1</v>
      </c>
      <c r="AR236" s="3">
        <f t="shared" si="143"/>
        <v>2</v>
      </c>
      <c r="AS236" s="3">
        <f t="shared" si="144"/>
        <v>1</v>
      </c>
      <c r="AT236" s="3">
        <f t="shared" si="145"/>
        <v>1</v>
      </c>
      <c r="AU236" s="3">
        <f t="shared" si="146"/>
        <v>1</v>
      </c>
      <c r="AV236" s="3">
        <f t="shared" si="147"/>
        <v>12</v>
      </c>
      <c r="AW236" s="3">
        <f t="shared" si="148"/>
        <v>5</v>
      </c>
      <c r="AX236" s="3">
        <f t="shared" si="149"/>
        <v>6</v>
      </c>
      <c r="AY236" s="3">
        <f t="shared" si="150"/>
        <v>5</v>
      </c>
      <c r="AZ236" s="3">
        <f t="shared" si="151"/>
        <v>1</v>
      </c>
      <c r="BA236" s="3">
        <f>IF(ISERROR(LEN(VLOOKUP(A236,Seqs!A:E,2,FALSE))-AL236),"-",LEN(VLOOKUP(A236,Seqs!A:E,2,FALSE))-AL236)</f>
        <v>41</v>
      </c>
      <c r="BB236" s="16">
        <f t="shared" si="152"/>
        <v>28</v>
      </c>
      <c r="BC236" s="9">
        <f t="shared" si="153"/>
        <v>20</v>
      </c>
      <c r="BD236" s="3">
        <f t="shared" si="154"/>
        <v>28</v>
      </c>
      <c r="BE236" s="3">
        <f t="shared" si="155"/>
        <v>51</v>
      </c>
    </row>
    <row r="237" spans="1:58" s="3" customFormat="1" x14ac:dyDescent="0.2">
      <c r="A237" s="3" t="s">
        <v>382</v>
      </c>
      <c r="B237" s="3" t="str">
        <f>LOWER(VLOOKUP(A237,Xtal_Templ!A:B,2,FALSE))</f>
        <v>oprk_human</v>
      </c>
      <c r="C237" s="3">
        <f>VLOOKUP($A237,'SegEnds_NonXtal_BW#'!$A:$Z,3,FALSE)+D237-50</f>
        <v>42</v>
      </c>
      <c r="D237" s="3">
        <v>62</v>
      </c>
      <c r="E237" s="3">
        <f>IF(ISERROR(VLOOKUP($A237,'SegEnds_NonXtal_BW#'!$A:$Z,4,FALSE)+VLOOKUP($A237,A:AL,4,FALSE)-50),"-",(VLOOKUP($A237,'SegEnds_NonXtal_BW#'!$A:$Z,4,FALSE)+VLOOKUP($A237,A:AL,4,FALSE)-50))</f>
        <v>72</v>
      </c>
      <c r="F237" s="3">
        <f t="shared" si="163"/>
        <v>73</v>
      </c>
      <c r="G237" s="3">
        <v>75</v>
      </c>
      <c r="H237" s="3">
        <f t="shared" si="164"/>
        <v>76</v>
      </c>
      <c r="I237" s="3">
        <f t="shared" si="164"/>
        <v>77</v>
      </c>
      <c r="J237" s="3">
        <v>90</v>
      </c>
      <c r="K237" s="3">
        <f>VLOOKUP($A237,'SegEnds_NonXtal_BW#'!$A:$Z,8,FALSE)+VLOOKUP($A237,A:AL,10,FALSE)-50</f>
        <v>106</v>
      </c>
      <c r="L237" s="3">
        <f t="shared" si="165"/>
        <v>108</v>
      </c>
      <c r="M237" s="3">
        <v>109</v>
      </c>
      <c r="N237" s="3">
        <f t="shared" si="166"/>
        <v>111</v>
      </c>
      <c r="O237" s="3">
        <f t="shared" si="162"/>
        <v>112</v>
      </c>
      <c r="P237" s="3">
        <v>141</v>
      </c>
      <c r="Q237" s="3">
        <f>VLOOKUP($A237,'SegEnds_NonXtal_BW#'!$A:$Z,12,FALSE)+VLOOKUP($A237,A:AL,16,FALSE)-50</f>
        <v>147</v>
      </c>
      <c r="R237" s="3">
        <f>IF(ISERROR(VLOOKUP($A237,'SegEnds_NonXtal_BW#'!$A:$Z,13,FALSE)+VLOOKUP($A237,A:AL,19,FALSE)-50),"-",VLOOKUP($A237,'SegEnds_NonXtal_BW#'!$A:$Z,13,FALSE)+VLOOKUP($A237,A:AL,19,FALSE)-50)</f>
        <v>148</v>
      </c>
      <c r="S237" s="3">
        <v>148</v>
      </c>
      <c r="T237" s="100">
        <f>IF(ISERROR(VLOOKUP($A237,'SegEnds_NonXtal_BW#'!$A:$Z,14,FALSE)+VLOOKUP($A237,A:AL,19,FALSE)-50),"-",(VLOOKUP($A237,'SegEnds_NonXtal_BW#'!$A:$Z,14,FALSE)+VLOOKUP($A237,A:AL,19,FALSE)-50))</f>
        <v>155</v>
      </c>
      <c r="U237" s="9">
        <f>IF(ISERROR(VLOOKUP($A237,'SegEnds_NonXtal_BW#'!$A:$Z,15,FALSE)+VLOOKUP($A237,A:AL,22,FALSE)-50),"-",VLOOKUP($A237,'SegEnds_NonXtal_BW#'!$A:$Z,15,FALSE)+VLOOKUP($A237,A:AL,22,FALSE)-50)</f>
        <v>156</v>
      </c>
      <c r="V237" s="3">
        <v>168</v>
      </c>
      <c r="W237" s="3">
        <f>IF(ISERROR(VLOOKUP($A237,'SegEnds_NonXtal_BW#'!$A:$Z,16,FALSE)+VLOOKUP($A237,A:AL,22,FALSE)-50),"-",(VLOOKUP($A237,'SegEnds_NonXtal_BW#'!$A:$Z,16,FALSE)+VLOOKUP($A237,A:AL,22,FALSE)-50))</f>
        <v>182</v>
      </c>
      <c r="X237" s="3">
        <f>IF(ISERROR(VLOOKUP($A237,'SegEnds_NonXtal_BW#'!$A:$Z,17,FALSE)+VLOOKUP($A237,A:AL,25,FALSE)-50),"-",(VLOOKUP($A237,'SegEnds_NonXtal_BW#'!$A:$Z,17,FALSE)+VLOOKUP($A237,A:AL,25,FALSE)-50))</f>
        <v>191</v>
      </c>
      <c r="Y237" s="3">
        <v>191</v>
      </c>
      <c r="Z237" s="3">
        <f t="shared" si="167"/>
        <v>193</v>
      </c>
      <c r="AA237" s="3">
        <f>IF(ISERROR(VLOOKUP($A237,'SegEnds_NonXtal_BW#'!$A:$Z,19,FALSE)+VLOOKUP($A237,A:AL,28,FALSE)-50),"-",(VLOOKUP($A237,'SegEnds_NonXtal_BW#'!$A:$Z,19,FALSE)+VLOOKUP($A237,A:AL,28,FALSE)-50))</f>
        <v>198</v>
      </c>
      <c r="AB237" s="3">
        <v>218</v>
      </c>
      <c r="AC237" s="3">
        <f>IF(ISERROR((VLOOKUP($A237,'SegEnds_NonXtal_BW#'!$A:$Z,20,FALSE)+VLOOKUP($A237,A:AL,28,FALSE)-50)),"-",(VLOOKUP($A237,'SegEnds_NonXtal_BW#'!$A:$Z,20,FALSE)+VLOOKUP($A237,A:AL,28,FALSE)-50))</f>
        <v>240</v>
      </c>
      <c r="AD237" s="3">
        <f>IF(ISERROR(VLOOKUP($A237,'SegEnds_NonXtal_BW#'!$A:$Z,21,FALSE)+VLOOKUP($A237,A:AL,31,FALSE)-50),"-",(VLOOKUP($A237,'SegEnds_NonXtal_BW#'!$A:$Z,21,FALSE)+VLOOKUP($A237,A:AL,31,FALSE)-50))</f>
        <v>246</v>
      </c>
      <c r="AE237" s="3">
        <v>272</v>
      </c>
      <c r="AF237" s="3">
        <f>IF(ISERROR((VLOOKUP($A237,'SegEnds_NonXtal_BW#'!$A:$Z,22,FALSE)+VLOOKUP($A237,A:AL,31,FALSE)-50)),"-",(VLOOKUP($A237,'SegEnds_NonXtal_BW#'!$A:$Z,22,FALSE)+VLOOKUP($A237,A:AL,31,FALSE)-50))</f>
        <v>283</v>
      </c>
      <c r="AG237" s="3">
        <f>IF(ISERROR(VLOOKUP($A237,'SegEnds_NonXtal_BW#'!$A:$Z,23,FALSE)+VLOOKUP($A237,A:AL,34,FALSE)-50),"-",(VLOOKUP($A237,'SegEnds_NonXtal_BW#'!$A:$Z,23,FALSE)+VLOOKUP($A237,A:AL,34,FALSE)-50))</f>
        <v>288</v>
      </c>
      <c r="AH237" s="3">
        <v>310</v>
      </c>
      <c r="AI237" s="3">
        <f>IF(ISERROR((VLOOKUP($A237,'SegEnds_NonXtal_BW#'!$A:$Z,24,FALSE)+VLOOKUP($A237,A:AL,34,FALSE)-50)),"-",(VLOOKUP($A237,'SegEnds_NonXtal_BW#'!$A:$Z,24,FALSE)+VLOOKUP($A237,A:AL,34,FALSE)-50))</f>
        <v>316</v>
      </c>
      <c r="AJ237" s="3">
        <f>IF(ISERROR(VLOOKUP($A237,'SegEnds_NonXtal_BW#'!$A:$Z,25,FALSE)+VLOOKUP($A237,A:AL,37,FALSE)-50),"-",(VLOOKUP($A237,'SegEnds_NonXtal_BW#'!$A:$Z,25,FALSE)+VLOOKUP($A237,A:AL,37,FALSE)-50))</f>
        <v>317</v>
      </c>
      <c r="AK237" s="3">
        <v>320</v>
      </c>
      <c r="AL237" s="3">
        <f>IF(ISERROR((VLOOKUP($A237,'SegEnds_NonXtal_BW#'!$A:$Z,26,FALSE)+VLOOKUP($A237,A:AL,37,FALSE)-50)),"-",(VLOOKUP($A237,'SegEnds_NonXtal_BW#'!$A:$Z,26,FALSE)+VLOOKUP($A237,A:AL,37,FALSE)-50))</f>
        <v>329</v>
      </c>
      <c r="AM237" s="28" t="str">
        <f>VLOOKUP(A237,Classification!A:B,2,FALSE)</f>
        <v>A</v>
      </c>
      <c r="AN237" s="28" t="b">
        <f t="shared" si="156"/>
        <v>1</v>
      </c>
      <c r="AO237" s="3" t="str">
        <f>IF(ISERROR(MATCH(A237,'SegEnds_Xtal_Prot#'!B:B, 0)), "NoXtal", "Xtal")</f>
        <v>NoXtal</v>
      </c>
      <c r="AP237" s="3">
        <f t="shared" si="141"/>
        <v>1</v>
      </c>
      <c r="AQ237" s="3">
        <f t="shared" si="142"/>
        <v>1</v>
      </c>
      <c r="AR237" s="3">
        <f t="shared" si="143"/>
        <v>2</v>
      </c>
      <c r="AS237" s="3">
        <f t="shared" si="144"/>
        <v>1</v>
      </c>
      <c r="AT237" s="3">
        <f t="shared" si="145"/>
        <v>1</v>
      </c>
      <c r="AU237" s="3">
        <f t="shared" si="146"/>
        <v>1</v>
      </c>
      <c r="AV237" s="3">
        <f t="shared" si="147"/>
        <v>9</v>
      </c>
      <c r="AW237" s="3">
        <f t="shared" si="148"/>
        <v>5</v>
      </c>
      <c r="AX237" s="3">
        <f t="shared" si="149"/>
        <v>6</v>
      </c>
      <c r="AY237" s="3">
        <f t="shared" si="150"/>
        <v>5</v>
      </c>
      <c r="AZ237" s="3">
        <f t="shared" si="151"/>
        <v>1</v>
      </c>
      <c r="BA237" s="3">
        <f>IF(ISERROR(LEN(VLOOKUP(A237,Seqs!A:E,2,FALSE))-AL237),"-",LEN(VLOOKUP(A237,Seqs!A:E,2,FALSE))-AL237)</f>
        <v>89</v>
      </c>
      <c r="BB237" s="16">
        <f t="shared" si="152"/>
        <v>28</v>
      </c>
      <c r="BC237" s="9">
        <f t="shared" si="153"/>
        <v>20</v>
      </c>
      <c r="BD237" s="3">
        <f t="shared" si="154"/>
        <v>28</v>
      </c>
      <c r="BE237" s="3">
        <f t="shared" si="155"/>
        <v>54</v>
      </c>
    </row>
    <row r="238" spans="1:58" s="3" customFormat="1" x14ac:dyDescent="0.2">
      <c r="A238" s="3" t="s">
        <v>383</v>
      </c>
      <c r="B238" s="3" t="str">
        <f>LOWER(VLOOKUP(A238,Xtal_Templ!A:B,2,FALSE))</f>
        <v>oprd_human</v>
      </c>
      <c r="C238" s="3">
        <f>VLOOKUP($A238,'SegEnds_NonXtal_BW#'!$A:$Z,3,FALSE)+D238-50</f>
        <v>37</v>
      </c>
      <c r="D238" s="3">
        <v>65</v>
      </c>
      <c r="E238" s="3">
        <f>IF(ISERROR(VLOOKUP($A238,'SegEnds_NonXtal_BW#'!$A:$Z,4,FALSE)+VLOOKUP($A238,A:AL,4,FALSE)-50),"-",(VLOOKUP($A238,'SegEnds_NonXtal_BW#'!$A:$Z,4,FALSE)+VLOOKUP($A238,A:AL,4,FALSE)-50))</f>
        <v>75</v>
      </c>
      <c r="F238" s="3">
        <f t="shared" si="163"/>
        <v>76</v>
      </c>
      <c r="G238" s="3">
        <v>78</v>
      </c>
      <c r="H238" s="3">
        <f t="shared" si="164"/>
        <v>79</v>
      </c>
      <c r="I238" s="3">
        <f t="shared" si="164"/>
        <v>80</v>
      </c>
      <c r="J238" s="3">
        <v>93</v>
      </c>
      <c r="K238" s="3">
        <f>VLOOKUP($A238,'SegEnds_NonXtal_BW#'!$A:$Z,8,FALSE)+VLOOKUP($A238,A:AL,10,FALSE)-50</f>
        <v>109</v>
      </c>
      <c r="L238" s="3">
        <f t="shared" si="165"/>
        <v>111</v>
      </c>
      <c r="M238" s="3">
        <v>112</v>
      </c>
      <c r="N238" s="3">
        <f t="shared" si="166"/>
        <v>114</v>
      </c>
      <c r="O238" s="3">
        <f t="shared" si="162"/>
        <v>115</v>
      </c>
      <c r="P238" s="3">
        <v>144</v>
      </c>
      <c r="Q238" s="3">
        <f>VLOOKUP($A238,'SegEnds_NonXtal_BW#'!$A:$Z,12,FALSE)+VLOOKUP($A238,A:AL,16,FALSE)-50</f>
        <v>150</v>
      </c>
      <c r="R238" s="3">
        <f>IF(ISERROR(VLOOKUP($A238,'SegEnds_NonXtal_BW#'!$A:$Z,13,FALSE)+VLOOKUP($A238,A:AL,19,FALSE)-50),"-",VLOOKUP($A238,'SegEnds_NonXtal_BW#'!$A:$Z,13,FALSE)+VLOOKUP($A238,A:AL,19,FALSE)-50)</f>
        <v>151</v>
      </c>
      <c r="S238" s="3">
        <v>151</v>
      </c>
      <c r="T238" s="100">
        <f>IF(ISERROR(VLOOKUP($A238,'SegEnds_NonXtal_BW#'!$A:$Z,14,FALSE)+VLOOKUP($A238,A:AL,19,FALSE)-50),"-",(VLOOKUP($A238,'SegEnds_NonXtal_BW#'!$A:$Z,14,FALSE)+VLOOKUP($A238,A:AL,19,FALSE)-50))</f>
        <v>158</v>
      </c>
      <c r="U238" s="9">
        <f>IF(ISERROR(VLOOKUP($A238,'SegEnds_NonXtal_BW#'!$A:$Z,15,FALSE)+VLOOKUP($A238,A:AL,22,FALSE)-50),"-",VLOOKUP($A238,'SegEnds_NonXtal_BW#'!$A:$Z,15,FALSE)+VLOOKUP($A238,A:AL,22,FALSE)-50)</f>
        <v>159</v>
      </c>
      <c r="V238" s="3">
        <v>171</v>
      </c>
      <c r="W238" s="3">
        <f>IF(ISERROR(VLOOKUP($A238,'SegEnds_NonXtal_BW#'!$A:$Z,16,FALSE)+VLOOKUP($A238,A:AL,22,FALSE)-50),"-",(VLOOKUP($A238,'SegEnds_NonXtal_BW#'!$A:$Z,16,FALSE)+VLOOKUP($A238,A:AL,22,FALSE)-50))</f>
        <v>185</v>
      </c>
      <c r="X238" s="3">
        <f>IF(ISERROR(VLOOKUP($A238,'SegEnds_NonXtal_BW#'!$A:$Z,17,FALSE)+VLOOKUP($A238,A:AL,25,FALSE)-50),"-",(VLOOKUP($A238,'SegEnds_NonXtal_BW#'!$A:$Z,17,FALSE)+VLOOKUP($A238,A:AL,25,FALSE)-50))</f>
        <v>198</v>
      </c>
      <c r="Y238" s="3">
        <v>198</v>
      </c>
      <c r="Z238" s="3">
        <f t="shared" si="167"/>
        <v>200</v>
      </c>
      <c r="AA238" s="3">
        <f>IF(ISERROR(VLOOKUP($A238,'SegEnds_NonXtal_BW#'!$A:$Z,19,FALSE)+VLOOKUP($A238,A:AL,28,FALSE)-50),"-",(VLOOKUP($A238,'SegEnds_NonXtal_BW#'!$A:$Z,19,FALSE)+VLOOKUP($A238,A:AL,28,FALSE)-50))</f>
        <v>204</v>
      </c>
      <c r="AB238" s="3">
        <v>223</v>
      </c>
      <c r="AC238" s="3">
        <f>IF(ISERROR((VLOOKUP($A238,'SegEnds_NonXtal_BW#'!$A:$Z,20,FALSE)+VLOOKUP($A238,A:AL,28,FALSE)-50)),"-",(VLOOKUP($A238,'SegEnds_NonXtal_BW#'!$A:$Z,20,FALSE)+VLOOKUP($A238,A:AL,28,FALSE)-50))</f>
        <v>241</v>
      </c>
      <c r="AD238" s="3">
        <f>IF(ISERROR(VLOOKUP($A238,'SegEnds_NonXtal_BW#'!$A:$Z,21,FALSE)+VLOOKUP($A238,A:AL,31,FALSE)-50),"-",(VLOOKUP($A238,'SegEnds_NonXtal_BW#'!$A:$Z,21,FALSE)+VLOOKUP($A238,A:AL,31,FALSE)-50))</f>
        <v>247</v>
      </c>
      <c r="AE238" s="3">
        <v>274</v>
      </c>
      <c r="AF238" s="3">
        <f>IF(ISERROR((VLOOKUP($A238,'SegEnds_NonXtal_BW#'!$A:$Z,22,FALSE)+VLOOKUP($A238,A:AL,31,FALSE)-50)),"-",(VLOOKUP($A238,'SegEnds_NonXtal_BW#'!$A:$Z,22,FALSE)+VLOOKUP($A238,A:AL,31,FALSE)-50))</f>
        <v>285</v>
      </c>
      <c r="AG238" s="3">
        <f>IF(ISERROR(VLOOKUP($A238,'SegEnds_NonXtal_BW#'!$A:$Z,23,FALSE)+VLOOKUP($A238,A:AL,34,FALSE)-50),"-",(VLOOKUP($A238,'SegEnds_NonXtal_BW#'!$A:$Z,23,FALSE)+VLOOKUP($A238,A:AL,34,FALSE)-50))</f>
        <v>290</v>
      </c>
      <c r="AH238" s="3">
        <v>308</v>
      </c>
      <c r="AI238" s="3">
        <f>IF(ISERROR((VLOOKUP($A238,'SegEnds_NonXtal_BW#'!$A:$Z,24,FALSE)+VLOOKUP($A238,A:AL,34,FALSE)-50)),"-",(VLOOKUP($A238,'SegEnds_NonXtal_BW#'!$A:$Z,24,FALSE)+VLOOKUP($A238,A:AL,34,FALSE)-50))</f>
        <v>314</v>
      </c>
      <c r="AJ238" s="3">
        <f>IF(ISERROR(VLOOKUP($A238,'SegEnds_NonXtal_BW#'!$A:$Z,25,FALSE)+VLOOKUP($A238,A:AL,37,FALSE)-50),"-",(VLOOKUP($A238,'SegEnds_NonXtal_BW#'!$A:$Z,25,FALSE)+VLOOKUP($A238,A:AL,37,FALSE)-50))</f>
        <v>315</v>
      </c>
      <c r="AK238" s="3">
        <v>318</v>
      </c>
      <c r="AL238" s="3">
        <f>IF(ISERROR((VLOOKUP($A238,'SegEnds_NonXtal_BW#'!$A:$Z,26,FALSE)+VLOOKUP($A238,A:AL,37,FALSE)-50)),"-",(VLOOKUP($A238,'SegEnds_NonXtal_BW#'!$A:$Z,26,FALSE)+VLOOKUP($A238,A:AL,37,FALSE)-50))</f>
        <v>328</v>
      </c>
      <c r="AM238" s="28" t="str">
        <f>VLOOKUP(A238,Classification!A:B,2,FALSE)</f>
        <v>A</v>
      </c>
      <c r="AN238" s="28" t="b">
        <f t="shared" si="156"/>
        <v>1</v>
      </c>
      <c r="AO238" s="3" t="str">
        <f>IF(ISERROR(MATCH(A238,'SegEnds_Xtal_Prot#'!B:B, 0)), "NoXtal", "Xtal")</f>
        <v>NoXtal</v>
      </c>
      <c r="AP238" s="3">
        <f t="shared" si="141"/>
        <v>1</v>
      </c>
      <c r="AQ238" s="3">
        <f t="shared" si="142"/>
        <v>1</v>
      </c>
      <c r="AR238" s="3">
        <f t="shared" si="143"/>
        <v>2</v>
      </c>
      <c r="AS238" s="3">
        <f t="shared" si="144"/>
        <v>1</v>
      </c>
      <c r="AT238" s="3">
        <f t="shared" si="145"/>
        <v>1</v>
      </c>
      <c r="AU238" s="3">
        <f t="shared" si="146"/>
        <v>1</v>
      </c>
      <c r="AV238" s="3">
        <f t="shared" si="147"/>
        <v>13</v>
      </c>
      <c r="AW238" s="3">
        <f t="shared" si="148"/>
        <v>4</v>
      </c>
      <c r="AX238" s="3">
        <f t="shared" si="149"/>
        <v>6</v>
      </c>
      <c r="AY238" s="3">
        <f t="shared" si="150"/>
        <v>5</v>
      </c>
      <c r="AZ238" s="3">
        <f t="shared" si="151"/>
        <v>1</v>
      </c>
      <c r="BA238" s="3">
        <f>IF(ISERROR(LEN(VLOOKUP(A238,Seqs!A:E,2,FALSE))-AL238),"-",LEN(VLOOKUP(A238,Seqs!A:E,2,FALSE))-AL238)</f>
        <v>60</v>
      </c>
      <c r="BB238" s="16">
        <f t="shared" si="152"/>
        <v>28</v>
      </c>
      <c r="BC238" s="9">
        <f t="shared" si="153"/>
        <v>20</v>
      </c>
      <c r="BD238" s="3">
        <f t="shared" si="154"/>
        <v>28</v>
      </c>
      <c r="BE238" s="3">
        <f t="shared" si="155"/>
        <v>51</v>
      </c>
    </row>
    <row r="239" spans="1:58" s="3" customFormat="1" x14ac:dyDescent="0.2">
      <c r="A239" s="3" t="s">
        <v>384</v>
      </c>
      <c r="B239" s="3" t="str">
        <f>LOWER(VLOOKUP(A239,Xtal_Templ!A:B,2,FALSE))</f>
        <v>oprk_human</v>
      </c>
      <c r="C239" s="3">
        <f>VLOOKUP($A239,'SegEnds_NonXtal_BW#'!$A:$Z,3,FALSE)+D239-50</f>
        <v>38</v>
      </c>
      <c r="D239" s="3">
        <v>58</v>
      </c>
      <c r="E239" s="3">
        <f>IF(ISERROR(VLOOKUP($A239,'SegEnds_NonXtal_BW#'!$A:$Z,4,FALSE)+VLOOKUP($A239,A:AL,4,FALSE)-50),"-",(VLOOKUP($A239,'SegEnds_NonXtal_BW#'!$A:$Z,4,FALSE)+VLOOKUP($A239,A:AL,4,FALSE)-50))</f>
        <v>68</v>
      </c>
      <c r="F239" s="3">
        <f t="shared" si="163"/>
        <v>69</v>
      </c>
      <c r="G239" s="3">
        <v>71</v>
      </c>
      <c r="H239" s="3">
        <f t="shared" si="164"/>
        <v>72</v>
      </c>
      <c r="I239" s="3">
        <f t="shared" si="164"/>
        <v>73</v>
      </c>
      <c r="J239" s="3">
        <v>86</v>
      </c>
      <c r="K239" s="3">
        <f>VLOOKUP($A239,'SegEnds_NonXtal_BW#'!$A:$Z,8,FALSE)+VLOOKUP($A239,A:AL,10,FALSE)-50</f>
        <v>102</v>
      </c>
      <c r="L239" s="3">
        <f t="shared" si="165"/>
        <v>104</v>
      </c>
      <c r="M239" s="3">
        <v>105</v>
      </c>
      <c r="N239" s="3">
        <f t="shared" si="166"/>
        <v>107</v>
      </c>
      <c r="O239" s="3">
        <f t="shared" si="162"/>
        <v>108</v>
      </c>
      <c r="P239" s="3">
        <v>137</v>
      </c>
      <c r="Q239" s="3">
        <f>VLOOKUP($A239,'SegEnds_NonXtal_BW#'!$A:$Z,12,FALSE)+VLOOKUP($A239,A:AL,16,FALSE)-50</f>
        <v>143</v>
      </c>
      <c r="R239" s="3">
        <f>IF(ISERROR(VLOOKUP($A239,'SegEnds_NonXtal_BW#'!$A:$Z,13,FALSE)+VLOOKUP($A239,A:AL,19,FALSE)-50),"-",VLOOKUP($A239,'SegEnds_NonXtal_BW#'!$A:$Z,13,FALSE)+VLOOKUP($A239,A:AL,19,FALSE)-50)</f>
        <v>144</v>
      </c>
      <c r="S239" s="3">
        <v>144</v>
      </c>
      <c r="T239" s="100">
        <f>IF(ISERROR(VLOOKUP($A239,'SegEnds_NonXtal_BW#'!$A:$Z,14,FALSE)+VLOOKUP($A239,A:AL,19,FALSE)-50),"-",(VLOOKUP($A239,'SegEnds_NonXtal_BW#'!$A:$Z,14,FALSE)+VLOOKUP($A239,A:AL,19,FALSE)-50))</f>
        <v>151</v>
      </c>
      <c r="U239" s="9">
        <f>IF(ISERROR(VLOOKUP($A239,'SegEnds_NonXtal_BW#'!$A:$Z,15,FALSE)+VLOOKUP($A239,A:AL,22,FALSE)-50),"-",VLOOKUP($A239,'SegEnds_NonXtal_BW#'!$A:$Z,15,FALSE)+VLOOKUP($A239,A:AL,22,FALSE)-50)</f>
        <v>152</v>
      </c>
      <c r="V239" s="3">
        <v>164</v>
      </c>
      <c r="W239" s="3">
        <f>IF(ISERROR(VLOOKUP($A239,'SegEnds_NonXtal_BW#'!$A:$Z,16,FALSE)+VLOOKUP($A239,A:AL,22,FALSE)-50),"-",(VLOOKUP($A239,'SegEnds_NonXtal_BW#'!$A:$Z,16,FALSE)+VLOOKUP($A239,A:AL,22,FALSE)-50))</f>
        <v>178</v>
      </c>
      <c r="X239" s="3">
        <f>IF(ISERROR(VLOOKUP($A239,'SegEnds_NonXtal_BW#'!$A:$Z,17,FALSE)+VLOOKUP($A239,A:AL,25,FALSE)-50),"-",(VLOOKUP($A239,'SegEnds_NonXtal_BW#'!$A:$Z,17,FALSE)+VLOOKUP($A239,A:AL,25,FALSE)-50))</f>
        <v>186</v>
      </c>
      <c r="Y239" s="3">
        <v>186</v>
      </c>
      <c r="Z239" s="3">
        <f t="shared" si="167"/>
        <v>188</v>
      </c>
      <c r="AA239" s="3">
        <f>IF(ISERROR(VLOOKUP($A239,'SegEnds_NonXtal_BW#'!$A:$Z,19,FALSE)+VLOOKUP($A239,A:AL,28,FALSE)-50),"-",(VLOOKUP($A239,'SegEnds_NonXtal_BW#'!$A:$Z,19,FALSE)+VLOOKUP($A239,A:AL,28,FALSE)-50))</f>
        <v>193</v>
      </c>
      <c r="AB239" s="3">
        <v>213</v>
      </c>
      <c r="AC239" s="3">
        <f>IF(ISERROR((VLOOKUP($A239,'SegEnds_NonXtal_BW#'!$A:$Z,20,FALSE)+VLOOKUP($A239,A:AL,28,FALSE)-50)),"-",(VLOOKUP($A239,'SegEnds_NonXtal_BW#'!$A:$Z,20,FALSE)+VLOOKUP($A239,A:AL,28,FALSE)-50))</f>
        <v>235</v>
      </c>
      <c r="AD239" s="3">
        <f>IF(ISERROR(VLOOKUP($A239,'SegEnds_NonXtal_BW#'!$A:$Z,21,FALSE)+VLOOKUP($A239,A:AL,31,FALSE)-50),"-",(VLOOKUP($A239,'SegEnds_NonXtal_BW#'!$A:$Z,21,FALSE)+VLOOKUP($A239,A:AL,31,FALSE)-50))</f>
        <v>242</v>
      </c>
      <c r="AE239" s="3">
        <v>263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301</v>
      </c>
      <c r="AI239" s="3">
        <f>IF(ISERROR((VLOOKUP($A239,'SegEnds_NonXtal_BW#'!$A:$Z,24,FALSE)+VLOOKUP($A239,A:AL,34,FALSE)-50)),"-",(VLOOKUP($A239,'SegEnds_NonXtal_BW#'!$A:$Z,24,FALSE)+VLOOKUP($A239,A:AL,34,FALSE)-50))</f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320</v>
      </c>
      <c r="AM239" s="28" t="str">
        <f>VLOOKUP(A239,Classification!A:B,2,FALSE)</f>
        <v>A</v>
      </c>
      <c r="AN239" s="28" t="b">
        <f t="shared" si="156"/>
        <v>1</v>
      </c>
      <c r="AO239" s="3" t="str">
        <f>IF(ISERROR(MATCH(A239,'SegEnds_Xtal_Prot#'!B:B, 0)), "NoXtal", "Xtal")</f>
        <v>NoXtal</v>
      </c>
      <c r="AP239" s="3">
        <f t="shared" si="141"/>
        <v>1</v>
      </c>
      <c r="AQ239" s="3">
        <f t="shared" si="142"/>
        <v>1</v>
      </c>
      <c r="AR239" s="3">
        <f t="shared" si="143"/>
        <v>2</v>
      </c>
      <c r="AS239" s="3">
        <f t="shared" si="144"/>
        <v>1</v>
      </c>
      <c r="AT239" s="3">
        <f t="shared" si="145"/>
        <v>1</v>
      </c>
      <c r="AU239" s="3">
        <f t="shared" si="146"/>
        <v>1</v>
      </c>
      <c r="AV239" s="3">
        <f t="shared" si="147"/>
        <v>8</v>
      </c>
      <c r="AW239" s="3">
        <f t="shared" si="148"/>
        <v>5</v>
      </c>
      <c r="AX239" s="3">
        <f t="shared" si="149"/>
        <v>7</v>
      </c>
      <c r="AY239" s="3">
        <f t="shared" si="150"/>
        <v>5</v>
      </c>
      <c r="AZ239" s="3">
        <f t="shared" si="151"/>
        <v>1</v>
      </c>
      <c r="BA239" s="3">
        <f>IF(ISERROR(LEN(VLOOKUP(A239,Seqs!A:E,2,FALSE))-AL239),"-",LEN(VLOOKUP(A239,Seqs!A:E,2,FALSE))-AL239)</f>
        <v>44</v>
      </c>
      <c r="BB239" s="16">
        <f t="shared" si="152"/>
        <v>28</v>
      </c>
      <c r="BC239" s="9">
        <f t="shared" si="153"/>
        <v>20</v>
      </c>
      <c r="BD239" s="3">
        <f t="shared" si="154"/>
        <v>28</v>
      </c>
      <c r="BE239" s="3">
        <f t="shared" si="155"/>
        <v>50</v>
      </c>
    </row>
    <row r="240" spans="1:58" s="3" customFormat="1" x14ac:dyDescent="0.2">
      <c r="A240" s="3" t="s">
        <v>385</v>
      </c>
      <c r="B240" s="3" t="str">
        <f>LOWER(VLOOKUP(A240,Xtal_Templ!A:B,2,FALSE))</f>
        <v>sucr1_rat</v>
      </c>
      <c r="C240" s="3">
        <f>VLOOKUP($A240,'SegEnds_NonXtal_BW#'!$A:$Z,3,FALSE)+D240-50</f>
        <v>11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56</v>
      </c>
      <c r="J240" s="3">
        <v>69</v>
      </c>
      <c r="K240" s="3">
        <f>VLOOKUP($A240,'SegEnds_NonXtal_BW#'!$A:$Z,8,FALSE)+VLOOKUP($A240,A:AL,10,FALSE)-50</f>
        <v>85</v>
      </c>
      <c r="L240" s="3">
        <f t="shared" si="165"/>
        <v>87</v>
      </c>
      <c r="M240" s="3">
        <v>88</v>
      </c>
      <c r="N240" s="3">
        <f t="shared" si="166"/>
        <v>90</v>
      </c>
      <c r="O240" s="3">
        <f t="shared" si="162"/>
        <v>91</v>
      </c>
      <c r="P240" s="3">
        <v>120</v>
      </c>
      <c r="Q240" s="3">
        <f>VLOOKUP($A240,'SegEnds_NonXtal_BW#'!$A:$Z,12,FALSE)+VLOOKUP($A240,A:AL,16,FALSE)-50</f>
        <v>126</v>
      </c>
      <c r="R240" s="3">
        <f>IF(ISERROR(VLOOKUP($A240,'SegEnds_NonXtal_BW#'!$A:$Z,13,FALSE)+VLOOKUP($A240,A:AL,19,FALSE)-50),"-",VLOOKUP($A240,'SegEnds_NonXtal_BW#'!$A:$Z,13,FALSE)+VLOOKUP($A240,A:AL,19,FALSE)-50)</f>
        <v>127</v>
      </c>
      <c r="S240" s="3">
        <v>127</v>
      </c>
      <c r="T240" s="100">
        <f>IF(ISERROR(VLOOKUP($A240,'SegEnds_NonXtal_BW#'!$A:$Z,14,FALSE)+VLOOKUP($A240,A:AL,19,FALSE)-50),"-",(VLOOKUP($A240,'SegEnds_NonXtal_BW#'!$A:$Z,14,FALSE)+VLOOKUP($A240,A:AL,19,FALSE)-50))</f>
        <v>134</v>
      </c>
      <c r="U240" s="9">
        <f>IF(ISERROR(VLOOKUP($A240,'SegEnds_NonXtal_BW#'!$A:$Z,15,FALSE)+VLOOKUP($A240,A:AL,22,FALSE)-50),"-",VLOOKUP($A240,'SegEnds_NonXtal_BW#'!$A:$Z,15,FALSE)+VLOOKUP($A240,A:AL,22,FALSE)-50)</f>
        <v>135</v>
      </c>
      <c r="V240" s="3">
        <v>147</v>
      </c>
      <c r="W240" s="3">
        <f>IF(ISERROR(VLOOKUP($A240,'SegEnds_NonXtal_BW#'!$A:$Z,16,FALSE)+VLOOKUP($A240,A:AL,22,FALSE)-50),"-",(VLOOKUP($A240,'SegEnds_NonXtal_BW#'!$A:$Z,16,FALSE)+VLOOKUP($A240,A:AL,22,FALSE)-50))</f>
        <v>164</v>
      </c>
      <c r="X240" s="3">
        <f>IF(ISERROR(VLOOKUP($A240,'SegEnds_NonXtal_BW#'!$A:$Z,17,FALSE)+VLOOKUP($A240,A:AL,25,FALSE)-50),"-",(VLOOKUP($A240,'SegEnds_NonXtal_BW#'!$A:$Z,17,FALSE)+VLOOKUP($A240,A:AL,25,FALSE)-50))</f>
        <v>172</v>
      </c>
      <c r="Y240" s="3">
        <v>172</v>
      </c>
      <c r="Z240" s="3">
        <f t="shared" si="167"/>
        <v>174</v>
      </c>
      <c r="AA240" s="3">
        <f>IF(ISERROR(VLOOKUP($A240,'SegEnds_NonXtal_BW#'!$A:$Z,19,FALSE)+VLOOKUP($A240,A:AL,28,FALSE)-50),"-",(VLOOKUP($A240,'SegEnds_NonXtal_BW#'!$A:$Z,19,FALSE)+VLOOKUP($A240,A:AL,28,FALSE)-50))</f>
        <v>180</v>
      </c>
      <c r="AB240" s="3">
        <v>199</v>
      </c>
      <c r="AC240" s="3">
        <f>IF(ISERROR((VLOOKUP($A240,'SegEnds_NonXtal_BW#'!$A:$Z,20,FALSE)+VLOOKUP($A240,A:AL,28,FALSE)-50)),"-",(VLOOKUP($A240,'SegEnds_NonXtal_BW#'!$A:$Z,20,FALSE)+VLOOKUP($A240,A:AL,28,FALSE)-50))</f>
        <v>217</v>
      </c>
      <c r="AD240" s="3">
        <f>IF(ISERROR(VLOOKUP($A240,'SegEnds_NonXtal_BW#'!$A:$Z,21,FALSE)+VLOOKUP($A240,A:AL,31,FALSE)-50),"-",(VLOOKUP($A240,'SegEnds_NonXtal_BW#'!$A:$Z,21,FALSE)+VLOOKUP($A240,A:AL,31,FALSE)-50))</f>
        <v>221</v>
      </c>
      <c r="AE240" s="3">
        <v>247</v>
      </c>
      <c r="AF240" s="3">
        <f>IF(ISERROR((VLOOKUP($A240,'SegEnds_NonXtal_BW#'!$A:$Z,22,FALSE)+VLOOKUP($A240,A:AL,31,FALSE)-50)),"-",(VLOOKUP($A240,'SegEnds_NonXtal_BW#'!$A:$Z,22,FALSE)+VLOOKUP($A240,A:AL,31,FALSE)-50))</f>
        <v>261</v>
      </c>
      <c r="AG240" s="3">
        <f>IF(ISERROR(VLOOKUP($A240,'SegEnds_NonXtal_BW#'!$A:$Z,23,FALSE)+VLOOKUP($A240,A:AL,34,FALSE)-50),"-",(VLOOKUP($A240,'SegEnds_NonXtal_BW#'!$A:$Z,23,FALSE)+VLOOKUP($A240,A:AL,34,FALSE)-50))</f>
        <v>266</v>
      </c>
      <c r="AH240" s="3">
        <v>292</v>
      </c>
      <c r="AI240" s="3">
        <f>IF(ISERROR((VLOOKUP($A240,'SegEnds_NonXtal_BW#'!$A:$Z,24,FALSE)+VLOOKUP($A240,A:AL,34,FALSE)-50)),"-",(VLOOKUP($A240,'SegEnds_NonXtal_BW#'!$A:$Z,24,FALSE)+VLOOKUP($A240,A:AL,34,FALSE)-50))</f>
        <v>298</v>
      </c>
      <c r="AJ240" s="3">
        <f>IF(ISERROR(VLOOKUP($A240,'SegEnds_NonXtal_BW#'!$A:$Z,25,FALSE)+VLOOKUP($A240,A:AL,37,FALSE)-50),"-",(VLOOKUP($A240,'SegEnds_NonXtal_BW#'!$A:$Z,25,FALSE)+VLOOKUP($A240,A:AL,37,FALSE)-50))</f>
        <v>299</v>
      </c>
      <c r="AK240" s="3">
        <v>302</v>
      </c>
      <c r="AL240" s="3">
        <f>IF(ISERROR((VLOOKUP($A240,'SegEnds_NonXtal_BW#'!$A:$Z,26,FALSE)+VLOOKUP($A240,A:AL,37,FALSE)-50)),"-",(VLOOKUP($A240,'SegEnds_NonXtal_BW#'!$A:$Z,26,FALSE)+VLOOKUP($A240,A:AL,37,FALSE)-50))</f>
        <v>317</v>
      </c>
      <c r="AM240" s="28" t="str">
        <f>VLOOKUP(A240,Classification!A:B,2,FALSE)</f>
        <v>A</v>
      </c>
      <c r="AN240" s="28" t="b">
        <f t="shared" si="156"/>
        <v>1</v>
      </c>
      <c r="AO240" s="3" t="str">
        <f>IF(ISERROR(MATCH(A240,'SegEnds_Xtal_Prot#'!B:B, 0)), "NoXtal", "Xtal")</f>
        <v>NoXtal</v>
      </c>
      <c r="AP240" s="3" t="str">
        <f t="shared" si="141"/>
        <v>-</v>
      </c>
      <c r="AQ240" s="3" t="str">
        <f t="shared" si="142"/>
        <v>-</v>
      </c>
      <c r="AR240" s="3">
        <f t="shared" si="143"/>
        <v>2</v>
      </c>
      <c r="AS240" s="3">
        <f t="shared" si="144"/>
        <v>1</v>
      </c>
      <c r="AT240" s="3">
        <f t="shared" si="145"/>
        <v>1</v>
      </c>
      <c r="AU240" s="3">
        <f t="shared" si="146"/>
        <v>1</v>
      </c>
      <c r="AV240" s="3">
        <f t="shared" si="147"/>
        <v>8</v>
      </c>
      <c r="AW240" s="3">
        <f t="shared" si="148"/>
        <v>6</v>
      </c>
      <c r="AX240" s="3">
        <f t="shared" si="149"/>
        <v>4</v>
      </c>
      <c r="AY240" s="3">
        <f t="shared" si="150"/>
        <v>5</v>
      </c>
      <c r="AZ240" s="3">
        <f t="shared" si="151"/>
        <v>1</v>
      </c>
      <c r="BA240" s="3">
        <f>IF(ISERROR(LEN(VLOOKUP(A240,Seqs!A:E,2,FALSE))-AL240),"-",LEN(VLOOKUP(A240,Seqs!A:E,2,FALSE))-AL240)</f>
        <v>17</v>
      </c>
      <c r="BB240" s="16">
        <f t="shared" si="152"/>
        <v>28</v>
      </c>
      <c r="BC240" s="9">
        <f t="shared" si="153"/>
        <v>20</v>
      </c>
      <c r="BD240" s="3">
        <f t="shared" si="154"/>
        <v>28</v>
      </c>
      <c r="BE240" s="3">
        <f t="shared" si="155"/>
        <v>48</v>
      </c>
      <c r="BF240" s="3">
        <f t="shared" ref="BF240:BF249" si="168">AH240-AE240</f>
        <v>45</v>
      </c>
    </row>
    <row r="241" spans="1:58" s="3" customFormat="1" x14ac:dyDescent="0.2">
      <c r="A241" s="3" t="s">
        <v>1593</v>
      </c>
      <c r="B241" s="3" t="str">
        <f>LOWER(VLOOKUP(A241,Xtal_Templ!A:B,2,FALSE))</f>
        <v>sucr1_rat</v>
      </c>
      <c r="C241" s="3">
        <f>VLOOKUP($A241,'SegEnds_NonXtal_BW#'!$A:$Z,3,FALSE)+D241-50</f>
        <v>7</v>
      </c>
      <c r="D241" s="3">
        <v>37</v>
      </c>
      <c r="E241" s="3">
        <f>IF(ISERROR(VLOOKUP($A241,'SegEnds_NonXtal_BW#'!$A:$Z,4,FALSE)+VLOOKUP($A241,A:AL,4,FALSE)-50),"-",(VLOOKUP($A241,'SegEnds_NonXtal_BW#'!$A:$Z,4,FALSE)+VLOOKUP($A241,A:AL,4,FALSE)-50))</f>
        <v>48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52</v>
      </c>
      <c r="J241" s="3">
        <v>65</v>
      </c>
      <c r="K241" s="3">
        <f>VLOOKUP($A241,'SegEnds_NonXtal_BW#'!$A:$Z,8,FALSE)+VLOOKUP($A241,A:AL,10,FALSE)-50</f>
        <v>82</v>
      </c>
      <c r="L241" s="3">
        <f t="shared" ref="L241" si="169">M241-1</f>
        <v>83</v>
      </c>
      <c r="M241" s="3">
        <v>84</v>
      </c>
      <c r="N241" s="3">
        <f t="shared" ref="N241" si="170">M241+2</f>
        <v>86</v>
      </c>
      <c r="O241" s="3">
        <f t="shared" ref="O241" si="171">N241+1</f>
        <v>87</v>
      </c>
      <c r="P241" s="3">
        <v>116</v>
      </c>
      <c r="Q241" s="3">
        <f>VLOOKUP($A241,'SegEnds_NonXtal_BW#'!$A:$Z,12,FALSE)+VLOOKUP($A241,A:AL,16,FALSE)-50</f>
        <v>122</v>
      </c>
      <c r="R241" s="3">
        <f>IF(ISERROR(VLOOKUP($A241,'SegEnds_NonXtal_BW#'!$A:$Z,13,FALSE)+VLOOKUP($A241,A:AL,19,FALSE)-50),"-",VLOOKUP($A241,'SegEnds_NonXtal_BW#'!$A:$Z,13,FALSE)+VLOOKUP($A241,A:AL,19,FALSE)-50)</f>
        <v>123</v>
      </c>
      <c r="S241" s="3">
        <v>123</v>
      </c>
      <c r="T241" s="100">
        <f>IF(ISERROR(VLOOKUP($A241,'SegEnds_NonXtal_BW#'!$A:$Z,14,FALSE)+VLOOKUP($A241,A:AL,19,FALSE)-50),"-",(VLOOKUP($A241,'SegEnds_NonXtal_BW#'!$A:$Z,14,FALSE)+VLOOKUP($A241,A:AL,19,FALSE)-50))</f>
        <v>130</v>
      </c>
      <c r="U241" s="9">
        <f>IF(ISERROR(VLOOKUP($A241,'SegEnds_NonXtal_BW#'!$A:$Z,15,FALSE)+VLOOKUP($A241,A:AL,22,FALSE)-50),"-",VLOOKUP($A241,'SegEnds_NonXtal_BW#'!$A:$Z,15,FALSE)+VLOOKUP($A241,A:AL,22,FALSE)-50)</f>
        <v>131</v>
      </c>
      <c r="V241" s="3">
        <v>143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168</v>
      </c>
      <c r="Y241" s="3">
        <v>168</v>
      </c>
      <c r="Z241" s="3">
        <f t="shared" ref="Z241" si="172">Y241+2</f>
        <v>170</v>
      </c>
      <c r="AA241" s="3">
        <f>IF(ISERROR(VLOOKUP($A241,'SegEnds_NonXtal_BW#'!$A:$Z,19,FALSE)+VLOOKUP($A241,A:AL,28,FALSE)-50),"-",(VLOOKUP($A241,'SegEnds_NonXtal_BW#'!$A:$Z,19,FALSE)+VLOOKUP($A241,A:AL,28,FALSE)-50))</f>
        <v>176</v>
      </c>
      <c r="AB241" s="3">
        <v>195</v>
      </c>
      <c r="AC241" s="3">
        <f>IF(ISERROR((VLOOKUP($A241,'SegEnds_NonXtal_BW#'!$A:$Z,20,FALSE)+VLOOKUP($A241,A:AL,28,FALSE)-50)),"-",(VLOOKUP($A241,'SegEnds_NonXtal_BW#'!$A:$Z,20,FALSE)+VLOOKUP($A241,A:AL,28,FALSE)-50))</f>
        <v>213</v>
      </c>
      <c r="AD241" s="3">
        <f>IF(ISERROR(VLOOKUP($A241,'SegEnds_NonXtal_BW#'!$A:$Z,21,FALSE)+VLOOKUP($A241,A:AL,31,FALSE)-50),"-",(VLOOKUP($A241,'SegEnds_NonXtal_BW#'!$A:$Z,21,FALSE)+VLOOKUP($A241,A:AL,31,FALSE)-50))</f>
        <v>217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256</v>
      </c>
      <c r="AG241" s="3">
        <f>IF(ISERROR(VLOOKUP($A241,'SegEnds_NonXtal_BW#'!$A:$Z,23,FALSE)+VLOOKUP($A241,A:AL,34,FALSE)-50),"-",(VLOOKUP($A241,'SegEnds_NonXtal_BW#'!$A:$Z,23,FALSE)+VLOOKUP($A241,A:AL,34,FALSE)-50))</f>
        <v>263</v>
      </c>
      <c r="AH241" s="3">
        <v>287</v>
      </c>
      <c r="AI241" s="3">
        <f>IF(ISERROR((VLOOKUP($A241,'SegEnds_NonXtal_BW#'!$A:$Z,24,FALSE)+VLOOKUP($A241,A:AL,34,FALSE)-50)),"-",(VLOOKUP($A241,'SegEnds_NonXtal_BW#'!$A:$Z,24,FALSE)+VLOOKUP($A241,A:AL,34,FALSE)-50))</f>
        <v>293</v>
      </c>
      <c r="AJ241" s="3">
        <f>IF(ISERROR(VLOOKUP($A241,'SegEnds_NonXtal_BW#'!$A:$Z,25,FALSE)+VLOOKUP($A241,A:AL,37,FALSE)-50),"-",(VLOOKUP($A241,'SegEnds_NonXtal_BW#'!$A:$Z,25,FALSE)+VLOOKUP($A241,A:AL,37,FALSE)-50))</f>
        <v>294</v>
      </c>
      <c r="AK241" s="3">
        <v>297</v>
      </c>
      <c r="AL241" s="3">
        <f>IF(ISERROR((VLOOKUP($A241,'SegEnds_NonXtal_BW#'!$A:$Z,26,FALSE)+VLOOKUP($A241,A:AL,37,FALSE)-50)),"-",(VLOOKUP($A241,'SegEnds_NonXtal_BW#'!$A:$Z,26,FALSE)+VLOOKUP($A241,A:AL,37,FALSE)-50))</f>
        <v>312</v>
      </c>
      <c r="AM241" s="28" t="str">
        <f>VLOOKUP(A241,Classification!A:B,2,FALSE)</f>
        <v>A</v>
      </c>
      <c r="AN241" s="28" t="b">
        <f t="shared" ref="AN241" si="173">AND(IF(Y241="-",IF(AA241-W241&gt;3,TRUE,FALSE),TRUE),IF(M241="-",IF(O241-K241&gt;3,TRUE,FALSE),TRUE),IF(AG241-AF241&gt;1,TRUE,FALS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Xtal</v>
      </c>
      <c r="AP241" s="3" t="str">
        <f t="shared" ref="AP241" si="174">IF(ISERROR(F241-E241),"-",F241-E241)</f>
        <v>-</v>
      </c>
      <c r="AQ241" s="3" t="str">
        <f t="shared" ref="AQ241" si="175">IF(ISERROR(I241-H241),"-",I241-H241)</f>
        <v>-</v>
      </c>
      <c r="AR241" s="3">
        <f t="shared" ref="AR241" si="176">IF(ISERROR(L241-K241),"-",L241-K241)</f>
        <v>1</v>
      </c>
      <c r="AS241" s="3">
        <f t="shared" ref="AS241" si="177">IF(ISERROR(O241-N241),"-",O241-N241)</f>
        <v>1</v>
      </c>
      <c r="AT241" s="3">
        <f t="shared" ref="AT241" si="178">IF(ISERROR(R241-Q241),"-",R241-Q241)</f>
        <v>1</v>
      </c>
      <c r="AU241" s="3">
        <f t="shared" ref="AU241" si="179">IF(ISERROR(U241-T241),"-",U241-T241)</f>
        <v>1</v>
      </c>
      <c r="AV241" s="3">
        <f t="shared" ref="AV241" si="180">IF(ISERROR(X241-W241),"-",X241-W241)</f>
        <v>8</v>
      </c>
      <c r="AW241" s="3">
        <f t="shared" ref="AW241" si="181">IF(ISERROR(AA241-Z241),"-",AA241-Z241)</f>
        <v>6</v>
      </c>
      <c r="AX241" s="3">
        <f t="shared" ref="AX241" si="182">IF(ISERROR(AD241-AC241),"-",AD241-AC241)</f>
        <v>4</v>
      </c>
      <c r="AY241" s="3">
        <f t="shared" ref="AY241" si="183">IF(ISERROR(AG241-AF241),"-",AG241-AF241)</f>
        <v>7</v>
      </c>
      <c r="AZ241" s="3">
        <f t="shared" ref="AZ241" si="184">IF(ISERROR(AJ241-AI241),"-",AJ241-AI241)</f>
        <v>1</v>
      </c>
      <c r="BA241" s="3">
        <f>IF(ISERROR(LEN(VLOOKUP(A241,Seqs!A:E,2,FALSE))-AL241),"-",LEN(VLOOKUP(A241,Seqs!A:E,2,FALSE))-AL241)</f>
        <v>5</v>
      </c>
      <c r="BB241" s="16">
        <f t="shared" ref="BB241" si="185">J241-D241</f>
        <v>28</v>
      </c>
      <c r="BC241" s="9">
        <f t="shared" ref="BC241" si="186">IF(ISERROR(V241-S241),"-",V241-S241)</f>
        <v>20</v>
      </c>
      <c r="BD241" s="3">
        <f t="shared" ref="BD241" si="187">J241-D241</f>
        <v>28</v>
      </c>
      <c r="BE241" s="3">
        <f t="shared" ref="BE241" si="188">AE241-AB241</f>
        <v>48</v>
      </c>
      <c r="BF241" s="3">
        <f t="shared" ref="BF241" si="189">AH241-AE241</f>
        <v>44</v>
      </c>
    </row>
    <row r="242" spans="1:58" s="3" customFormat="1" x14ac:dyDescent="0.2">
      <c r="A242" s="3" t="s">
        <v>469</v>
      </c>
      <c r="B242" s="3" t="str">
        <f>LOWER(VLOOKUP(A242,Xtal_Templ!A:B,2,FALSE))</f>
        <v>ta2r_human</v>
      </c>
      <c r="C242" s="3">
        <f>VLOOKUP($A242,'SegEnds_NonXtal_BW#'!$A:$Z,3,FALSE)+D242-50</f>
        <v>27</v>
      </c>
      <c r="D242" s="3">
        <v>42</v>
      </c>
      <c r="E242" s="3">
        <f>IF(ISERROR(VLOOKUP($A242,'SegEnds_NonXtal_BW#'!$A:$Z,4,FALSE)+VLOOKUP($A242,A:AL,4,FALSE)-50),"-",(VLOOKUP($A242,'SegEnds_NonXtal_BW#'!$A:$Z,4,FALSE)+VLOOKUP($A242,A:AL,4,FALSE)-50))</f>
        <v>54</v>
      </c>
      <c r="F242" s="3" t="str">
        <f>IF(ISERROR(VLOOKUP($A242,'SegEnds_NonXtal_BW#'!$A:$Z,5,FALSE)+VLOOKUP($A242,A:AL,7,FALSE)-50),"-",(VLOOKUP($A242,'SegEnds_NonXtal_BW#'!$A:$Z,5,FALSE)+VLOOKUP($A242,A:AL,7,FALSE)-50))</f>
        <v>-</v>
      </c>
      <c r="G242" s="3" t="s">
        <v>23</v>
      </c>
      <c r="H242" s="3" t="str">
        <f>IF(ISERROR(VLOOKUP($A242,'SegEnds_NonXtal_BW#'!$A:$Z,6,FALSE)+VLOOKUP($A242,A:AL,7,FALSE)-50),"-",(VLOOKUP($A242,'SegEnds_NonXtal_BW#'!$A:$Z,6,FALSE)+VLOOKUP($A242,A:AL,7,FALSE)-50))</f>
        <v>-</v>
      </c>
      <c r="I242" s="3">
        <f>VLOOKUP($A242,'SegEnds_NonXtal_BW#'!$A:$Z,7,FALSE)+J242-50</f>
        <v>61</v>
      </c>
      <c r="J242" s="3">
        <v>74</v>
      </c>
      <c r="K242" s="3">
        <f>VLOOKUP($A242,'SegEnds_NonXtal_BW#'!$A:$Z,8,FALSE)+VLOOKUP($A242,A:AL,10,FALSE)-50</f>
        <v>91</v>
      </c>
      <c r="L242" s="3">
        <f t="shared" si="165"/>
        <v>94</v>
      </c>
      <c r="M242" s="3">
        <v>95</v>
      </c>
      <c r="N242" s="105">
        <v>98</v>
      </c>
      <c r="O242" s="105">
        <v>102</v>
      </c>
      <c r="P242" s="3">
        <v>130</v>
      </c>
      <c r="Q242" s="3">
        <f>VLOOKUP($A242,'SegEnds_NonXtal_BW#'!$A:$Z,12,FALSE)+VLOOKUP($A242,A:AL,16,FALSE)-50</f>
        <v>136</v>
      </c>
      <c r="R242" s="3">
        <f>IF(ISERROR(VLOOKUP($A242,'SegEnds_NonXtal_BW#'!$A:$Z,13,FALSE)+VLOOKUP($A242,A:AL,19,FALSE)-50),"-",VLOOKUP($A242,'SegEnds_NonXtal_BW#'!$A:$Z,13,FALSE)+VLOOKUP($A242,A:AL,19,FALSE)-50)</f>
        <v>137</v>
      </c>
      <c r="S242" s="3">
        <v>137</v>
      </c>
      <c r="T242" s="100">
        <f>IF(ISERROR(VLOOKUP($A242,'SegEnds_NonXtal_BW#'!$A:$Z,14,FALSE)+VLOOKUP($A242,A:AL,19,FALSE)-50),"-",(VLOOKUP($A242,'SegEnds_NonXtal_BW#'!$A:$Z,14,FALSE)+VLOOKUP($A242,A:AL,19,FALSE)-50))</f>
        <v>144</v>
      </c>
      <c r="U242" s="9">
        <f>IF(ISERROR(VLOOKUP($A242,'SegEnds_NonXtal_BW#'!$A:$Z,15,FALSE)+VLOOKUP($A242,A:AL,22,FALSE)-50),"-",VLOOKUP($A242,'SegEnds_NonXtal_BW#'!$A:$Z,15,FALSE)+VLOOKUP($A242,A:AL,22,FALSE)-50)</f>
        <v>145</v>
      </c>
      <c r="V242" s="3">
        <v>157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Y242</f>
        <v>183</v>
      </c>
      <c r="Y242" s="3">
        <v>183</v>
      </c>
      <c r="Z242" s="3">
        <f t="shared" si="167"/>
        <v>185</v>
      </c>
      <c r="AA242" s="3">
        <f>IF(ISERROR(VLOOKUP($A242,'SegEnds_NonXtal_BW#'!$A:$Z,19,FALSE)+VLOOKUP($A242,A:AL,28,FALSE)-50),"-",(VLOOKUP($A242,'SegEnds_NonXtal_BW#'!$A:$Z,19,FALSE)+VLOOKUP($A242,A:AL,28,FALSE)-50))</f>
        <v>190</v>
      </c>
      <c r="AB242" s="3">
        <v>207</v>
      </c>
      <c r="AC242" s="3">
        <f>IF(ISERROR((VLOOKUP($A242,'SegEnds_NonXtal_BW#'!$A:$Z,20,FALSE)+VLOOKUP($A242,A:AL,28,FALSE)-50)),"-",(VLOOKUP($A242,'SegEnds_NonXtal_BW#'!$A:$Z,20,FALSE)+VLOOKUP($A242,A:AL,28,FALSE)-50))</f>
        <v>229</v>
      </c>
      <c r="AD242" s="3">
        <f>IF(ISERROR(VLOOKUP($A242,'SegEnds_NonXtal_BW#'!$A:$Z,21,FALSE)+VLOOKUP($A242,A:AL,31,FALSE)-50),"-",(VLOOKUP($A242,'SegEnds_NonXtal_BW#'!$A:$Z,21,FALSE)+VLOOKUP($A242,A:AL,31,FALSE)-50))</f>
        <v>234</v>
      </c>
      <c r="AE242" s="3">
        <v>260</v>
      </c>
      <c r="AF242" s="3">
        <f>IF(ISERROR((VLOOKUP($A242,'SegEnds_NonXtal_BW#'!$A:$Z,22,FALSE)+VLOOKUP($A242,A:AL,31,FALSE)-50)),"-",(VLOOKUP($A242,'SegEnds_NonXtal_BW#'!$A:$Z,22,FALSE)+VLOOKUP($A242,A:AL,31,FALSE)-50))</f>
        <v>271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305</v>
      </c>
      <c r="AI242" s="3">
        <f>IF(ISERROR((VLOOKUP($A242,'SegEnds_NonXtal_BW#'!$A:$Z,24,FALSE)+VLOOKUP($A242,A:AL,34,FALSE)-50)),"-",(VLOOKUP($A242,'SegEnds_NonXtal_BW#'!$A:$Z,24,FALSE)+VLOOKUP($A242,A:AL,34,FALSE)-50))</f>
        <v>311</v>
      </c>
      <c r="AJ242" s="3">
        <f>IF(ISERROR(VLOOKUP($A242,'SegEnds_NonXtal_BW#'!$A:$Z,25,FALSE)+VLOOKUP($A242,A:AL,37,FALSE)-50),"-",(VLOOKUP($A242,'SegEnds_NonXtal_BW#'!$A:$Z,25,FALSE)+VLOOKUP($A242,A:AL,37,FALSE)-50))</f>
        <v>312</v>
      </c>
      <c r="AK242" s="3">
        <v>315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56"/>
        <v>1</v>
      </c>
      <c r="AO242" s="3" t="str">
        <f>IF(ISERROR(MATCH(A242,'SegEnds_Xtal_Prot#'!B:B, 0)), "NoXtal", "Xtal")</f>
        <v>Xtal</v>
      </c>
      <c r="AP242" s="3" t="str">
        <f t="shared" si="141"/>
        <v>-</v>
      </c>
      <c r="AQ242" s="3" t="str">
        <f t="shared" si="142"/>
        <v>-</v>
      </c>
      <c r="AR242" s="3">
        <f t="shared" si="143"/>
        <v>3</v>
      </c>
      <c r="AS242" s="3">
        <f t="shared" si="144"/>
        <v>4</v>
      </c>
      <c r="AT242" s="3">
        <f t="shared" si="145"/>
        <v>1</v>
      </c>
      <c r="AU242" s="3">
        <f t="shared" si="146"/>
        <v>1</v>
      </c>
      <c r="AV242" s="3">
        <f t="shared" si="147"/>
        <v>13</v>
      </c>
      <c r="AW242" s="3">
        <f t="shared" si="148"/>
        <v>5</v>
      </c>
      <c r="AX242" s="3">
        <f t="shared" si="149"/>
        <v>5</v>
      </c>
      <c r="AY242" s="3">
        <f t="shared" si="150"/>
        <v>12</v>
      </c>
      <c r="AZ242" s="3">
        <f t="shared" si="151"/>
        <v>1</v>
      </c>
      <c r="BA242" s="3">
        <f>IF(ISERROR(LEN(VLOOKUP(A242,Seqs!A:E,2,FALSE))-AL242),"-",LEN(VLOOKUP(A242,Seqs!A:E,2,FALSE))-AL242)</f>
        <v>12</v>
      </c>
      <c r="BB242" s="16">
        <f t="shared" si="152"/>
        <v>32</v>
      </c>
      <c r="BC242" s="9">
        <f t="shared" si="153"/>
        <v>20</v>
      </c>
      <c r="BD242" s="3">
        <f t="shared" si="154"/>
        <v>32</v>
      </c>
      <c r="BE242" s="3">
        <f t="shared" si="155"/>
        <v>53</v>
      </c>
      <c r="BF242" s="3">
        <f t="shared" si="168"/>
        <v>45</v>
      </c>
    </row>
    <row r="243" spans="1:58" s="3" customFormat="1" x14ac:dyDescent="0.2">
      <c r="A243" s="3" t="s">
        <v>386</v>
      </c>
      <c r="B243" s="3" t="str">
        <f>LOWER(VLOOKUP(A243,Xtal_Templ!A:B,2,FALSE))</f>
        <v>drd2_human</v>
      </c>
      <c r="C243" s="3">
        <f>VLOOKUP($A243,'SegEnds_NonXtal_BW#'!$A:$Z,3,FALSE)+D243-50</f>
        <v>20</v>
      </c>
      <c r="D243" s="3">
        <v>41</v>
      </c>
      <c r="E243" s="3">
        <f>IF(ISERROR(VLOOKUP($A243,'SegEnds_NonXtal_BW#'!$A:$Z,4,FALSE)+VLOOKUP($A243,A:AL,4,FALSE)-50),"-",(VLOOKUP($A243,'SegEnds_NonXtal_BW#'!$A:$Z,4,FALSE)+VLOOKUP($A243,A:AL,4,FALSE)-50))</f>
        <v>51</v>
      </c>
      <c r="F243" s="3">
        <f t="shared" ref="F243:F264" si="190">G243-2</f>
        <v>52</v>
      </c>
      <c r="G243" s="3">
        <v>54</v>
      </c>
      <c r="H243" s="3">
        <f t="shared" ref="H243:I264" si="191">G243+1</f>
        <v>55</v>
      </c>
      <c r="I243" s="3">
        <f t="shared" si="191"/>
        <v>56</v>
      </c>
      <c r="J243" s="3">
        <v>69</v>
      </c>
      <c r="K243" s="3">
        <f>VLOOKUP($A243,'SegEnds_NonXtal_BW#'!$A:$Z,8,FALSE)+VLOOKUP($A243,A:AL,10,FALSE)-50</f>
        <v>87</v>
      </c>
      <c r="L243" s="3">
        <f t="shared" si="165"/>
        <v>88</v>
      </c>
      <c r="M243" s="3">
        <v>89</v>
      </c>
      <c r="N243" s="3">
        <f t="shared" si="166"/>
        <v>91</v>
      </c>
      <c r="O243" s="3">
        <f t="shared" si="162"/>
        <v>92</v>
      </c>
      <c r="P243" s="3">
        <v>121</v>
      </c>
      <c r="Q243" s="3">
        <f>VLOOKUP($A243,'SegEnds_NonXtal_BW#'!$A:$Z,12,FALSE)+VLOOKUP($A243,A:AL,16,FALSE)-50</f>
        <v>127</v>
      </c>
      <c r="R243" s="3">
        <f>IF(ISERROR(VLOOKUP($A243,'SegEnds_NonXtal_BW#'!$A:$Z,13,FALSE)+VLOOKUP($A243,A:AL,19,FALSE)-50),"-",VLOOKUP($A243,'SegEnds_NonXtal_BW#'!$A:$Z,13,FALSE)+VLOOKUP($A243,A:AL,19,FALSE)-50)</f>
        <v>128</v>
      </c>
      <c r="S243" s="3">
        <v>128</v>
      </c>
      <c r="T243" s="100">
        <f>IF(ISERROR(VLOOKUP($A243,'SegEnds_NonXtal_BW#'!$A:$Z,14,FALSE)+VLOOKUP($A243,A:AL,19,FALSE)-50),"-",(VLOOKUP($A243,'SegEnds_NonXtal_BW#'!$A:$Z,14,FALSE)+VLOOKUP($A243,A:AL,19,FALSE)-50))</f>
        <v>135</v>
      </c>
      <c r="U243" s="9">
        <f>IF(ISERROR(VLOOKUP($A243,'SegEnds_NonXtal_BW#'!$A:$Z,15,FALSE)+VLOOKUP($A243,A:AL,22,FALSE)-50),"-",VLOOKUP($A243,'SegEnds_NonXtal_BW#'!$A:$Z,15,FALSE)+VLOOKUP($A243,A:AL,22,FALSE)-50)</f>
        <v>136</v>
      </c>
      <c r="V243" s="3">
        <v>148</v>
      </c>
      <c r="W243" s="3">
        <f>IF(ISERROR(VLOOKUP($A243,'SegEnds_NonXtal_BW#'!$A:$Z,16,FALSE)+VLOOKUP($A243,A:AL,22,FALSE)-50),"-",(VLOOKUP($A243,'SegEnds_NonXtal_BW#'!$A:$Z,16,FALSE)+VLOOKUP($A243,A:AL,22,FALSE)-50))</f>
        <v>160</v>
      </c>
      <c r="X243" s="3">
        <f>IF(ISERROR(VLOOKUP($A243,'SegEnds_NonXtal_BW#'!$A:$Z,17,FALSE)+VLOOKUP($A243,A:AL,25,FALSE)-50),"-",(VLOOKUP($A243,'SegEnds_NonXtal_BW#'!$A:$Z,17,FALSE)+VLOOKUP($A243,A:AL,25,FALSE)-50))</f>
        <v>182</v>
      </c>
      <c r="Y243" s="3">
        <v>182</v>
      </c>
      <c r="Z243" s="3">
        <f t="shared" si="167"/>
        <v>184</v>
      </c>
      <c r="AA243" s="3">
        <f>IF(ISERROR(VLOOKUP($A243,'SegEnds_NonXtal_BW#'!$A:$Z,19,FALSE)+VLOOKUP($A243,A:AL,28,FALSE)-50),"-",(VLOOKUP($A243,'SegEnds_NonXtal_BW#'!$A:$Z,19,FALSE)+VLOOKUP($A243,A:AL,28,FALSE)-50))</f>
        <v>187</v>
      </c>
      <c r="AB243" s="3">
        <v>202</v>
      </c>
      <c r="AC243" s="3">
        <f>IF(ISERROR((VLOOKUP($A243,'SegEnds_NonXtal_BW#'!$A:$Z,20,FALSE)+VLOOKUP($A243,A:AL,28,FALSE)-50)),"-",(VLOOKUP($A243,'SegEnds_NonXtal_BW#'!$A:$Z,20,FALSE)+VLOOKUP($A243,A:AL,28,FALSE)-50))</f>
        <v>226</v>
      </c>
      <c r="AD243" s="3">
        <f>IF(ISERROR(VLOOKUP($A243,'SegEnds_NonXtal_BW#'!$A:$Z,21,FALSE)+VLOOKUP($A243,A:AL,31,FALSE)-50),"-",(VLOOKUP($A243,'SegEnds_NonXtal_BW#'!$A:$Z,21,FALSE)+VLOOKUP($A243,A:AL,31,FALSE)-50))</f>
        <v>237</v>
      </c>
      <c r="AE243" s="3">
        <v>266</v>
      </c>
      <c r="AF243" s="3">
        <f>IF(ISERROR((VLOOKUP($A243,'SegEnds_NonXtal_BW#'!$A:$Z,22,FALSE)+VLOOKUP($A243,A:AL,31,FALSE)-50)),"-",(VLOOKUP($A243,'SegEnds_NonXtal_BW#'!$A:$Z,22,FALSE)+VLOOKUP($A243,A:AL,31,FALSE)-50))</f>
        <v>277</v>
      </c>
      <c r="AG243" s="3">
        <f>IF(ISERROR(VLOOKUP($A243,'SegEnds_NonXtal_BW#'!$A:$Z,23,FALSE)+VLOOKUP($A243,A:AL,34,FALSE)-50),"-",(VLOOKUP($A243,'SegEnds_NonXtal_BW#'!$A:$Z,23,FALSE)+VLOOKUP($A243,A:AL,34,FALSE)-50))</f>
        <v>282</v>
      </c>
      <c r="AH243" s="3">
        <v>301</v>
      </c>
      <c r="AI243" s="3">
        <v>307</v>
      </c>
      <c r="AJ243" s="3">
        <f>IF(ISERROR(VLOOKUP($A243,'SegEnds_NonXtal_BW#'!$A:$Z,25,FALSE)+VLOOKUP($A243,A:AL,37,FALSE)-50),"-",(VLOOKUP($A243,'SegEnds_NonXtal_BW#'!$A:$Z,25,FALSE)+VLOOKUP($A243,A:AL,37,FALSE)-50))</f>
        <v>308</v>
      </c>
      <c r="AK243" s="3">
        <v>311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6"/>
        <v>1</v>
      </c>
      <c r="AO243" s="3" t="str">
        <f>IF(ISERROR(MATCH(A243,'SegEnds_Xtal_Prot#'!B:B, 0)), "NoXtal", "Xtal")</f>
        <v>NoXtal</v>
      </c>
      <c r="AP243" s="3">
        <f t="shared" si="141"/>
        <v>1</v>
      </c>
      <c r="AQ243" s="3">
        <f t="shared" si="142"/>
        <v>1</v>
      </c>
      <c r="AR243" s="3">
        <f t="shared" si="143"/>
        <v>1</v>
      </c>
      <c r="AS243" s="3">
        <f t="shared" si="144"/>
        <v>1</v>
      </c>
      <c r="AT243" s="3">
        <f t="shared" si="145"/>
        <v>1</v>
      </c>
      <c r="AU243" s="3">
        <f t="shared" si="146"/>
        <v>1</v>
      </c>
      <c r="AV243" s="3">
        <f t="shared" si="147"/>
        <v>22</v>
      </c>
      <c r="AW243" s="3">
        <f t="shared" si="148"/>
        <v>3</v>
      </c>
      <c r="AX243" s="3">
        <f t="shared" si="149"/>
        <v>11</v>
      </c>
      <c r="AY243" s="3">
        <f t="shared" si="150"/>
        <v>5</v>
      </c>
      <c r="AZ243" s="3">
        <f t="shared" si="151"/>
        <v>1</v>
      </c>
      <c r="BA243" s="3">
        <f>IF(ISERROR(LEN(VLOOKUP(A243,Seqs!A:E,2,FALSE))-AL243),"-",LEN(VLOOKUP(A243,Seqs!A:E,2,FALSE))-AL243)</f>
        <v>19</v>
      </c>
      <c r="BB243" s="16">
        <f t="shared" si="152"/>
        <v>28</v>
      </c>
      <c r="BC243" s="9">
        <f t="shared" si="153"/>
        <v>20</v>
      </c>
      <c r="BD243" s="3">
        <f t="shared" si="154"/>
        <v>28</v>
      </c>
      <c r="BE243" s="3">
        <f t="shared" si="155"/>
        <v>64</v>
      </c>
      <c r="BF243" s="3">
        <f t="shared" si="168"/>
        <v>35</v>
      </c>
    </row>
    <row r="244" spans="1:58" s="3" customFormat="1" x14ac:dyDescent="0.2">
      <c r="A244" s="3" t="s">
        <v>387</v>
      </c>
      <c r="B244" s="3" t="str">
        <f>LOWER(VLOOKUP(A244,Xtal_Templ!A:B,2,FALSE))</f>
        <v>ada2a_human</v>
      </c>
      <c r="C244" s="3">
        <f>VLOOKUP($A244,'SegEnds_NonXtal_BW#'!$A:$Z,3,FALSE)+D244-50</f>
        <v>43</v>
      </c>
      <c r="D244" s="3">
        <v>61</v>
      </c>
      <c r="E244" s="3">
        <f>IF(ISERROR(VLOOKUP($A244,'SegEnds_NonXtal_BW#'!$A:$Z,4,FALSE)+VLOOKUP($A244,A:AL,4,FALSE)-50),"-",(VLOOKUP($A244,'SegEnds_NonXtal_BW#'!$A:$Z,4,FALSE)+VLOOKUP($A244,A:AL,4,FALSE)-50))</f>
        <v>71</v>
      </c>
      <c r="F244" s="3">
        <f t="shared" si="190"/>
        <v>72</v>
      </c>
      <c r="G244" s="3">
        <v>74</v>
      </c>
      <c r="H244" s="3">
        <f t="shared" si="191"/>
        <v>75</v>
      </c>
      <c r="I244" s="3">
        <f t="shared" si="191"/>
        <v>76</v>
      </c>
      <c r="J244" s="3">
        <v>89</v>
      </c>
      <c r="K244" s="3">
        <f>VLOOKUP($A244,'SegEnds_NonXtal_BW#'!$A:$Z,8,FALSE)+VLOOKUP($A244,A:AL,10,FALSE)-50</f>
        <v>107</v>
      </c>
      <c r="L244" s="3">
        <f t="shared" si="165"/>
        <v>108</v>
      </c>
      <c r="M244" s="3">
        <v>109</v>
      </c>
      <c r="N244" s="3">
        <f t="shared" si="166"/>
        <v>111</v>
      </c>
      <c r="O244" s="3">
        <f t="shared" si="162"/>
        <v>112</v>
      </c>
      <c r="P244" s="3">
        <v>141</v>
      </c>
      <c r="Q244" s="3">
        <f>VLOOKUP($A244,'SegEnds_NonXtal_BW#'!$A:$Z,12,FALSE)+VLOOKUP($A244,A:AL,16,FALSE)-50</f>
        <v>147</v>
      </c>
      <c r="R244" s="3">
        <f>IF(ISERROR(VLOOKUP($A244,'SegEnds_NonXtal_BW#'!$A:$Z,13,FALSE)+VLOOKUP($A244,A:AL,19,FALSE)-50),"-",VLOOKUP($A244,'SegEnds_NonXtal_BW#'!$A:$Z,13,FALSE)+VLOOKUP($A244,A:AL,19,FALSE)-50)</f>
        <v>148</v>
      </c>
      <c r="S244" s="3">
        <v>148</v>
      </c>
      <c r="T244" s="100">
        <f>IF(ISERROR(VLOOKUP($A244,'SegEnds_NonXtal_BW#'!$A:$Z,14,FALSE)+VLOOKUP($A244,A:AL,19,FALSE)-50),"-",(VLOOKUP($A244,'SegEnds_NonXtal_BW#'!$A:$Z,14,FALSE)+VLOOKUP($A244,A:AL,19,FALSE)-50))</f>
        <v>155</v>
      </c>
      <c r="U244" s="9">
        <f>IF(ISERROR(VLOOKUP($A244,'SegEnds_NonXtal_BW#'!$A:$Z,15,FALSE)+VLOOKUP($A244,A:AL,22,FALSE)-50),"-",VLOOKUP($A244,'SegEnds_NonXtal_BW#'!$A:$Z,15,FALSE)+VLOOKUP($A244,A:AL,22,FALSE)-50)</f>
        <v>156</v>
      </c>
      <c r="V244" s="3">
        <v>168</v>
      </c>
      <c r="W244" s="3">
        <f>IF(ISERROR(VLOOKUP($A244,'SegEnds_NonXtal_BW#'!$A:$Z,16,FALSE)+VLOOKUP($A244,A:AL,22,FALSE)-50),"-",(VLOOKUP($A244,'SegEnds_NonXtal_BW#'!$A:$Z,16,FALSE)+VLOOKUP($A244,A:AL,22,FALSE)-50))</f>
        <v>180</v>
      </c>
      <c r="X244" s="3">
        <f>IF(ISERROR(VLOOKUP($A244,'SegEnds_NonXtal_BW#'!$A:$Z,17,FALSE)+VLOOKUP($A244,A:AL,25,FALSE)-50),"-",(VLOOKUP($A244,'SegEnds_NonXtal_BW#'!$A:$Z,17,FALSE)+VLOOKUP($A244,A:AL,25,FALSE)-50))</f>
        <v>201</v>
      </c>
      <c r="Y244" s="3">
        <v>201</v>
      </c>
      <c r="Z244" s="3">
        <f t="shared" si="167"/>
        <v>203</v>
      </c>
      <c r="AA244" s="3">
        <f>IF(ISERROR(VLOOKUP($A244,'SegEnds_NonXtal_BW#'!$A:$Z,19,FALSE)+VLOOKUP($A244,A:AL,28,FALSE)-50),"-",(VLOOKUP($A244,'SegEnds_NonXtal_BW#'!$A:$Z,19,FALSE)+VLOOKUP($A244,A:AL,28,FALSE)-50))</f>
        <v>206</v>
      </c>
      <c r="AB244" s="3">
        <v>221</v>
      </c>
      <c r="AC244" s="3">
        <f>IF(ISERROR((VLOOKUP($A244,'SegEnds_NonXtal_BW#'!$A:$Z,20,FALSE)+VLOOKUP($A244,A:AL,28,FALSE)-50)),"-",(VLOOKUP($A244,'SegEnds_NonXtal_BW#'!$A:$Z,20,FALSE)+VLOOKUP($A244,A:AL,28,FALSE)-50))</f>
        <v>244</v>
      </c>
      <c r="AD244" s="3">
        <f>IF(ISERROR(VLOOKUP($A244,'SegEnds_NonXtal_BW#'!$A:$Z,21,FALSE)+VLOOKUP($A244,A:AL,31,FALSE)-50),"-",(VLOOKUP($A244,'SegEnds_NonXtal_BW#'!$A:$Z,21,FALSE)+VLOOKUP($A244,A:AL,31,FALSE)-50))</f>
        <v>249</v>
      </c>
      <c r="AE244" s="3">
        <v>277</v>
      </c>
      <c r="AF244" s="3">
        <f>IF(ISERROR((VLOOKUP($A244,'SegEnds_NonXtal_BW#'!$A:$Z,22,FALSE)+VLOOKUP($A244,A:AL,31,FALSE)-50)),"-",(VLOOKUP($A244,'SegEnds_NonXtal_BW#'!$A:$Z,22,FALSE)+VLOOKUP($A244,A:AL,31,FALSE)-50))</f>
        <v>288</v>
      </c>
      <c r="AG244" s="3">
        <f>IF(ISERROR(VLOOKUP($A244,'SegEnds_NonXtal_BW#'!$A:$Z,23,FALSE)+VLOOKUP($A244,A:AL,34,FALSE)-50),"-",(VLOOKUP($A244,'SegEnds_NonXtal_BW#'!$A:$Z,23,FALSE)+VLOOKUP($A244,A:AL,34,FALSE)-50))</f>
        <v>293</v>
      </c>
      <c r="AH244" s="3">
        <v>312</v>
      </c>
      <c r="AI244" s="3">
        <f>IF(ISERROR((VLOOKUP($A244,'SegEnds_NonXtal_BW#'!$A:$Z,24,FALSE)+VLOOKUP($A244,A:AL,34,FALSE)-50)),"-",(VLOOKUP($A244,'SegEnds_NonXtal_BW#'!$A:$Z,24,FALSE)+VLOOKUP($A244,A:AL,34,FALSE)-50))</f>
        <v>318</v>
      </c>
      <c r="AJ244" s="3">
        <f>IF(ISERROR(VLOOKUP($A244,'SegEnds_NonXtal_BW#'!$A:$Z,25,FALSE)+VLOOKUP($A244,A:AL,37,FALSE)-50),"-",(VLOOKUP($A244,'SegEnds_NonXtal_BW#'!$A:$Z,25,FALSE)+VLOOKUP($A244,A:AL,37,FALSE)-50))</f>
        <v>319</v>
      </c>
      <c r="AK244" s="3">
        <v>322</v>
      </c>
      <c r="AL244" s="3">
        <f>IF(ISERROR((VLOOKUP($A244,'SegEnds_NonXtal_BW#'!$A:$Z,26,FALSE)+VLOOKUP($A244,A:AL,37,FALSE)-50)),"-",(VLOOKUP($A244,'SegEnds_NonXtal_BW#'!$A:$Z,26,FALSE)+VLOOKUP($A244,A:AL,37,FALSE)-50))</f>
        <v>332</v>
      </c>
      <c r="AM244" s="28" t="str">
        <f>VLOOKUP(A244,Classification!A:B,2,FALSE)</f>
        <v>A</v>
      </c>
      <c r="AN244" s="28" t="b">
        <f t="shared" si="156"/>
        <v>1</v>
      </c>
      <c r="AO244" s="3" t="str">
        <f>IF(ISERROR(MATCH(A244,'SegEnds_Xtal_Prot#'!B:B, 0)), "NoXtal", "Xtal")</f>
        <v>NoXtal</v>
      </c>
      <c r="AP244" s="3">
        <f t="shared" si="141"/>
        <v>1</v>
      </c>
      <c r="AQ244" s="3">
        <f t="shared" si="142"/>
        <v>1</v>
      </c>
      <c r="AR244" s="3">
        <f t="shared" si="143"/>
        <v>1</v>
      </c>
      <c r="AS244" s="3">
        <f t="shared" si="144"/>
        <v>1</v>
      </c>
      <c r="AT244" s="3">
        <f t="shared" si="145"/>
        <v>1</v>
      </c>
      <c r="AU244" s="3">
        <f t="shared" si="146"/>
        <v>1</v>
      </c>
      <c r="AV244" s="3">
        <f t="shared" si="147"/>
        <v>21</v>
      </c>
      <c r="AW244" s="3">
        <f t="shared" si="148"/>
        <v>3</v>
      </c>
      <c r="AX244" s="3">
        <f t="shared" si="149"/>
        <v>5</v>
      </c>
      <c r="AY244" s="3">
        <f t="shared" si="150"/>
        <v>5</v>
      </c>
      <c r="AZ244" s="3">
        <f t="shared" si="151"/>
        <v>1</v>
      </c>
      <c r="BA244" s="3">
        <f>IF(ISERROR(LEN(VLOOKUP(A244,Seqs!A:E,2,FALSE))-AL244),"-",LEN(VLOOKUP(A244,Seqs!A:E,2,FALSE))-AL244)</f>
        <v>19</v>
      </c>
      <c r="BB244" s="16">
        <f t="shared" si="152"/>
        <v>28</v>
      </c>
      <c r="BC244" s="9">
        <f t="shared" si="153"/>
        <v>20</v>
      </c>
      <c r="BD244" s="3">
        <f t="shared" si="154"/>
        <v>28</v>
      </c>
      <c r="BE244" s="3">
        <f t="shared" si="155"/>
        <v>56</v>
      </c>
      <c r="BF244" s="3">
        <f t="shared" si="168"/>
        <v>35</v>
      </c>
    </row>
    <row r="245" spans="1:58" s="3" customFormat="1" x14ac:dyDescent="0.2">
      <c r="A245" s="3" t="s">
        <v>388</v>
      </c>
      <c r="B245" s="3" t="str">
        <f>LOWER(VLOOKUP(A245,Xtal_Templ!A:B,2,FALSE))</f>
        <v>ada2c_human</v>
      </c>
      <c r="C245" s="3">
        <f>VLOOKUP($A245,'SegEnds_NonXtal_BW#'!$A:$Z,3,FALSE)+D245-50</f>
        <v>27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90"/>
        <v>60</v>
      </c>
      <c r="G245" s="3">
        <v>62</v>
      </c>
      <c r="H245" s="3">
        <f t="shared" si="191"/>
        <v>63</v>
      </c>
      <c r="I245" s="3">
        <f t="shared" si="191"/>
        <v>64</v>
      </c>
      <c r="J245" s="3">
        <v>77</v>
      </c>
      <c r="K245" s="3">
        <f>VLOOKUP($A245,'SegEnds_NonXtal_BW#'!$A:$Z,8,FALSE)+VLOOKUP($A245,A:AL,10,FALSE)-50</f>
        <v>95</v>
      </c>
      <c r="L245" s="3">
        <f t="shared" si="165"/>
        <v>96</v>
      </c>
      <c r="M245" s="3">
        <v>97</v>
      </c>
      <c r="N245" s="3">
        <f t="shared" si="166"/>
        <v>99</v>
      </c>
      <c r="O245" s="3">
        <f t="shared" si="162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0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168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7"/>
        <v>191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242</v>
      </c>
      <c r="AE245" s="3">
        <v>271</v>
      </c>
      <c r="AF245" s="3">
        <f>IF(ISERROR((VLOOKUP($A245,'SegEnds_NonXtal_BW#'!$A:$Z,22,FALSE)+VLOOKUP($A245,A:AL,31,FALSE)-50)),"-",(VLOOKUP($A245,'SegEnds_NonXtal_BW#'!$A:$Z,22,FALSE)+VLOOKUP($A245,A:AL,31,FALSE)-50))</f>
        <v>282</v>
      </c>
      <c r="AG245" s="3">
        <f>IF(ISERROR(VLOOKUP($A245,'SegEnds_NonXtal_BW#'!$A:$Z,23,FALSE)+VLOOKUP($A245,A:AL,34,FALSE)-50),"-",(VLOOKUP($A245,'SegEnds_NonXtal_BW#'!$A:$Z,23,FALSE)+VLOOKUP($A245,A:AL,34,FALSE)-50))</f>
        <v>287</v>
      </c>
      <c r="AH245" s="3">
        <v>306</v>
      </c>
      <c r="AI245" s="3">
        <f>IF(ISERROR((VLOOKUP($A245,'SegEnds_NonXtal_BW#'!$A:$Z,24,FALSE)+VLOOKUP($A245,A:AL,34,FALSE)-50)),"-",(VLOOKUP($A245,'SegEnds_NonXtal_BW#'!$A:$Z,24,FALSE)+VLOOKUP($A245,A:AL,34,FALSE)-50))</f>
        <v>312</v>
      </c>
      <c r="AJ245" s="3">
        <f>IF(ISERROR(VLOOKUP($A245,'SegEnds_NonXtal_BW#'!$A:$Z,25,FALSE)+VLOOKUP($A245,A:AL,37,FALSE)-50),"-",(VLOOKUP($A245,'SegEnds_NonXtal_BW#'!$A:$Z,25,FALSE)+VLOOKUP($A245,A:AL,37,FALSE)-50))</f>
        <v>313</v>
      </c>
      <c r="AK245" s="3">
        <v>316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6"/>
        <v>1</v>
      </c>
      <c r="AO245" s="3" t="str">
        <f>IF(ISERROR(MATCH(A245,'SegEnds_Xtal_Prot#'!B:B, 0)), "NoXtal", "Xtal")</f>
        <v>NoXtal</v>
      </c>
      <c r="AP245" s="3">
        <f t="shared" si="141"/>
        <v>1</v>
      </c>
      <c r="AQ245" s="3">
        <f t="shared" si="142"/>
        <v>1</v>
      </c>
      <c r="AR245" s="3">
        <f t="shared" si="143"/>
        <v>1</v>
      </c>
      <c r="AS245" s="3">
        <f t="shared" si="144"/>
        <v>1</v>
      </c>
      <c r="AT245" s="3">
        <f t="shared" si="145"/>
        <v>1</v>
      </c>
      <c r="AU245" s="3">
        <f t="shared" si="146"/>
        <v>1</v>
      </c>
      <c r="AV245" s="3">
        <f t="shared" si="147"/>
        <v>21</v>
      </c>
      <c r="AW245" s="3">
        <f t="shared" si="148"/>
        <v>3</v>
      </c>
      <c r="AX245" s="3">
        <f t="shared" si="149"/>
        <v>9</v>
      </c>
      <c r="AY245" s="3">
        <f t="shared" si="150"/>
        <v>5</v>
      </c>
      <c r="AZ245" s="3">
        <f t="shared" si="151"/>
        <v>1</v>
      </c>
      <c r="BA245" s="3">
        <f>IF(ISERROR(LEN(VLOOKUP(A245,Seqs!A:E,2,FALSE))-AL245),"-",LEN(VLOOKUP(A245,Seqs!A:E,2,FALSE))-AL245)</f>
        <v>18</v>
      </c>
      <c r="BB245" s="16">
        <f t="shared" si="152"/>
        <v>28</v>
      </c>
      <c r="BC245" s="9">
        <f t="shared" si="153"/>
        <v>20</v>
      </c>
      <c r="BD245" s="3">
        <f t="shared" si="154"/>
        <v>28</v>
      </c>
      <c r="BE245" s="3">
        <f t="shared" si="155"/>
        <v>62</v>
      </c>
      <c r="BF245" s="3">
        <f t="shared" si="168"/>
        <v>35</v>
      </c>
    </row>
    <row r="246" spans="1:58" s="3" customFormat="1" x14ac:dyDescent="0.2">
      <c r="A246" s="3" t="s">
        <v>389</v>
      </c>
      <c r="B246" s="3" t="str">
        <f>LOWER(VLOOKUP(A246,Xtal_Templ!A:B,2,FALSE))</f>
        <v>5ht1b_human</v>
      </c>
      <c r="C246" s="3">
        <f>VLOOKUP($A246,'SegEnds_NonXtal_BW#'!$A:$Z,3,FALSE)+D246-50</f>
        <v>30</v>
      </c>
      <c r="D246" s="3">
        <v>52</v>
      </c>
      <c r="E246" s="3">
        <f>IF(ISERROR(VLOOKUP($A246,'SegEnds_NonXtal_BW#'!$A:$Z,4,FALSE)+VLOOKUP($A246,A:AL,4,FALSE)-50),"-",(VLOOKUP($A246,'SegEnds_NonXtal_BW#'!$A:$Z,4,FALSE)+VLOOKUP($A246,A:AL,4,FALSE)-50))</f>
        <v>62</v>
      </c>
      <c r="F246" s="3">
        <f t="shared" si="190"/>
        <v>63</v>
      </c>
      <c r="G246" s="3">
        <v>65</v>
      </c>
      <c r="H246" s="3">
        <f t="shared" si="191"/>
        <v>66</v>
      </c>
      <c r="I246" s="3">
        <f t="shared" si="191"/>
        <v>67</v>
      </c>
      <c r="J246" s="3">
        <v>80</v>
      </c>
      <c r="K246" s="3">
        <f>VLOOKUP($A246,'SegEnds_NonXtal_BW#'!$A:$Z,8,FALSE)+VLOOKUP($A246,A:AL,10,FALSE)-50</f>
        <v>98</v>
      </c>
      <c r="L246" s="3">
        <f t="shared" si="165"/>
        <v>99</v>
      </c>
      <c r="M246" s="3">
        <v>100</v>
      </c>
      <c r="N246" s="3">
        <f t="shared" si="166"/>
        <v>102</v>
      </c>
      <c r="O246" s="3">
        <f t="shared" si="162"/>
        <v>103</v>
      </c>
      <c r="P246" s="3">
        <v>132</v>
      </c>
      <c r="Q246" s="3">
        <f>VLOOKUP($A246,'SegEnds_NonXtal_BW#'!$A:$Z,12,FALSE)+VLOOKUP($A246,A:AL,16,FALSE)-50</f>
        <v>138</v>
      </c>
      <c r="R246" s="3">
        <f>IF(ISERROR(VLOOKUP($A246,'SegEnds_NonXtal_BW#'!$A:$Z,13,FALSE)+VLOOKUP($A246,A:AL,19,FALSE)-50),"-",VLOOKUP($A246,'SegEnds_NonXtal_BW#'!$A:$Z,13,FALSE)+VLOOKUP($A246,A:AL,19,FALSE)-50)</f>
        <v>139</v>
      </c>
      <c r="S246" s="3">
        <v>139</v>
      </c>
      <c r="T246" s="100">
        <f>IF(ISERROR(VLOOKUP($A246,'SegEnds_NonXtal_BW#'!$A:$Z,14,FALSE)+VLOOKUP($A246,A:AL,19,FALSE)-50),"-",(VLOOKUP($A246,'SegEnds_NonXtal_BW#'!$A:$Z,14,FALSE)+VLOOKUP($A246,A:AL,19,FALSE)-50))</f>
        <v>146</v>
      </c>
      <c r="U246" s="9">
        <f>IF(ISERROR(VLOOKUP($A246,'SegEnds_NonXtal_BW#'!$A:$Z,15,FALSE)+VLOOKUP($A246,A:AL,22,FALSE)-50),"-",VLOOKUP($A246,'SegEnds_NonXtal_BW#'!$A:$Z,15,FALSE)+VLOOKUP($A246,A:AL,22,FALSE)-50)</f>
        <v>147</v>
      </c>
      <c r="V246" s="3">
        <v>159</v>
      </c>
      <c r="W246" s="3">
        <f>IF(ISERROR(VLOOKUP($A246,'SegEnds_NonXtal_BW#'!$A:$Z,16,FALSE)+VLOOKUP($A246,A:AL,22,FALSE)-50),"-",(VLOOKUP($A246,'SegEnds_NonXtal_BW#'!$A:$Z,16,FALSE)+VLOOKUP($A246,A:AL,22,FALSE)-50))</f>
        <v>172</v>
      </c>
      <c r="X246" s="3">
        <f>IF(ISERROR(VLOOKUP($A246,'SegEnds_NonXtal_BW#'!$A:$Z,17,FALSE)+VLOOKUP($A246,A:AL,25,FALSE)-50),"-",(VLOOKUP($A246,'SegEnds_NonXtal_BW#'!$A:$Z,17,FALSE)+VLOOKUP($A246,A:AL,25,FALSE)-50))</f>
        <v>192</v>
      </c>
      <c r="Y246" s="3">
        <v>192</v>
      </c>
      <c r="Z246" s="3">
        <f t="shared" si="167"/>
        <v>194</v>
      </c>
      <c r="AA246" s="3">
        <f>IF(ISERROR(VLOOKUP($A246,'SegEnds_NonXtal_BW#'!$A:$Z,19,FALSE)+VLOOKUP($A246,A:AL,28,FALSE)-50),"-",(VLOOKUP($A246,'SegEnds_NonXtal_BW#'!$A:$Z,19,FALSE)+VLOOKUP($A246,A:AL,28,FALSE)-50))</f>
        <v>196</v>
      </c>
      <c r="AB246" s="3">
        <v>211</v>
      </c>
      <c r="AC246" s="3">
        <f>IF(ISERROR((VLOOKUP($A246,'SegEnds_NonXtal_BW#'!$A:$Z,20,FALSE)+VLOOKUP($A246,A:AL,28,FALSE)-50)),"-",(VLOOKUP($A246,'SegEnds_NonXtal_BW#'!$A:$Z,20,FALSE)+VLOOKUP($A246,A:AL,28,FALSE)-50))</f>
        <v>234</v>
      </c>
      <c r="AD246" s="3">
        <f>IF(ISERROR(VLOOKUP($A246,'SegEnds_NonXtal_BW#'!$A:$Z,21,FALSE)+VLOOKUP($A246,A:AL,31,FALSE)-50),"-",(VLOOKUP($A246,'SegEnds_NonXtal_BW#'!$A:$Z,21,FALSE)+VLOOKUP($A246,A:AL,31,FALSE)-50))</f>
        <v>239</v>
      </c>
      <c r="AE246" s="3">
        <v>267</v>
      </c>
      <c r="AF246" s="3">
        <f>IF(ISERROR((VLOOKUP($A246,'SegEnds_NonXtal_BW#'!$A:$Z,22,FALSE)+VLOOKUP($A246,A:AL,31,FALSE)-50)),"-",(VLOOKUP($A246,'SegEnds_NonXtal_BW#'!$A:$Z,22,FALSE)+VLOOKUP($A246,A:AL,31,FALSE)-50))</f>
        <v>278</v>
      </c>
      <c r="AG246" s="3">
        <f>IF(ISERROR(VLOOKUP($A246,'SegEnds_NonXtal_BW#'!$A:$Z,23,FALSE)+VLOOKUP($A246,A:AL,34,FALSE)-50),"-",(VLOOKUP($A246,'SegEnds_NonXtal_BW#'!$A:$Z,23,FALSE)+VLOOKUP($A246,A:AL,34,FALSE)-50))</f>
        <v>283</v>
      </c>
      <c r="AH246" s="3">
        <v>302</v>
      </c>
      <c r="AI246" s="3">
        <f>IF(ISERROR((VLOOKUP($A246,'SegEnds_NonXtal_BW#'!$A:$Z,24,FALSE)+VLOOKUP($A246,A:AL,34,FALSE)-50)),"-",(VLOOKUP($A246,'SegEnds_NonXtal_BW#'!$A:$Z,24,FALSE)+VLOOKUP($A246,A:AL,34,FALSE)-50))</f>
        <v>308</v>
      </c>
      <c r="AJ246" s="3">
        <f>IF(ISERROR(VLOOKUP($A246,'SegEnds_NonXtal_BW#'!$A:$Z,25,FALSE)+VLOOKUP($A246,A:AL,37,FALSE)-50),"-",(VLOOKUP($A246,'SegEnds_NonXtal_BW#'!$A:$Z,25,FALSE)+VLOOKUP($A246,A:AL,37,FALSE)-50))</f>
        <v>309</v>
      </c>
      <c r="AK246" s="3">
        <v>312</v>
      </c>
      <c r="AL246" s="3">
        <f>IF(ISERROR((VLOOKUP($A246,'SegEnds_NonXtal_BW#'!$A:$Z,26,FALSE)+VLOOKUP($A246,A:AL,37,FALSE)-50)),"-",(VLOOKUP($A246,'SegEnds_NonXtal_BW#'!$A:$Z,26,FALSE)+VLOOKUP($A246,A:AL,37,FALSE)-50))</f>
        <v>320</v>
      </c>
      <c r="AM246" s="28" t="str">
        <f>VLOOKUP(A246,Classification!A:B,2,FALSE)</f>
        <v>A</v>
      </c>
      <c r="AN246" s="28" t="b">
        <f t="shared" si="156"/>
        <v>1</v>
      </c>
      <c r="AO246" s="3" t="str">
        <f>IF(ISERROR(MATCH(A246,'SegEnds_Xtal_Prot#'!B:B, 0)), "NoXtal", "Xtal")</f>
        <v>NoXtal</v>
      </c>
      <c r="AP246" s="3">
        <f t="shared" si="141"/>
        <v>1</v>
      </c>
      <c r="AQ246" s="3">
        <f t="shared" si="142"/>
        <v>1</v>
      </c>
      <c r="AR246" s="3">
        <f t="shared" si="143"/>
        <v>1</v>
      </c>
      <c r="AS246" s="3">
        <f t="shared" si="144"/>
        <v>1</v>
      </c>
      <c r="AT246" s="3">
        <f t="shared" si="145"/>
        <v>1</v>
      </c>
      <c r="AU246" s="3">
        <f t="shared" si="146"/>
        <v>1</v>
      </c>
      <c r="AV246" s="3">
        <f t="shared" si="147"/>
        <v>20</v>
      </c>
      <c r="AW246" s="3">
        <f t="shared" si="148"/>
        <v>2</v>
      </c>
      <c r="AX246" s="3">
        <f t="shared" si="149"/>
        <v>5</v>
      </c>
      <c r="AY246" s="3">
        <f t="shared" si="150"/>
        <v>5</v>
      </c>
      <c r="AZ246" s="3">
        <f t="shared" si="151"/>
        <v>1</v>
      </c>
      <c r="BA246" s="3">
        <f>IF(ISERROR(LEN(VLOOKUP(A246,Seqs!A:E,2,FALSE))-AL246),"-",LEN(VLOOKUP(A246,Seqs!A:E,2,FALSE))-AL246)</f>
        <v>17</v>
      </c>
      <c r="BB246" s="16">
        <f t="shared" si="152"/>
        <v>28</v>
      </c>
      <c r="BC246" s="9">
        <f t="shared" si="153"/>
        <v>20</v>
      </c>
      <c r="BD246" s="3">
        <f t="shared" si="154"/>
        <v>28</v>
      </c>
      <c r="BE246" s="3">
        <f t="shared" si="155"/>
        <v>56</v>
      </c>
      <c r="BF246" s="3">
        <f t="shared" si="168"/>
        <v>35</v>
      </c>
    </row>
    <row r="247" spans="1:58" s="3" customFormat="1" x14ac:dyDescent="0.2">
      <c r="A247" s="3" t="s">
        <v>390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90"/>
        <v>61</v>
      </c>
      <c r="G247" s="3">
        <v>63</v>
      </c>
      <c r="H247" s="3">
        <f t="shared" si="191"/>
        <v>64</v>
      </c>
      <c r="I247" s="3">
        <f t="shared" si="191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65"/>
        <v>97</v>
      </c>
      <c r="M247" s="3">
        <v>98</v>
      </c>
      <c r="N247" s="3">
        <f t="shared" si="166"/>
        <v>100</v>
      </c>
      <c r="O247" s="3">
        <f t="shared" si="162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67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56"/>
        <v>1</v>
      </c>
      <c r="AO247" s="3" t="str">
        <f>IF(ISERROR(MATCH(A247,'SegEnds_Xtal_Prot#'!B:B, 0)), "NoXtal", "Xtal")</f>
        <v>NoXtal</v>
      </c>
      <c r="AP247" s="3">
        <f t="shared" si="141"/>
        <v>1</v>
      </c>
      <c r="AQ247" s="3">
        <f t="shared" si="142"/>
        <v>1</v>
      </c>
      <c r="AR247" s="3">
        <f t="shared" si="143"/>
        <v>1</v>
      </c>
      <c r="AS247" s="3">
        <f t="shared" si="144"/>
        <v>1</v>
      </c>
      <c r="AT247" s="3">
        <f t="shared" si="145"/>
        <v>1</v>
      </c>
      <c r="AU247" s="3">
        <f t="shared" si="146"/>
        <v>1</v>
      </c>
      <c r="AV247" s="3">
        <f t="shared" si="147"/>
        <v>20</v>
      </c>
      <c r="AW247" s="3">
        <f t="shared" si="148"/>
        <v>2</v>
      </c>
      <c r="AX247" s="3">
        <f t="shared" si="149"/>
        <v>11</v>
      </c>
      <c r="AY247" s="3">
        <f t="shared" si="150"/>
        <v>5</v>
      </c>
      <c r="AZ247" s="3">
        <f t="shared" si="151"/>
        <v>1</v>
      </c>
      <c r="BA247" s="3">
        <f>IF(ISERROR(LEN(VLOOKUP(A247,Seqs!A:E,2,FALSE))-AL247),"-",LEN(VLOOKUP(A247,Seqs!A:E,2,FALSE))-AL247)</f>
        <v>19</v>
      </c>
      <c r="BB247" s="16">
        <f t="shared" si="152"/>
        <v>28</v>
      </c>
      <c r="BC247" s="9">
        <f t="shared" si="153"/>
        <v>20</v>
      </c>
      <c r="BD247" s="3">
        <f t="shared" si="154"/>
        <v>28</v>
      </c>
      <c r="BE247" s="3">
        <f t="shared" si="155"/>
        <v>64</v>
      </c>
      <c r="BF247" s="3">
        <f t="shared" si="168"/>
        <v>35</v>
      </c>
    </row>
    <row r="248" spans="1:58" s="3" customFormat="1" x14ac:dyDescent="0.2">
      <c r="A248" s="3" t="s">
        <v>391</v>
      </c>
      <c r="B248" s="3" t="str">
        <f>LOWER(VLOOKUP(A248,Xtal_Templ!A:B,2,FALSE))</f>
        <v>5ht1b_human</v>
      </c>
      <c r="C248" s="3">
        <f>VLOOKUP($A248,'SegEnds_NonXtal_BW#'!$A:$Z,3,FALSE)+D248-50</f>
        <v>27</v>
      </c>
      <c r="D248" s="3">
        <v>49</v>
      </c>
      <c r="E248" s="3">
        <f>IF(ISERROR(VLOOKUP($A248,'SegEnds_NonXtal_BW#'!$A:$Z,4,FALSE)+VLOOKUP($A248,A:AL,4,FALSE)-50),"-",(VLOOKUP($A248,'SegEnds_NonXtal_BW#'!$A:$Z,4,FALSE)+VLOOKUP($A248,A:AL,4,FALSE)-50))</f>
        <v>59</v>
      </c>
      <c r="F248" s="3">
        <f t="shared" si="190"/>
        <v>60</v>
      </c>
      <c r="G248" s="3">
        <v>62</v>
      </c>
      <c r="H248" s="3">
        <f t="shared" si="191"/>
        <v>63</v>
      </c>
      <c r="I248" s="3">
        <f t="shared" si="191"/>
        <v>64</v>
      </c>
      <c r="J248" s="3">
        <v>77</v>
      </c>
      <c r="K248" s="3">
        <f>VLOOKUP($A248,'SegEnds_NonXtal_BW#'!$A:$Z,8,FALSE)+VLOOKUP($A248,A:AL,10,FALSE)-50</f>
        <v>95</v>
      </c>
      <c r="L248" s="3">
        <f t="shared" si="165"/>
        <v>96</v>
      </c>
      <c r="M248" s="3">
        <v>97</v>
      </c>
      <c r="N248" s="3">
        <f t="shared" si="166"/>
        <v>99</v>
      </c>
      <c r="O248" s="3">
        <f t="shared" si="162"/>
        <v>100</v>
      </c>
      <c r="P248" s="3">
        <v>129</v>
      </c>
      <c r="Q248" s="3">
        <f>VLOOKUP($A248,'SegEnds_NonXtal_BW#'!$A:$Z,12,FALSE)+VLOOKUP($A248,A:AL,16,FALSE)-50</f>
        <v>135</v>
      </c>
      <c r="R248" s="3">
        <f>IF(ISERROR(VLOOKUP($A248,'SegEnds_NonXtal_BW#'!$A:$Z,13,FALSE)+VLOOKUP($A248,A:AL,19,FALSE)-50),"-",VLOOKUP($A248,'SegEnds_NonXtal_BW#'!$A:$Z,13,FALSE)+VLOOKUP($A248,A:AL,19,FALSE)-50)</f>
        <v>136</v>
      </c>
      <c r="S248" s="3">
        <v>136</v>
      </c>
      <c r="T248" s="100">
        <f>IF(ISERROR(VLOOKUP($A248,'SegEnds_NonXtal_BW#'!$A:$Z,14,FALSE)+VLOOKUP($A248,A:AL,19,FALSE)-50),"-",(VLOOKUP($A248,'SegEnds_NonXtal_BW#'!$A:$Z,14,FALSE)+VLOOKUP($A248,A:AL,19,FALSE)-50))</f>
        <v>143</v>
      </c>
      <c r="U248" s="9">
        <f>IF(ISERROR(VLOOKUP($A248,'SegEnds_NonXtal_BW#'!$A:$Z,15,FALSE)+VLOOKUP($A248,A:AL,22,FALSE)-50),"-",VLOOKUP($A248,'SegEnds_NonXtal_BW#'!$A:$Z,15,FALSE)+VLOOKUP($A248,A:AL,22,FALSE)-50)</f>
        <v>144</v>
      </c>
      <c r="V248" s="3">
        <v>156</v>
      </c>
      <c r="W248" s="3">
        <f>IF(ISERROR(VLOOKUP($A248,'SegEnds_NonXtal_BW#'!$A:$Z,16,FALSE)+VLOOKUP($A248,A:AL,22,FALSE)-50),"-",(VLOOKUP($A248,'SegEnds_NonXtal_BW#'!$A:$Z,16,FALSE)+VLOOKUP($A248,A:AL,22,FALSE)-50))</f>
        <v>169</v>
      </c>
      <c r="X248" s="3">
        <f>IF(ISERROR(VLOOKUP($A248,'SegEnds_NonXtal_BW#'!$A:$Z,17,FALSE)+VLOOKUP($A248,A:AL,25,FALSE)-50),"-",(VLOOKUP($A248,'SegEnds_NonXtal_BW#'!$A:$Z,17,FALSE)+VLOOKUP($A248,A:AL,25,FALSE)-50))</f>
        <v>189</v>
      </c>
      <c r="Y248" s="3">
        <v>189</v>
      </c>
      <c r="Z248" s="3">
        <f t="shared" si="167"/>
        <v>191</v>
      </c>
      <c r="AA248" s="3">
        <f>IF(ISERROR(VLOOKUP($A248,'SegEnds_NonXtal_BW#'!$A:$Z,19,FALSE)+VLOOKUP($A248,A:AL,28,FALSE)-50),"-",(VLOOKUP($A248,'SegEnds_NonXtal_BW#'!$A:$Z,19,FALSE)+VLOOKUP($A248,A:AL,28,FALSE)-50))</f>
        <v>193</v>
      </c>
      <c r="AB248" s="3">
        <v>208</v>
      </c>
      <c r="AC248" s="3">
        <f>IF(ISERROR((VLOOKUP($A248,'SegEnds_NonXtal_BW#'!$A:$Z,20,FALSE)+VLOOKUP($A248,A:AL,28,FALSE)-50)),"-",(VLOOKUP($A248,'SegEnds_NonXtal_BW#'!$A:$Z,20,FALSE)+VLOOKUP($A248,A:AL,28,FALSE)-50))</f>
        <v>232</v>
      </c>
      <c r="AD248" s="3">
        <f>IF(ISERROR(VLOOKUP($A248,'SegEnds_NonXtal_BW#'!$A:$Z,21,FALSE)+VLOOKUP($A248,A:AL,31,FALSE)-50),"-",(VLOOKUP($A248,'SegEnds_NonXtal_BW#'!$A:$Z,21,FALSE)+VLOOKUP($A248,A:AL,31,FALSE)-50))</f>
        <v>243</v>
      </c>
      <c r="AE248" s="3">
        <v>272</v>
      </c>
      <c r="AF248" s="3">
        <f>IF(ISERROR((VLOOKUP($A248,'SegEnds_NonXtal_BW#'!$A:$Z,22,FALSE)+VLOOKUP($A248,A:AL,31,FALSE)-50)),"-",(VLOOKUP($A248,'SegEnds_NonXtal_BW#'!$A:$Z,22,FALSE)+VLOOKUP($A248,A:AL,31,FALSE)-50))</f>
        <v>283</v>
      </c>
      <c r="AG248" s="3">
        <f>IF(ISERROR(VLOOKUP($A248,'SegEnds_NonXtal_BW#'!$A:$Z,23,FALSE)+VLOOKUP($A248,A:AL,34,FALSE)-50),"-",(VLOOKUP($A248,'SegEnds_NonXtal_BW#'!$A:$Z,23,FALSE)+VLOOKUP($A248,A:AL,34,FALSE)-50))</f>
        <v>288</v>
      </c>
      <c r="AH248" s="3">
        <v>307</v>
      </c>
      <c r="AI248" s="3">
        <f>IF(ISERROR((VLOOKUP($A248,'SegEnds_NonXtal_BW#'!$A:$Z,24,FALSE)+VLOOKUP($A248,A:AL,34,FALSE)-50)),"-",(VLOOKUP($A248,'SegEnds_NonXtal_BW#'!$A:$Z,24,FALSE)+VLOOKUP($A248,A:AL,34,FALSE)-50))</f>
        <v>313</v>
      </c>
      <c r="AJ248" s="3">
        <f>IF(ISERROR(VLOOKUP($A248,'SegEnds_NonXtal_BW#'!$A:$Z,25,FALSE)+VLOOKUP($A248,A:AL,37,FALSE)-50),"-",(VLOOKUP($A248,'SegEnds_NonXtal_BW#'!$A:$Z,25,FALSE)+VLOOKUP($A248,A:AL,37,FALSE)-50))</f>
        <v>314</v>
      </c>
      <c r="AK248" s="3">
        <v>317</v>
      </c>
      <c r="AL248" s="3">
        <f>IF(ISERROR((VLOOKUP($A248,'SegEnds_NonXtal_BW#'!$A:$Z,26,FALSE)+VLOOKUP($A248,A:AL,37,FALSE)-50)),"-",(VLOOKUP($A248,'SegEnds_NonXtal_BW#'!$A:$Z,26,FALSE)+VLOOKUP($A248,A:AL,37,FALSE)-50))</f>
        <v>325</v>
      </c>
      <c r="AM248" s="28" t="str">
        <f>VLOOKUP(A248,Classification!A:B,2,FALSE)</f>
        <v>A</v>
      </c>
      <c r="AN248" s="28" t="b">
        <f t="shared" si="156"/>
        <v>1</v>
      </c>
      <c r="AO248" s="3" t="str">
        <f>IF(ISERROR(MATCH(A248,'SegEnds_Xtal_Prot#'!B:B, 0)), "NoXtal", "Xtal")</f>
        <v>NoXtal</v>
      </c>
      <c r="AP248" s="3">
        <f t="shared" si="141"/>
        <v>1</v>
      </c>
      <c r="AQ248" s="3">
        <f t="shared" si="142"/>
        <v>1</v>
      </c>
      <c r="AR248" s="3">
        <f t="shared" si="143"/>
        <v>1</v>
      </c>
      <c r="AS248" s="3">
        <f t="shared" si="144"/>
        <v>1</v>
      </c>
      <c r="AT248" s="3">
        <f t="shared" si="145"/>
        <v>1</v>
      </c>
      <c r="AU248" s="3">
        <f t="shared" si="146"/>
        <v>1</v>
      </c>
      <c r="AV248" s="3">
        <f t="shared" si="147"/>
        <v>20</v>
      </c>
      <c r="AW248" s="3">
        <f t="shared" si="148"/>
        <v>2</v>
      </c>
      <c r="AX248" s="3">
        <f t="shared" si="149"/>
        <v>11</v>
      </c>
      <c r="AY248" s="3">
        <f t="shared" si="150"/>
        <v>5</v>
      </c>
      <c r="AZ248" s="3">
        <f t="shared" si="151"/>
        <v>1</v>
      </c>
      <c r="BA248" s="3">
        <f>IF(ISERROR(LEN(VLOOKUP(A248,Seqs!A:E,2,FALSE))-AL248),"-",LEN(VLOOKUP(A248,Seqs!A:E,2,FALSE))-AL248)</f>
        <v>17</v>
      </c>
      <c r="BB248" s="16">
        <f t="shared" si="152"/>
        <v>28</v>
      </c>
      <c r="BC248" s="9">
        <f t="shared" si="153"/>
        <v>20</v>
      </c>
      <c r="BD248" s="3">
        <f t="shared" si="154"/>
        <v>28</v>
      </c>
      <c r="BE248" s="3">
        <f t="shared" si="155"/>
        <v>64</v>
      </c>
      <c r="BF248" s="3">
        <f t="shared" si="168"/>
        <v>35</v>
      </c>
    </row>
    <row r="249" spans="1:58" s="3" customFormat="1" x14ac:dyDescent="0.2">
      <c r="A249" s="3" t="s">
        <v>392</v>
      </c>
      <c r="B249" s="3" t="str">
        <f>LOWER(VLOOKUP(A249,Xtal_Templ!A:B,2,FALSE))</f>
        <v>5ht1b_human</v>
      </c>
      <c r="C249" s="3">
        <f>VLOOKUP($A249,'SegEnds_NonXtal_BW#'!$A:$Z,3,FALSE)+D249-50</f>
        <v>28</v>
      </c>
      <c r="D249" s="3">
        <v>50</v>
      </c>
      <c r="E249" s="3">
        <f>IF(ISERROR(VLOOKUP($A249,'SegEnds_NonXtal_BW#'!$A:$Z,4,FALSE)+VLOOKUP($A249,A:AL,4,FALSE)-50),"-",(VLOOKUP($A249,'SegEnds_NonXtal_BW#'!$A:$Z,4,FALSE)+VLOOKUP($A249,A:AL,4,FALSE)-50))</f>
        <v>60</v>
      </c>
      <c r="F249" s="3">
        <f t="shared" si="190"/>
        <v>61</v>
      </c>
      <c r="G249" s="3">
        <v>63</v>
      </c>
      <c r="H249" s="3">
        <f t="shared" si="191"/>
        <v>64</v>
      </c>
      <c r="I249" s="3">
        <f t="shared" si="191"/>
        <v>65</v>
      </c>
      <c r="J249" s="3">
        <v>78</v>
      </c>
      <c r="K249" s="3">
        <f>VLOOKUP($A249,'SegEnds_NonXtal_BW#'!$A:$Z,8,FALSE)+VLOOKUP($A249,A:AL,10,FALSE)-50</f>
        <v>96</v>
      </c>
      <c r="L249" s="3">
        <f t="shared" si="165"/>
        <v>97</v>
      </c>
      <c r="M249" s="3">
        <v>98</v>
      </c>
      <c r="N249" s="3">
        <f t="shared" si="166"/>
        <v>100</v>
      </c>
      <c r="O249" s="3">
        <f t="shared" si="162"/>
        <v>101</v>
      </c>
      <c r="P249" s="3">
        <v>130</v>
      </c>
      <c r="Q249" s="3">
        <f>VLOOKUP($A249,'SegEnds_NonXtal_BW#'!$A:$Z,12,FALSE)+VLOOKUP($A249,A:AL,16,FALSE)-50</f>
        <v>136</v>
      </c>
      <c r="R249" s="3">
        <f>IF(ISERROR(VLOOKUP($A249,'SegEnds_NonXtal_BW#'!$A:$Z,13,FALSE)+VLOOKUP($A249,A:AL,19,FALSE)-50),"-",VLOOKUP($A249,'SegEnds_NonXtal_BW#'!$A:$Z,13,FALSE)+VLOOKUP($A249,A:AL,19,FALSE)-50)</f>
        <v>137</v>
      </c>
      <c r="S249" s="3">
        <v>137</v>
      </c>
      <c r="T249" s="100">
        <f>IF(ISERROR(VLOOKUP($A249,'SegEnds_NonXtal_BW#'!$A:$Z,14,FALSE)+VLOOKUP($A249,A:AL,19,FALSE)-50),"-",(VLOOKUP($A249,'SegEnds_NonXtal_BW#'!$A:$Z,14,FALSE)+VLOOKUP($A249,A:AL,19,FALSE)-50))</f>
        <v>144</v>
      </c>
      <c r="U249" s="9">
        <f>IF(ISERROR(VLOOKUP($A249,'SegEnds_NonXtal_BW#'!$A:$Z,15,FALSE)+VLOOKUP($A249,A:AL,22,FALSE)-50),"-",VLOOKUP($A249,'SegEnds_NonXtal_BW#'!$A:$Z,15,FALSE)+VLOOKUP($A249,A:AL,22,FALSE)-50)</f>
        <v>145</v>
      </c>
      <c r="V249" s="3">
        <v>157</v>
      </c>
      <c r="W249" s="3">
        <f>IF(ISERROR(VLOOKUP($A249,'SegEnds_NonXtal_BW#'!$A:$Z,16,FALSE)+VLOOKUP($A249,A:AL,22,FALSE)-50),"-",(VLOOKUP($A249,'SegEnds_NonXtal_BW#'!$A:$Z,16,FALSE)+VLOOKUP($A249,A:AL,22,FALSE)-50))</f>
        <v>170</v>
      </c>
      <c r="X249" s="3">
        <f>IF(ISERROR(VLOOKUP($A249,'SegEnds_NonXtal_BW#'!$A:$Z,17,FALSE)+VLOOKUP($A249,A:AL,25,FALSE)-50),"-",(VLOOKUP($A249,'SegEnds_NonXtal_BW#'!$A:$Z,17,FALSE)+VLOOKUP($A249,A:AL,25,FALSE)-50))</f>
        <v>190</v>
      </c>
      <c r="Y249" s="3">
        <v>190</v>
      </c>
      <c r="Z249" s="3">
        <f t="shared" si="167"/>
        <v>192</v>
      </c>
      <c r="AA249" s="3">
        <f>IF(ISERROR(VLOOKUP($A249,'SegEnds_NonXtal_BW#'!$A:$Z,19,FALSE)+VLOOKUP($A249,A:AL,28,FALSE)-50),"-",(VLOOKUP($A249,'SegEnds_NonXtal_BW#'!$A:$Z,19,FALSE)+VLOOKUP($A249,A:AL,28,FALSE)-50))</f>
        <v>194</v>
      </c>
      <c r="AB249" s="3">
        <v>209</v>
      </c>
      <c r="AC249" s="3">
        <f>IF(ISERROR((VLOOKUP($A249,'SegEnds_NonXtal_BW#'!$A:$Z,20,FALSE)+VLOOKUP($A249,A:AL,28,FALSE)-50)),"-",(VLOOKUP($A249,'SegEnds_NonXtal_BW#'!$A:$Z,20,FALSE)+VLOOKUP($A249,A:AL,28,FALSE)-50))</f>
        <v>233</v>
      </c>
      <c r="AD249" s="3">
        <f>IF(ISERROR(VLOOKUP($A249,'SegEnds_NonXtal_BW#'!$A:$Z,21,FALSE)+VLOOKUP($A249,A:AL,31,FALSE)-50),"-",(VLOOKUP($A249,'SegEnds_NonXtal_BW#'!$A:$Z,21,FALSE)+VLOOKUP($A249,A:AL,31,FALSE)-50))</f>
        <v>244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326</v>
      </c>
      <c r="AM249" s="28" t="str">
        <f>VLOOKUP(A249,Classification!A:B,2,FALSE)</f>
        <v>A</v>
      </c>
      <c r="AN249" s="28" t="b">
        <f t="shared" si="156"/>
        <v>1</v>
      </c>
      <c r="AO249" s="3" t="str">
        <f>IF(ISERROR(MATCH(A249,'SegEnds_Xtal_Prot#'!B:B, 0)), "NoXtal", "Xtal")</f>
        <v>NoXtal</v>
      </c>
      <c r="AP249" s="3">
        <f t="shared" si="141"/>
        <v>1</v>
      </c>
      <c r="AQ249" s="3">
        <f t="shared" si="142"/>
        <v>1</v>
      </c>
      <c r="AR249" s="3">
        <f t="shared" si="143"/>
        <v>1</v>
      </c>
      <c r="AS249" s="3">
        <f t="shared" si="144"/>
        <v>1</v>
      </c>
      <c r="AT249" s="3">
        <f t="shared" si="145"/>
        <v>1</v>
      </c>
      <c r="AU249" s="3">
        <f t="shared" si="146"/>
        <v>1</v>
      </c>
      <c r="AV249" s="3">
        <f t="shared" si="147"/>
        <v>20</v>
      </c>
      <c r="AW249" s="3">
        <f t="shared" si="148"/>
        <v>2</v>
      </c>
      <c r="AX249" s="3">
        <f t="shared" si="149"/>
        <v>11</v>
      </c>
      <c r="AY249" s="3">
        <f t="shared" si="150"/>
        <v>5</v>
      </c>
      <c r="AZ249" s="3">
        <f t="shared" si="151"/>
        <v>1</v>
      </c>
      <c r="BA249" s="3">
        <f>IF(ISERROR(LEN(VLOOKUP(A249,Seqs!A:E,2,FALSE))-AL249),"-",LEN(VLOOKUP(A249,Seqs!A:E,2,FALSE))-AL249)</f>
        <v>22</v>
      </c>
      <c r="BB249" s="16">
        <f t="shared" si="152"/>
        <v>28</v>
      </c>
      <c r="BC249" s="9">
        <f t="shared" si="153"/>
        <v>20</v>
      </c>
      <c r="BD249" s="3">
        <f t="shared" si="154"/>
        <v>28</v>
      </c>
      <c r="BE249" s="3">
        <f t="shared" si="155"/>
        <v>64</v>
      </c>
      <c r="BF249" s="3">
        <f t="shared" si="168"/>
        <v>35</v>
      </c>
    </row>
    <row r="250" spans="1:58" s="3" customFormat="1" x14ac:dyDescent="0.2">
      <c r="A250" s="3" t="s">
        <v>393</v>
      </c>
      <c r="B250" s="3" t="str">
        <f>LOWER(VLOOKUP(A250,Xtal_Templ!A:B,2,FALSE))</f>
        <v>oprx_human</v>
      </c>
      <c r="C250" s="3">
        <f>VLOOKUP($A250,'SegEnds_NonXtal_BW#'!$A:$Z,3,FALSE)+D250-50</f>
        <v>22</v>
      </c>
      <c r="D250" s="3">
        <v>43</v>
      </c>
      <c r="E250" s="3">
        <f>IF(ISERROR(VLOOKUP($A250,'SegEnds_NonXtal_BW#'!$A:$Z,4,FALSE)+VLOOKUP($A250,A:AL,4,FALSE)-50),"-",(VLOOKUP($A250,'SegEnds_NonXtal_BW#'!$A:$Z,4,FALSE)+VLOOKUP($A250,A:AL,4,FALSE)-50))</f>
        <v>53</v>
      </c>
      <c r="F250" s="3">
        <f t="shared" si="190"/>
        <v>54</v>
      </c>
      <c r="G250" s="3">
        <v>56</v>
      </c>
      <c r="H250" s="3">
        <f t="shared" si="191"/>
        <v>57</v>
      </c>
      <c r="I250" s="3">
        <f t="shared" si="191"/>
        <v>58</v>
      </c>
      <c r="J250" s="3">
        <v>71</v>
      </c>
      <c r="K250" s="3">
        <f>VLOOKUP($A250,'SegEnds_NonXtal_BW#'!$A:$Z,8,FALSE)+VLOOKUP($A250,A:AL,10,FALSE)-50</f>
        <v>87</v>
      </c>
      <c r="L250" s="3">
        <f t="shared" si="165"/>
        <v>90</v>
      </c>
      <c r="M250" s="3">
        <v>91</v>
      </c>
      <c r="N250" s="3">
        <f t="shared" si="166"/>
        <v>93</v>
      </c>
      <c r="O250" s="3">
        <f t="shared" si="162"/>
        <v>94</v>
      </c>
      <c r="P250" s="3">
        <v>123</v>
      </c>
      <c r="Q250" s="3">
        <f>VLOOKUP($A250,'SegEnds_NonXtal_BW#'!$A:$Z,12,FALSE)+VLOOKUP($A250,A:AL,16,FALSE)-50</f>
        <v>129</v>
      </c>
      <c r="R250" s="3">
        <f>IF(ISERROR(VLOOKUP($A250,'SegEnds_NonXtal_BW#'!$A:$Z,13,FALSE)+VLOOKUP($A250,A:AL,19,FALSE)-50),"-",VLOOKUP($A250,'SegEnds_NonXtal_BW#'!$A:$Z,13,FALSE)+VLOOKUP($A250,A:AL,19,FALSE)-50)</f>
        <v>130</v>
      </c>
      <c r="S250" s="3">
        <v>130</v>
      </c>
      <c r="T250" s="100">
        <f>IF(ISERROR(VLOOKUP($A250,'SegEnds_NonXtal_BW#'!$A:$Z,14,FALSE)+VLOOKUP($A250,A:AL,19,FALSE)-50),"-",(VLOOKUP($A250,'SegEnds_NonXtal_BW#'!$A:$Z,14,FALSE)+VLOOKUP($A250,A:AL,19,FALSE)-50))</f>
        <v>137</v>
      </c>
      <c r="U250" s="9">
        <f>IF(ISERROR(VLOOKUP($A250,'SegEnds_NonXtal_BW#'!$A:$Z,15,FALSE)+VLOOKUP($A250,A:AL,22,FALSE)-50),"-",VLOOKUP($A250,'SegEnds_NonXtal_BW#'!$A:$Z,15,FALSE)+VLOOKUP($A250,A:AL,22,FALSE)-50)</f>
        <v>138</v>
      </c>
      <c r="V250" s="3">
        <v>150</v>
      </c>
      <c r="W250" s="3">
        <f>IF(ISERROR(VLOOKUP($A250,'SegEnds_NonXtal_BW#'!$A:$Z,16,FALSE)+VLOOKUP($A250,A:AL,22,FALSE)-50),"-",(VLOOKUP($A250,'SegEnds_NonXtal_BW#'!$A:$Z,16,FALSE)+VLOOKUP($A250,A:AL,22,FALSE)-50))</f>
        <v>164</v>
      </c>
      <c r="X250" s="3">
        <f>IF(ISERROR(VLOOKUP($A250,'SegEnds_NonXtal_BW#'!$A:$Z,17,FALSE)+VLOOKUP($A250,A:AL,25,FALSE)-50),"-",(VLOOKUP($A250,'SegEnds_NonXtal_BW#'!$A:$Z,17,FALSE)+VLOOKUP($A250,A:AL,25,FALSE)-50))</f>
        <v>179</v>
      </c>
      <c r="Y250" s="3">
        <v>179</v>
      </c>
      <c r="Z250" s="3">
        <f t="shared" si="167"/>
        <v>181</v>
      </c>
      <c r="AA250" s="3">
        <f>IF(ISERROR(VLOOKUP($A250,'SegEnds_NonXtal_BW#'!$A:$Z,19,FALSE)+VLOOKUP($A250,A:AL,28,FALSE)-50),"-",(VLOOKUP($A250,'SegEnds_NonXtal_BW#'!$A:$Z,19,FALSE)+VLOOKUP($A250,A:AL,28,FALSE)-50))</f>
        <v>184</v>
      </c>
      <c r="AB250" s="3">
        <v>203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255</v>
      </c>
      <c r="AE250" s="3">
        <v>281</v>
      </c>
      <c r="AF250" s="3">
        <f>IF(ISERROR((VLOOKUP($A250,'SegEnds_NonXtal_BW#'!$A:$Z,22,FALSE)+VLOOKUP($A250,A:AL,31,FALSE)-50)),"-",(VLOOKUP($A250,'SegEnds_NonXtal_BW#'!$A:$Z,22,FALSE)+VLOOKUP($A250,A:AL,31,FALSE)-50))</f>
        <v>292</v>
      </c>
      <c r="AG250" s="3">
        <f>IF(ISERROR(VLOOKUP($A250,'SegEnds_NonXtal_BW#'!$A:$Z,23,FALSE)+VLOOKUP($A250,A:AL,34,FALSE)-50),"-",(VLOOKUP($A250,'SegEnds_NonXtal_BW#'!$A:$Z,23,FALSE)+VLOOKUP($A250,A:AL,34,FALSE)-50))</f>
        <v>298</v>
      </c>
      <c r="AH250" s="3">
        <v>317</v>
      </c>
      <c r="AI250" s="3">
        <f>IF(ISERROR((VLOOKUP($A250,'SegEnds_NonXtal_BW#'!$A:$Z,24,FALSE)+VLOOKUP($A250,A:AL,34,FALSE)-50)),"-",(VLOOKUP($A250,'SegEnds_NonXtal_BW#'!$A:$Z,24,FALSE)+VLOOKUP($A250,A:AL,34,FALSE)-50))</f>
        <v>323</v>
      </c>
      <c r="AJ250" s="3">
        <f>IF(ISERROR(VLOOKUP($A250,'SegEnds_NonXtal_BW#'!$A:$Z,25,FALSE)+VLOOKUP($A250,A:AL,37,FALSE)-50),"-",(VLOOKUP($A250,'SegEnds_NonXtal_BW#'!$A:$Z,25,FALSE)+VLOOKUP($A250,A:AL,37,FALSE)-50))</f>
        <v>324</v>
      </c>
      <c r="AK250" s="3">
        <v>327</v>
      </c>
      <c r="AL250" s="3">
        <f>IF(ISERROR((VLOOKUP($A250,'SegEnds_NonXtal_BW#'!$A:$Z,26,FALSE)+VLOOKUP($A250,A:AL,37,FALSE)-50)),"-",(VLOOKUP($A250,'SegEnds_NonXtal_BW#'!$A:$Z,26,FALSE)+VLOOKUP($A250,A:AL,37,FALSE)-50))</f>
        <v>336</v>
      </c>
      <c r="AM250" s="28" t="str">
        <f>VLOOKUP(A250,Classification!A:B,2,FALSE)</f>
        <v>A</v>
      </c>
      <c r="AN250" s="28" t="b">
        <f t="shared" si="156"/>
        <v>1</v>
      </c>
      <c r="AO250" s="3" t="str">
        <f>IF(ISERROR(MATCH(A250,'SegEnds_Xtal_Prot#'!B:B, 0)), "NoXtal", "Xtal")</f>
        <v>NoXtal</v>
      </c>
      <c r="AP250" s="3">
        <f t="shared" si="141"/>
        <v>1</v>
      </c>
      <c r="AQ250" s="3">
        <f t="shared" si="142"/>
        <v>1</v>
      </c>
      <c r="AR250" s="3">
        <f t="shared" si="143"/>
        <v>3</v>
      </c>
      <c r="AS250" s="3">
        <f t="shared" si="144"/>
        <v>1</v>
      </c>
      <c r="AT250" s="3">
        <f t="shared" si="145"/>
        <v>1</v>
      </c>
      <c r="AU250" s="3">
        <f t="shared" si="146"/>
        <v>1</v>
      </c>
      <c r="AV250" s="3">
        <f t="shared" si="147"/>
        <v>15</v>
      </c>
      <c r="AW250" s="3">
        <f t="shared" si="148"/>
        <v>3</v>
      </c>
      <c r="AX250" s="3">
        <f t="shared" si="149"/>
        <v>26</v>
      </c>
      <c r="AY250" s="3">
        <f t="shared" si="150"/>
        <v>6</v>
      </c>
      <c r="AZ250" s="3">
        <f t="shared" si="151"/>
        <v>1</v>
      </c>
      <c r="BA250" s="3">
        <f>IF(ISERROR(LEN(VLOOKUP(A250,Seqs!A:E,2,FALSE))-AL250),"-",LEN(VLOOKUP(A250,Seqs!A:E,2,FALSE))-AL250)</f>
        <v>62</v>
      </c>
      <c r="BB250" s="16">
        <f t="shared" si="152"/>
        <v>28</v>
      </c>
      <c r="BC250" s="9">
        <f t="shared" si="153"/>
        <v>20</v>
      </c>
      <c r="BD250" s="3">
        <f t="shared" si="154"/>
        <v>28</v>
      </c>
      <c r="BE250" s="3">
        <f t="shared" si="155"/>
        <v>78</v>
      </c>
    </row>
    <row r="251" spans="1:58" s="3" customFormat="1" x14ac:dyDescent="0.2">
      <c r="A251" s="3" t="s">
        <v>394</v>
      </c>
      <c r="B251" s="3" t="str">
        <f>LOWER(VLOOKUP(A251,Xtal_Templ!A:B,2,FALSE))</f>
        <v>aa2ar_human</v>
      </c>
      <c r="C251" s="3">
        <f>VLOOKUP($A251,'SegEnds_NonXtal_BW#'!$A:$Z,3,FALSE)+D251-50</f>
        <v>409</v>
      </c>
      <c r="D251" s="3">
        <v>432</v>
      </c>
      <c r="E251" s="3">
        <f>IF(ISERROR(VLOOKUP($A251,'SegEnds_NonXtal_BW#'!$A:$Z,4,FALSE)+VLOOKUP($A251,A:AL,4,FALSE)-50),"-",(VLOOKUP($A251,'SegEnds_NonXtal_BW#'!$A:$Z,4,FALSE)+VLOOKUP($A251,A:AL,4,FALSE)-50))</f>
        <v>442</v>
      </c>
      <c r="F251" s="3">
        <f t="shared" si="190"/>
        <v>444</v>
      </c>
      <c r="G251" s="3">
        <v>446</v>
      </c>
      <c r="H251" s="3">
        <f t="shared" si="191"/>
        <v>447</v>
      </c>
      <c r="I251" s="3">
        <f t="shared" si="191"/>
        <v>448</v>
      </c>
      <c r="J251" s="3">
        <v>460</v>
      </c>
      <c r="K251" s="3">
        <f>VLOOKUP($A251,'SegEnds_NonXtal_BW#'!$A:$Z,8,FALSE)+VLOOKUP($A251,A:AL,10,FALSE)-50</f>
        <v>477</v>
      </c>
      <c r="L251" s="3">
        <f t="shared" si="165"/>
        <v>487</v>
      </c>
      <c r="M251" s="3">
        <v>488</v>
      </c>
      <c r="N251" s="3">
        <f t="shared" si="166"/>
        <v>490</v>
      </c>
      <c r="O251" s="3">
        <f t="shared" si="162"/>
        <v>491</v>
      </c>
      <c r="P251" s="3">
        <v>519</v>
      </c>
      <c r="Q251" s="3">
        <f>VLOOKUP($A251,'SegEnds_NonXtal_BW#'!$A:$Z,12,FALSE)+VLOOKUP($A251,A:AL,16,FALSE)-50</f>
        <v>525</v>
      </c>
      <c r="R251" s="3">
        <f>IF(ISERROR(VLOOKUP($A251,'SegEnds_NonXtal_BW#'!$A:$Z,13,FALSE)+VLOOKUP($A251,A:AL,19,FALSE)-50),"-",VLOOKUP($A251,'SegEnds_NonXtal_BW#'!$A:$Z,13,FALSE)+VLOOKUP($A251,A:AL,19,FALSE)-50)</f>
        <v>526</v>
      </c>
      <c r="S251" s="3">
        <v>526</v>
      </c>
      <c r="T251" s="100">
        <f>IF(ISERROR(VLOOKUP($A251,'SegEnds_NonXtal_BW#'!$A:$Z,14,FALSE)+VLOOKUP($A251,A:AL,19,FALSE)-50),"-",(VLOOKUP($A251,'SegEnds_NonXtal_BW#'!$A:$Z,14,FALSE)+VLOOKUP($A251,A:AL,19,FALSE)-50))</f>
        <v>533</v>
      </c>
      <c r="U251" s="9">
        <f>IF(ISERROR(VLOOKUP($A251,'SegEnds_NonXtal_BW#'!$A:$Z,15,FALSE)+VLOOKUP($A251,A:AL,22,FALSE)-50),"-",VLOOKUP($A251,'SegEnds_NonXtal_BW#'!$A:$Z,15,FALSE)+VLOOKUP($A251,A:AL,22,FALSE)-50)</f>
        <v>534</v>
      </c>
      <c r="V251" s="3">
        <v>546</v>
      </c>
      <c r="W251" s="3">
        <f>IF(ISERROR(VLOOKUP($A251,'SegEnds_NonXtal_BW#'!$A:$Z,16,FALSE)+VLOOKUP($A251,A:AL,22,FALSE)-50),"-",(VLOOKUP($A251,'SegEnds_NonXtal_BW#'!$A:$Z,16,FALSE)+VLOOKUP($A251,A:AL,22,FALSE)-50))</f>
        <v>559</v>
      </c>
      <c r="X251" s="3">
        <f>IF(ISERROR(VLOOKUP($A251,'SegEnds_NonXtal_BW#'!$A:$Z,17,FALSE)+VLOOKUP($A251,A:AL,25,FALSE)-50),"-",(VLOOKUP($A251,'SegEnds_NonXtal_BW#'!$A:$Z,17,FALSE)+VLOOKUP($A251,A:AL,25,FALSE)-50))</f>
        <v>569</v>
      </c>
      <c r="Y251" s="3">
        <v>569</v>
      </c>
      <c r="Z251" s="3">
        <f t="shared" si="167"/>
        <v>571</v>
      </c>
      <c r="AA251" s="3">
        <f>IF(ISERROR(VLOOKUP($A251,'SegEnds_NonXtal_BW#'!$A:$Z,19,FALSE)+VLOOKUP($A251,A:AL,28,FALSE)-50),"-",(VLOOKUP($A251,'SegEnds_NonXtal_BW#'!$A:$Z,19,FALSE)+VLOOKUP($A251,A:AL,28,FALSE)-50))</f>
        <v>577</v>
      </c>
      <c r="AB251" s="3">
        <v>593</v>
      </c>
      <c r="AC251" s="3">
        <f>IF(ISERROR((VLOOKUP($A251,'SegEnds_NonXtal_BW#'!$A:$Z,20,FALSE)+VLOOKUP($A251,A:AL,28,FALSE)-50)),"-",(VLOOKUP($A251,'SegEnds_NonXtal_BW#'!$A:$Z,20,FALSE)+VLOOKUP($A251,A:AL,28,FALSE)-50))</f>
        <v>610</v>
      </c>
      <c r="AD251" s="3">
        <f>IF(ISERROR(VLOOKUP($A251,'SegEnds_NonXtal_BW#'!$A:$Z,21,FALSE)+VLOOKUP($A251,A:AL,31,FALSE)-50),"-",(VLOOKUP($A251,'SegEnds_NonXtal_BW#'!$A:$Z,21,FALSE)+VLOOKUP($A251,A:AL,31,FALSE)-50))</f>
        <v>615</v>
      </c>
      <c r="AE251" s="3">
        <v>639</v>
      </c>
      <c r="AF251" s="3">
        <f>IF(ISERROR((VLOOKUP($A251,'SegEnds_NonXtal_BW#'!$A:$Z,22,FALSE)+VLOOKUP($A251,A:AL,31,FALSE)-50)),"-",(VLOOKUP($A251,'SegEnds_NonXtal_BW#'!$A:$Z,22,FALSE)+VLOOKUP($A251,A:AL,31,FALSE)-50))</f>
        <v>650</v>
      </c>
      <c r="AG251" s="3">
        <f>IF(ISERROR(VLOOKUP($A251,'SegEnds_NonXtal_BW#'!$A:$Z,23,FALSE)+VLOOKUP($A251,A:AL,34,FALSE)-50),"-",(VLOOKUP($A251,'SegEnds_NonXtal_BW#'!$A:$Z,23,FALSE)+VLOOKUP($A251,A:AL,34,FALSE)-50))</f>
        <v>656</v>
      </c>
      <c r="AH251" s="3">
        <v>675</v>
      </c>
      <c r="AI251" s="3">
        <f>IF(ISERROR((VLOOKUP($A251,'SegEnds_NonXtal_BW#'!$A:$Z,24,FALSE)+VLOOKUP($A251,A:AL,34,FALSE)-50)),"-",(VLOOKUP($A251,'SegEnds_NonXtal_BW#'!$A:$Z,24,FALSE)+VLOOKUP($A251,A:AL,34,FALSE)-50))</f>
        <v>681</v>
      </c>
      <c r="AJ251" s="3">
        <f>IF(ISERROR(VLOOKUP($A251,'SegEnds_NonXtal_BW#'!$A:$Z,25,FALSE)+VLOOKUP($A251,A:AL,37,FALSE)-50),"-",(VLOOKUP($A251,'SegEnds_NonXtal_BW#'!$A:$Z,25,FALSE)+VLOOKUP($A251,A:AL,37,FALSE)-50))</f>
        <v>682</v>
      </c>
      <c r="AK251" s="3">
        <v>685</v>
      </c>
      <c r="AL251" s="3">
        <f>IF(ISERROR((VLOOKUP($A251,'SegEnds_NonXtal_BW#'!$A:$Z,26,FALSE)+VLOOKUP($A251,A:AL,37,FALSE)-50)),"-",(VLOOKUP($A251,'SegEnds_NonXtal_BW#'!$A:$Z,26,FALSE)+VLOOKUP($A251,A:AL,37,FALSE)-50))</f>
        <v>704</v>
      </c>
      <c r="AM251" s="28" t="str">
        <f>VLOOKUP(A251,Classification!A:B,2,FALSE)</f>
        <v>A</v>
      </c>
      <c r="AN251" s="28" t="b">
        <f t="shared" si="156"/>
        <v>1</v>
      </c>
      <c r="AO251" s="3" t="str">
        <f>IF(ISERROR(MATCH(A251,'SegEnds_Xtal_Prot#'!B:B, 0)), "NoXtal", "Xtal")</f>
        <v>NoXtal</v>
      </c>
      <c r="AP251" s="3">
        <f t="shared" si="141"/>
        <v>2</v>
      </c>
      <c r="AQ251" s="3">
        <f t="shared" si="142"/>
        <v>1</v>
      </c>
      <c r="AR251" s="3">
        <f t="shared" si="143"/>
        <v>10</v>
      </c>
      <c r="AS251" s="3">
        <f t="shared" si="144"/>
        <v>1</v>
      </c>
      <c r="AT251" s="3">
        <f t="shared" si="145"/>
        <v>1</v>
      </c>
      <c r="AU251" s="3">
        <f t="shared" si="146"/>
        <v>1</v>
      </c>
      <c r="AV251" s="3">
        <f t="shared" si="147"/>
        <v>10</v>
      </c>
      <c r="AW251" s="3">
        <f t="shared" si="148"/>
        <v>6</v>
      </c>
      <c r="AX251" s="3">
        <f t="shared" si="149"/>
        <v>5</v>
      </c>
      <c r="AY251" s="3">
        <f t="shared" si="150"/>
        <v>6</v>
      </c>
      <c r="AZ251" s="3">
        <f t="shared" si="151"/>
        <v>1</v>
      </c>
      <c r="BA251" s="3">
        <f>IF(ISERROR(LEN(VLOOKUP(A251,Seqs!A:E,2,FALSE))-AL251),"-",LEN(VLOOKUP(A251,Seqs!A:E,2,FALSE))-AL251)</f>
        <v>60</v>
      </c>
      <c r="BB251" s="16">
        <f t="shared" si="152"/>
        <v>28</v>
      </c>
      <c r="BC251" s="9">
        <f t="shared" si="153"/>
        <v>20</v>
      </c>
      <c r="BD251" s="3">
        <f t="shared" si="154"/>
        <v>28</v>
      </c>
      <c r="BE251" s="3">
        <f t="shared" si="155"/>
        <v>46</v>
      </c>
    </row>
    <row r="252" spans="1:58" s="3" customFormat="1" x14ac:dyDescent="0.2">
      <c r="A252" s="3" t="s">
        <v>398</v>
      </c>
      <c r="B252" s="3" t="str">
        <f>LOWER(VLOOKUP(A252,Xtal_Templ!A:B,2,FALSE))</f>
        <v>ntr1_rat</v>
      </c>
      <c r="C252" s="3">
        <f>VLOOKUP($A252,'SegEnds_NonXtal_BW#'!$A:$Z,3,FALSE)+D252-50</f>
        <v>34</v>
      </c>
      <c r="D252" s="3">
        <v>55</v>
      </c>
      <c r="E252" s="3">
        <f>IF(ISERROR(VLOOKUP($A252,'SegEnds_NonXtal_BW#'!$A:$Z,4,FALSE)+VLOOKUP($A252,A:AL,4,FALSE)-50),"-",(VLOOKUP($A252,'SegEnds_NonXtal_BW#'!$A:$Z,4,FALSE)+VLOOKUP($A252,A:AL,4,FALSE)-50))</f>
        <v>65</v>
      </c>
      <c r="F252" s="3">
        <f t="shared" si="190"/>
        <v>67</v>
      </c>
      <c r="G252" s="3">
        <v>69</v>
      </c>
      <c r="H252" s="3">
        <f t="shared" si="191"/>
        <v>70</v>
      </c>
      <c r="I252" s="3">
        <f t="shared" si="191"/>
        <v>71</v>
      </c>
      <c r="J252" s="3">
        <v>85</v>
      </c>
      <c r="K252" s="3">
        <f>VLOOKUP($A252,'SegEnds_NonXtal_BW#'!$A:$Z,8,FALSE)+VLOOKUP($A252,A:AL,10,FALSE)-50</f>
        <v>101</v>
      </c>
      <c r="L252" s="3">
        <f t="shared" si="165"/>
        <v>102</v>
      </c>
      <c r="M252" s="3">
        <v>103</v>
      </c>
      <c r="N252" s="3">
        <f t="shared" si="166"/>
        <v>105</v>
      </c>
      <c r="O252" s="3">
        <f t="shared" si="162"/>
        <v>106</v>
      </c>
      <c r="P252" s="3">
        <v>137</v>
      </c>
      <c r="Q252" s="3">
        <f>VLOOKUP($A252,'SegEnds_NonXtal_BW#'!$A:$Z,12,FALSE)+VLOOKUP($A252,A:AL,16,FALSE)-50</f>
        <v>143</v>
      </c>
      <c r="R252" s="3">
        <f>IF(ISERROR(VLOOKUP($A252,'SegEnds_NonXtal_BW#'!$A:$Z,13,FALSE)+VLOOKUP($A252,A:AL,19,FALSE)-50),"-",VLOOKUP($A252,'SegEnds_NonXtal_BW#'!$A:$Z,13,FALSE)+VLOOKUP($A252,A:AL,19,FALSE)-50)</f>
        <v>144</v>
      </c>
      <c r="S252" s="3">
        <v>144</v>
      </c>
      <c r="T252" s="100">
        <f>IF(ISERROR(VLOOKUP($A252,'SegEnds_NonXtal_BW#'!$A:$Z,14,FALSE)+VLOOKUP($A252,A:AL,19,FALSE)-50),"-",(VLOOKUP($A252,'SegEnds_NonXtal_BW#'!$A:$Z,14,FALSE)+VLOOKUP($A252,A:AL,19,FALSE)-50))</f>
        <v>151</v>
      </c>
      <c r="U252" s="9">
        <f>IF(ISERROR(VLOOKUP($A252,'SegEnds_NonXtal_BW#'!$A:$Z,15,FALSE)+VLOOKUP($A252,A:AL,22,FALSE)-50),"-",VLOOKUP($A252,'SegEnds_NonXtal_BW#'!$A:$Z,15,FALSE)+VLOOKUP($A252,A:AL,22,FALSE)-50)</f>
        <v>152</v>
      </c>
      <c r="V252" s="3">
        <v>164</v>
      </c>
      <c r="W252" s="3">
        <f>IF(ISERROR(VLOOKUP($A252,'SegEnds_NonXtal_BW#'!$A:$Z,16,FALSE)+VLOOKUP($A252,A:AL,22,FALSE)-50),"-",(VLOOKUP($A252,'SegEnds_NonXtal_BW#'!$A:$Z,16,FALSE)+VLOOKUP($A252,A:AL,22,FALSE)-50))</f>
        <v>178</v>
      </c>
      <c r="X252" s="3">
        <f>IF(ISERROR(VLOOKUP($A252,'SegEnds_NonXtal_BW#'!$A:$Z,17,FALSE)+VLOOKUP($A252,A:AL,25,FALSE)-50),"-",(VLOOKUP($A252,'SegEnds_NonXtal_BW#'!$A:$Z,17,FALSE)+VLOOKUP($A252,A:AL,25,FALSE)-50))</f>
        <v>192</v>
      </c>
      <c r="Y252" s="3">
        <v>192</v>
      </c>
      <c r="Z252" s="3">
        <f t="shared" si="167"/>
        <v>194</v>
      </c>
      <c r="AA252" s="3">
        <f>IF(ISERROR(VLOOKUP($A252,'SegEnds_NonXtal_BW#'!$A:$Z,19,FALSE)+VLOOKUP($A252,A:AL,28,FALSE)-50),"-",(VLOOKUP($A252,'SegEnds_NonXtal_BW#'!$A:$Z,19,FALSE)+VLOOKUP($A252,A:AL,28,FALSE)-50))</f>
        <v>199</v>
      </c>
      <c r="AB252" s="3">
        <v>217</v>
      </c>
      <c r="AC252" s="3">
        <f>IF(ISERROR((VLOOKUP($A252,'SegEnds_NonXtal_BW#'!$A:$Z,20,FALSE)+VLOOKUP($A252,A:AL,28,FALSE)-50)),"-",(VLOOKUP($A252,'SegEnds_NonXtal_BW#'!$A:$Z,20,FALSE)+VLOOKUP($A252,A:AL,28,FALSE)-50))</f>
        <v>243</v>
      </c>
      <c r="AD252" s="3">
        <f>IF(ISERROR(VLOOKUP($A252,'SegEnds_NonXtal_BW#'!$A:$Z,21,FALSE)+VLOOKUP($A252,A:AL,31,FALSE)-50),"-",(VLOOKUP($A252,'SegEnds_NonXtal_BW#'!$A:$Z,21,FALSE)+VLOOKUP($A252,A:AL,31,FALSE)-50))</f>
        <v>260</v>
      </c>
      <c r="AE252" s="3">
        <v>286</v>
      </c>
      <c r="AF252" s="3">
        <f>IF(ISERROR((VLOOKUP($A252,'SegEnds_NonXtal_BW#'!$A:$Z,22,FALSE)+VLOOKUP($A252,A:AL,31,FALSE)-50)),"-",(VLOOKUP($A252,'SegEnds_NonXtal_BW#'!$A:$Z,22,FALSE)+VLOOKUP($A252,A:AL,31,FALSE)-50))</f>
        <v>297</v>
      </c>
      <c r="AG252" s="3">
        <f>IF(ISERROR(VLOOKUP($A252,'SegEnds_NonXtal_BW#'!$A:$Z,23,FALSE)+VLOOKUP($A252,A:AL,34,FALSE)-50),"-",(VLOOKUP($A252,'SegEnds_NonXtal_BW#'!$A:$Z,23,FALSE)+VLOOKUP($A252,A:AL,34,FALSE)-50))</f>
        <v>303</v>
      </c>
      <c r="AH252" s="3">
        <v>322</v>
      </c>
      <c r="AI252" s="3">
        <f>IF(ISERROR((VLOOKUP($A252,'SegEnds_NonXtal_BW#'!$A:$Z,24,FALSE)+VLOOKUP($A252,A:AL,34,FALSE)-50)),"-",(VLOOKUP($A252,'SegEnds_NonXtal_BW#'!$A:$Z,24,FALSE)+VLOOKUP($A252,A:AL,34,FALSE)-50))</f>
        <v>328</v>
      </c>
      <c r="AJ252" s="3">
        <f>IF(ISERROR(VLOOKUP($A252,'SegEnds_NonXtal_BW#'!$A:$Z,25,FALSE)+VLOOKUP($A252,A:AL,37,FALSE)-50),"-",(VLOOKUP($A252,'SegEnds_NonXtal_BW#'!$A:$Z,25,FALSE)+VLOOKUP($A252,A:AL,37,FALSE)-50))</f>
        <v>329</v>
      </c>
      <c r="AK252" s="3">
        <v>332</v>
      </c>
      <c r="AL252" s="3">
        <f>IF(ISERROR((VLOOKUP($A252,'SegEnds_NonXtal_BW#'!$A:$Z,26,FALSE)+VLOOKUP($A252,A:AL,37,FALSE)-50)),"-",(VLOOKUP($A252,'SegEnds_NonXtal_BW#'!$A:$Z,26,FALSE)+VLOOKUP($A252,A:AL,37,FALSE)-50))</f>
        <v>344</v>
      </c>
      <c r="AM252" s="28" t="str">
        <f>VLOOKUP(A252,Classification!A:B,2,FALSE)</f>
        <v>A</v>
      </c>
      <c r="AN252" s="28" t="b">
        <f t="shared" si="156"/>
        <v>1</v>
      </c>
      <c r="AO252" s="3" t="str">
        <f>IF(ISERROR(MATCH(A252,'SegEnds_Xtal_Prot#'!B:B, 0)), "NoXtal", "Xtal")</f>
        <v>NoXtal</v>
      </c>
      <c r="AP252" s="3">
        <f t="shared" si="141"/>
        <v>2</v>
      </c>
      <c r="AQ252" s="3">
        <f t="shared" si="142"/>
        <v>1</v>
      </c>
      <c r="AR252" s="3">
        <f t="shared" si="143"/>
        <v>1</v>
      </c>
      <c r="AS252" s="3">
        <f t="shared" si="144"/>
        <v>1</v>
      </c>
      <c r="AT252" s="3">
        <f t="shared" si="145"/>
        <v>1</v>
      </c>
      <c r="AU252" s="3">
        <f t="shared" si="146"/>
        <v>1</v>
      </c>
      <c r="AV252" s="3">
        <f t="shared" si="147"/>
        <v>14</v>
      </c>
      <c r="AW252" s="3">
        <f t="shared" si="148"/>
        <v>5</v>
      </c>
      <c r="AX252" s="3">
        <f t="shared" si="149"/>
        <v>17</v>
      </c>
      <c r="AY252" s="3">
        <f t="shared" si="150"/>
        <v>6</v>
      </c>
      <c r="AZ252" s="3">
        <f t="shared" si="151"/>
        <v>1</v>
      </c>
      <c r="BA252" s="3">
        <f>IF(ISERROR(LEN(VLOOKUP(A252,Seqs!A:E,2,FALSE))-AL252),"-",LEN(VLOOKUP(A252,Seqs!A:E,2,FALSE))-AL252)</f>
        <v>27</v>
      </c>
      <c r="BB252" s="16">
        <f t="shared" si="152"/>
        <v>30</v>
      </c>
      <c r="BC252" s="9">
        <f t="shared" si="153"/>
        <v>20</v>
      </c>
      <c r="BD252" s="3">
        <f t="shared" si="154"/>
        <v>30</v>
      </c>
      <c r="BE252" s="3">
        <f t="shared" si="155"/>
        <v>69</v>
      </c>
    </row>
    <row r="253" spans="1:58" s="3" customFormat="1" x14ac:dyDescent="0.2">
      <c r="A253" s="3" t="s">
        <v>399</v>
      </c>
      <c r="B253" s="3" t="str">
        <f>LOWER(VLOOKUP(A253,Xtal_Templ!A:B,2,FALSE))</f>
        <v>ccr5_human</v>
      </c>
      <c r="C253" s="3">
        <f>VLOOKUP($A253,'SegEnds_NonXtal_BW#'!$A:$Z,3,FALSE)+D253-50</f>
        <v>23</v>
      </c>
      <c r="D253" s="3">
        <v>49</v>
      </c>
      <c r="E253" s="3">
        <f>IF(ISERROR(VLOOKUP($A253,'SegEnds_NonXtal_BW#'!$A:$Z,4,FALSE)+VLOOKUP($A253,A:AL,4,FALSE)-50),"-",(VLOOKUP($A253,'SegEnds_NonXtal_BW#'!$A:$Z,4,FALSE)+VLOOKUP($A253,A:AL,4,FALSE)-50))</f>
        <v>59</v>
      </c>
      <c r="F253" s="3">
        <f t="shared" si="190"/>
        <v>60</v>
      </c>
      <c r="G253" s="3">
        <v>62</v>
      </c>
      <c r="H253" s="3">
        <f t="shared" si="191"/>
        <v>63</v>
      </c>
      <c r="I253" s="3">
        <f t="shared" si="191"/>
        <v>64</v>
      </c>
      <c r="J253" s="3">
        <v>77</v>
      </c>
      <c r="K253" s="3">
        <f>VLOOKUP($A253,'SegEnds_NonXtal_BW#'!$A:$Z,8,FALSE)+VLOOKUP($A253,A:AL,10,FALSE)-50</f>
        <v>93</v>
      </c>
      <c r="L253" s="3">
        <f t="shared" si="165"/>
        <v>94</v>
      </c>
      <c r="M253" s="3">
        <v>95</v>
      </c>
      <c r="N253" s="3">
        <f t="shared" si="166"/>
        <v>97</v>
      </c>
      <c r="O253" s="3">
        <f t="shared" si="162"/>
        <v>98</v>
      </c>
      <c r="P253" s="3">
        <v>127</v>
      </c>
      <c r="Q253" s="3">
        <f>VLOOKUP($A253,'SegEnds_NonXtal_BW#'!$A:$Z,12,FALSE)+VLOOKUP($A253,A:AL,16,FALSE)-50</f>
        <v>133</v>
      </c>
      <c r="R253" s="3">
        <f>IF(ISERROR(VLOOKUP($A253,'SegEnds_NonXtal_BW#'!$A:$Z,13,FALSE)+VLOOKUP($A253,A:AL,19,FALSE)-50),"-",VLOOKUP($A253,'SegEnds_NonXtal_BW#'!$A:$Z,13,FALSE)+VLOOKUP($A253,A:AL,19,FALSE)-50)</f>
        <v>134</v>
      </c>
      <c r="S253" s="3">
        <v>134</v>
      </c>
      <c r="T253" s="100">
        <f>IF(ISERROR(VLOOKUP($A253,'SegEnds_NonXtal_BW#'!$A:$Z,14,FALSE)+VLOOKUP($A253,A:AL,19,FALSE)-50),"-",(VLOOKUP($A253,'SegEnds_NonXtal_BW#'!$A:$Z,14,FALSE)+VLOOKUP($A253,A:AL,19,FALSE)-50))</f>
        <v>141</v>
      </c>
      <c r="U253" s="9">
        <f>IF(ISERROR(VLOOKUP($A253,'SegEnds_NonXtal_BW#'!$A:$Z,15,FALSE)+VLOOKUP($A253,A:AL,22,FALSE)-50),"-",VLOOKUP($A253,'SegEnds_NonXtal_BW#'!$A:$Z,15,FALSE)+VLOOKUP($A253,A:AL,22,FALSE)-50)</f>
        <v>142</v>
      </c>
      <c r="V253" s="3">
        <v>154</v>
      </c>
      <c r="W253" s="3">
        <f>IF(ISERROR(VLOOKUP($A253,'SegEnds_NonXtal_BW#'!$A:$Z,16,FALSE)+VLOOKUP($A253,A:AL,22,FALSE)-50),"-",(VLOOKUP($A253,'SegEnds_NonXtal_BW#'!$A:$Z,16,FALSE)+VLOOKUP($A253,A:AL,22,FALSE)-50))</f>
        <v>168</v>
      </c>
      <c r="X253" s="3">
        <f>IF(ISERROR(VLOOKUP($A253,'SegEnds_NonXtal_BW#'!$A:$Z,17,FALSE)+VLOOKUP($A253,A:AL,25,FALSE)-50),"-",(VLOOKUP($A253,'SegEnds_NonXtal_BW#'!$A:$Z,17,FALSE)+VLOOKUP($A253,A:AL,25,FALSE)-50))</f>
        <v>175</v>
      </c>
      <c r="Y253" s="3">
        <v>175</v>
      </c>
      <c r="Z253" s="3">
        <f t="shared" si="167"/>
        <v>177</v>
      </c>
      <c r="AA253" s="3">
        <f>IF(ISERROR(VLOOKUP($A253,'SegEnds_NonXtal_BW#'!$A:$Z,19,FALSE)+VLOOKUP($A253,A:AL,28,FALSE)-50),"-",(VLOOKUP($A253,'SegEnds_NonXtal_BW#'!$A:$Z,19,FALSE)+VLOOKUP($A253,A:AL,28,FALSE)-50))</f>
        <v>182</v>
      </c>
      <c r="AB253" s="3">
        <v>197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220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254</v>
      </c>
      <c r="AG253" s="3">
        <f>IF(ISERROR(VLOOKUP($A253,'SegEnds_NonXtal_BW#'!$A:$Z,23,FALSE)+VLOOKUP($A253,A:AL,34,FALSE)-50),"-",(VLOOKUP($A253,'SegEnds_NonXtal_BW#'!$A:$Z,23,FALSE)+VLOOKUP($A253,A:AL,34,FALSE)-50))</f>
        <v>258</v>
      </c>
      <c r="AH253" s="3">
        <v>284</v>
      </c>
      <c r="AI253" s="3">
        <f>IF(ISERROR((VLOOKUP($A253,'SegEnds_NonXtal_BW#'!$A:$Z,24,FALSE)+VLOOKUP($A253,A:AL,34,FALSE)-50)),"-",(VLOOKUP($A253,'SegEnds_NonXtal_BW#'!$A:$Z,24,FALSE)+VLOOKUP($A253,A:AL,34,FALSE)-50))</f>
        <v>290</v>
      </c>
      <c r="AJ253" s="3">
        <f>IF(ISERROR(VLOOKUP($A253,'SegEnds_NonXtal_BW#'!$A:$Z,25,FALSE)+VLOOKUP($A253,A:AL,37,FALSE)-50),"-",(VLOOKUP($A253,'SegEnds_NonXtal_BW#'!$A:$Z,25,FALSE)+VLOOKUP($A253,A:AL,37,FALSE)-50))</f>
        <v>291</v>
      </c>
      <c r="AK253" s="3">
        <v>294</v>
      </c>
      <c r="AL253" s="3">
        <f>IF(ISERROR((VLOOKUP($A253,'SegEnds_NonXtal_BW#'!$A:$Z,26,FALSE)+VLOOKUP($A253,A:AL,37,FALSE)-50)),"-",(VLOOKUP($A253,'SegEnds_NonXtal_BW#'!$A:$Z,26,FALSE)+VLOOKUP($A253,A:AL,37,FALSE)-50))</f>
        <v>303</v>
      </c>
      <c r="AM253" s="28" t="str">
        <f>VLOOKUP(A253,Classification!A:B,2,FALSE)</f>
        <v>A</v>
      </c>
      <c r="AN253" s="28" t="b">
        <f t="shared" si="156"/>
        <v>1</v>
      </c>
      <c r="AO253" s="3" t="str">
        <f>IF(ISERROR(MATCH(A253,'SegEnds_Xtal_Prot#'!B:B, 0)), "NoXtal", "Xtal")</f>
        <v>NoXtal</v>
      </c>
      <c r="AP253" s="3">
        <f t="shared" si="141"/>
        <v>1</v>
      </c>
      <c r="AQ253" s="3">
        <f t="shared" si="142"/>
        <v>1</v>
      </c>
      <c r="AR253" s="3">
        <f t="shared" si="143"/>
        <v>1</v>
      </c>
      <c r="AS253" s="3">
        <f t="shared" si="144"/>
        <v>1</v>
      </c>
      <c r="AT253" s="3">
        <f t="shared" si="145"/>
        <v>1</v>
      </c>
      <c r="AU253" s="3">
        <f t="shared" si="146"/>
        <v>1</v>
      </c>
      <c r="AV253" s="3">
        <f t="shared" si="147"/>
        <v>7</v>
      </c>
      <c r="AW253" s="3">
        <f t="shared" si="148"/>
        <v>5</v>
      </c>
      <c r="AX253" s="3">
        <f t="shared" si="149"/>
        <v>5</v>
      </c>
      <c r="AY253" s="3">
        <f t="shared" si="150"/>
        <v>4</v>
      </c>
      <c r="AZ253" s="3">
        <f t="shared" si="151"/>
        <v>1</v>
      </c>
      <c r="BA253" s="3">
        <f>IF(ISERROR(LEN(VLOOKUP(A253,Seqs!A:E,2,FALSE))-AL253),"-",LEN(VLOOKUP(A253,Seqs!A:E,2,FALSE))-AL253)</f>
        <v>30</v>
      </c>
      <c r="BB253" s="16">
        <f t="shared" si="152"/>
        <v>28</v>
      </c>
      <c r="BC253" s="9">
        <f t="shared" si="153"/>
        <v>20</v>
      </c>
      <c r="BD253" s="3">
        <f t="shared" si="154"/>
        <v>28</v>
      </c>
      <c r="BE253" s="3">
        <f t="shared" si="155"/>
        <v>43</v>
      </c>
    </row>
    <row r="254" spans="1:58" s="3" customFormat="1" x14ac:dyDescent="0.2">
      <c r="A254" s="3" t="s">
        <v>178</v>
      </c>
      <c r="B254" s="3" t="str">
        <f>LOWER(VLOOKUP(A254,Xtal_Templ!A:B,2,FALSE))</f>
        <v>ccr5_human</v>
      </c>
      <c r="C254" s="3">
        <f>VLOOKUP($A254,'SegEnds_NonXtal_BW#'!$A:$Z,3,FALSE)+D254-50</f>
        <v>30</v>
      </c>
      <c r="D254" s="3">
        <v>56</v>
      </c>
      <c r="E254" s="3">
        <f>IF(ISERROR(VLOOKUP($A254,'SegEnds_NonXtal_BW#'!$A:$Z,4,FALSE)+VLOOKUP($A254,A:AL,4,FALSE)-50),"-",(VLOOKUP($A254,'SegEnds_NonXtal_BW#'!$A:$Z,4,FALSE)+VLOOKUP($A254,A:AL,4,FALSE)-50))</f>
        <v>66</v>
      </c>
      <c r="F254" s="3">
        <f t="shared" si="190"/>
        <v>67</v>
      </c>
      <c r="G254" s="3">
        <v>69</v>
      </c>
      <c r="H254" s="3">
        <f t="shared" si="191"/>
        <v>70</v>
      </c>
      <c r="I254" s="3">
        <f t="shared" si="191"/>
        <v>71</v>
      </c>
      <c r="J254" s="3">
        <v>84</v>
      </c>
      <c r="K254" s="3">
        <f>VLOOKUP($A254,'SegEnds_NonXtal_BW#'!$A:$Z,8,FALSE)+VLOOKUP($A254,A:AL,10,FALSE)-50</f>
        <v>97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102</v>
      </c>
      <c r="P254" s="3">
        <v>128</v>
      </c>
      <c r="Q254" s="3">
        <f>VLOOKUP($A254,'SegEnds_NonXtal_BW#'!$A:$Z,12,FALSE)+VLOOKUP($A254,A:AL,16,FALSE)-50</f>
        <v>134</v>
      </c>
      <c r="R254" s="3">
        <f>IF(ISERROR(VLOOKUP($A254,'SegEnds_NonXtal_BW#'!$A:$Z,13,FALSE)+VLOOKUP($A254,A:AL,19,FALSE)-50),"-",VLOOKUP($A254,'SegEnds_NonXtal_BW#'!$A:$Z,13,FALSE)+VLOOKUP($A254,A:AL,19,FALSE)-50)</f>
        <v>135</v>
      </c>
      <c r="S254" s="3">
        <v>135</v>
      </c>
      <c r="T254" s="100">
        <f>IF(ISERROR(VLOOKUP($A254,'SegEnds_NonXtal_BW#'!$A:$Z,14,FALSE)+VLOOKUP($A254,A:AL,19,FALSE)-50),"-",(VLOOKUP($A254,'SegEnds_NonXtal_BW#'!$A:$Z,14,FALSE)+VLOOKUP($A254,A:AL,19,FALSE)-50))</f>
        <v>143</v>
      </c>
      <c r="U254" s="9">
        <f>IF(ISERROR(VLOOKUP($A254,'SegEnds_NonXtal_BW#'!$A:$Z,15,FALSE)+VLOOKUP($A254,A:AL,22,FALSE)-50),"-",VLOOKUP($A254,'SegEnds_NonXtal_BW#'!$A:$Z,15,FALSE)+VLOOKUP($A254,A:AL,22,FALSE)-50)</f>
        <v>144</v>
      </c>
      <c r="V254" s="3">
        <v>156</v>
      </c>
      <c r="W254" s="3">
        <f>IF(ISERROR(VLOOKUP($A254,'SegEnds_NonXtal_BW#'!$A:$Z,16,FALSE)+VLOOKUP($A254,A:AL,22,FALSE)-50),"-",(VLOOKUP($A254,'SegEnds_NonXtal_BW#'!$A:$Z,16,FALSE)+VLOOKUP($A254,A:AL,22,FALSE)-50))</f>
        <v>170</v>
      </c>
      <c r="X254" s="3">
        <f>IF(ISERROR(VLOOKUP($A254,'SegEnds_NonXtal_BW#'!$A:$Z,17,FALSE)+VLOOKUP($A254,A:AL,25,FALSE)-50),"-",(VLOOKUP($A254,'SegEnds_NonXtal_BW#'!$A:$Z,17,FALSE)+VLOOKUP($A254,A:AL,25,FALSE)-50))</f>
        <v>181</v>
      </c>
      <c r="Y254" s="3">
        <v>181</v>
      </c>
      <c r="Z254" s="3">
        <f t="shared" si="167"/>
        <v>183</v>
      </c>
      <c r="AA254" s="3">
        <f>IF(ISERROR(VLOOKUP($A254,'SegEnds_NonXtal_BW#'!$A:$Z,19,FALSE)+VLOOKUP($A254,A:AL,28,FALSE)-50),"-",(VLOOKUP($A254,'SegEnds_NonXtal_BW#'!$A:$Z,19,FALSE)+VLOOKUP($A254,A:AL,28,FALSE)-50))</f>
        <v>192</v>
      </c>
      <c r="AB254" s="3">
        <v>212</v>
      </c>
      <c r="AC254" s="3">
        <f>IF(ISERROR((VLOOKUP($A254,'SegEnds_NonXtal_BW#'!$A:$Z,20,FALSE)+VLOOKUP($A254,A:AL,28,FALSE)-50)),"-",(VLOOKUP($A254,'SegEnds_NonXtal_BW#'!$A:$Z,20,FALSE)+VLOOKUP($A254,A:AL,28,FALSE)-50))</f>
        <v>229</v>
      </c>
      <c r="AD254" s="3">
        <f>IF(ISERROR(VLOOKUP($A254,'SegEnds_NonXtal_BW#'!$A:$Z,21,FALSE)+VLOOKUP($A254,A:AL,31,FALSE)-50),"-",(VLOOKUP($A254,'SegEnds_NonXtal_BW#'!$A:$Z,21,FALSE)+VLOOKUP($A254,A:AL,31,FALSE)-50))</f>
        <v>233</v>
      </c>
      <c r="AE254" s="3">
        <v>253</v>
      </c>
      <c r="AF254" s="3">
        <f>IF(ISERROR((VLOOKUP($A254,'SegEnds_NonXtal_BW#'!$A:$Z,22,FALSE)+VLOOKUP($A254,A:AL,31,FALSE)-50)),"-",(VLOOKUP($A254,'SegEnds_NonXtal_BW#'!$A:$Z,22,FALSE)+VLOOKUP($A254,A:AL,31,FALSE)-50))</f>
        <v>267</v>
      </c>
      <c r="AG254" s="3">
        <f>IF(ISERROR(VLOOKUP($A254,'SegEnds_NonXtal_BW#'!$A:$Z,23,FALSE)+VLOOKUP($A254,A:AL,34,FALSE)-50),"-",(VLOOKUP($A254,'SegEnds_NonXtal_BW#'!$A:$Z,23,FALSE)+VLOOKUP($A254,A:AL,34,FALSE)-50))</f>
        <v>271</v>
      </c>
      <c r="AH254" s="3">
        <v>297</v>
      </c>
      <c r="AI254" s="3">
        <f>IF(ISERROR((VLOOKUP($A254,'SegEnds_NonXtal_BW#'!$A:$Z,24,FALSE)+VLOOKUP($A254,A:AL,34,FALSE)-50)),"-",(VLOOKUP($A254,'SegEnds_NonXtal_BW#'!$A:$Z,24,FALSE)+VLOOKUP($A254,A:AL,34,FALSE)-50))</f>
        <v>303</v>
      </c>
      <c r="AJ254" s="3">
        <f>IF(ISERROR(VLOOKUP($A254,'SegEnds_NonXtal_BW#'!$A:$Z,25,FALSE)+VLOOKUP($A254,A:AL,37,FALSE)-50),"-",(VLOOKUP($A254,'SegEnds_NonXtal_BW#'!$A:$Z,25,FALSE)+VLOOKUP($A254,A:AL,37,FALSE)-50))</f>
        <v>304</v>
      </c>
      <c r="AK254" s="3">
        <v>307</v>
      </c>
      <c r="AL254" s="3">
        <f>IF(ISERROR((VLOOKUP($A254,'SegEnds_NonXtal_BW#'!$A:$Z,26,FALSE)+VLOOKUP($A254,A:AL,37,FALSE)-50)),"-",(VLOOKUP($A254,'SegEnds_NonXtal_BW#'!$A:$Z,26,FALSE)+VLOOKUP($A254,A:AL,37,FALSE)-50))</f>
        <v>316</v>
      </c>
      <c r="AM254" s="28" t="str">
        <f>VLOOKUP(A254,Classification!A:B,2,FALSE)</f>
        <v>A</v>
      </c>
      <c r="AN254" s="28" t="b">
        <f t="shared" si="156"/>
        <v>1</v>
      </c>
      <c r="AO254" s="3" t="str">
        <f>IF(ISERROR(MATCH(A254,'SegEnds_Xtal_Prot#'!B:B, 0)), "NoXtal", "Xtal")</f>
        <v>NoXtal</v>
      </c>
      <c r="AP254" s="3">
        <f t="shared" si="141"/>
        <v>1</v>
      </c>
      <c r="AQ254" s="3">
        <f t="shared" si="142"/>
        <v>1</v>
      </c>
      <c r="AR254" s="3" t="str">
        <f t="shared" si="143"/>
        <v>-</v>
      </c>
      <c r="AS254" s="3" t="str">
        <f t="shared" si="144"/>
        <v>-</v>
      </c>
      <c r="AT254" s="3">
        <f t="shared" si="145"/>
        <v>1</v>
      </c>
      <c r="AU254" s="3">
        <f t="shared" si="146"/>
        <v>1</v>
      </c>
      <c r="AV254" s="3">
        <f t="shared" si="147"/>
        <v>11</v>
      </c>
      <c r="AW254" s="3">
        <f t="shared" si="148"/>
        <v>9</v>
      </c>
      <c r="AX254" s="3">
        <f t="shared" si="149"/>
        <v>4</v>
      </c>
      <c r="AY254" s="3">
        <f t="shared" si="150"/>
        <v>4</v>
      </c>
      <c r="AZ254" s="3">
        <f t="shared" si="151"/>
        <v>1</v>
      </c>
      <c r="BA254" s="3">
        <f>IF(ISERROR(LEN(VLOOKUP(A254,Seqs!A:E,2,FALSE))-AL254),"-",LEN(VLOOKUP(A254,Seqs!A:E,2,FALSE))-AL254)</f>
        <v>28</v>
      </c>
      <c r="BB254" s="16">
        <f t="shared" si="152"/>
        <v>28</v>
      </c>
      <c r="BC254" s="9">
        <f t="shared" si="153"/>
        <v>21</v>
      </c>
      <c r="BD254" s="3">
        <f t="shared" si="154"/>
        <v>28</v>
      </c>
      <c r="BE254" s="3">
        <f t="shared" si="155"/>
        <v>41</v>
      </c>
      <c r="BF254" s="3">
        <f t="shared" ref="BF254:BF259" si="192">AH254-AE254</f>
        <v>44</v>
      </c>
    </row>
    <row r="255" spans="1:58" s="3" customFormat="1" x14ac:dyDescent="0.2">
      <c r="A255" s="3" t="s">
        <v>191</v>
      </c>
      <c r="B255" s="3" t="str">
        <f>LOWER(VLOOKUP(A255,Xtal_Templ!A:B,2,FALSE))</f>
        <v>drd2_human</v>
      </c>
      <c r="C255" s="3">
        <f>VLOOKUP($A255,'SegEnds_NonXtal_BW#'!$A:$Z,3,FALSE)+D255-50</f>
        <v>31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90"/>
        <v>63</v>
      </c>
      <c r="G255" s="3">
        <v>65</v>
      </c>
      <c r="H255" s="3">
        <f t="shared" si="191"/>
        <v>66</v>
      </c>
      <c r="I255" s="3">
        <f t="shared" si="191"/>
        <v>67</v>
      </c>
      <c r="J255" s="3">
        <v>80</v>
      </c>
      <c r="K255" s="3">
        <f>VLOOKUP($A255,'SegEnds_NonXtal_BW#'!$A:$Z,8,FALSE)+VLOOKUP($A255,A:AL,10,FALSE)-50</f>
        <v>98</v>
      </c>
      <c r="L255" s="3">
        <f>M255-1</f>
        <v>99</v>
      </c>
      <c r="M255" s="3">
        <v>100</v>
      </c>
      <c r="N255" s="3">
        <f>M255+2</f>
        <v>102</v>
      </c>
      <c r="O255" s="3">
        <f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172</v>
      </c>
      <c r="X255" s="3">
        <f>IF(ISERROR(VLOOKUP($A255,'SegEnds_NonXtal_BW#'!$A:$Z,17,FALSE)+VLOOKUP($A255,A:AL,25,FALSE)-50),"-",(VLOOKUP($A255,'SegEnds_NonXtal_BW#'!$A:$Z,17,FALSE)+VLOOKUP($A255,A:AL,25,FALSE)-50))</f>
        <v>182</v>
      </c>
      <c r="Y255" s="3">
        <v>182</v>
      </c>
      <c r="Z255" s="3">
        <f t="shared" si="167"/>
        <v>184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201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362</v>
      </c>
      <c r="AE255" s="3">
        <v>388</v>
      </c>
      <c r="AF255" s="3">
        <f>IF(ISERROR((VLOOKUP($A255,'SegEnds_NonXtal_BW#'!$A:$Z,22,FALSE)+VLOOKUP($A255,A:AL,31,FALSE)-50)),"-",(VLOOKUP($A255,'SegEnds_NonXtal_BW#'!$A:$Z,22,FALSE)+VLOOKUP($A255,A:AL,31,FALSE)-50))</f>
        <v>399</v>
      </c>
      <c r="AG255" s="3">
        <f>IF(ISERROR(VLOOKUP($A255,'SegEnds_NonXtal_BW#'!$A:$Z,23,FALSE)+VLOOKUP($A255,A:AL,34,FALSE)-50),"-",(VLOOKUP($A255,'SegEnds_NonXtal_BW#'!$A:$Z,23,FALSE)+VLOOKUP($A255,A:AL,34,FALSE)-50))</f>
        <v>404</v>
      </c>
      <c r="AH255" s="3">
        <v>423</v>
      </c>
      <c r="AI255" s="3">
        <f>IF(ISERROR((VLOOKUP($A255,'SegEnds_NonXtal_BW#'!$A:$Z,24,FALSE)+VLOOKUP($A255,A:AL,34,FALSE)-50)),"-",(VLOOKUP($A255,'SegEnds_NonXtal_BW#'!$A:$Z,24,FALSE)+VLOOKUP($A255,A:AL,34,FALSE)-50))</f>
        <v>429</v>
      </c>
      <c r="AJ255" s="3">
        <f>IF(ISERROR(VLOOKUP($A255,'SegEnds_NonXtal_BW#'!$A:$Z,25,FALSE)+VLOOKUP($A255,A:AL,37,FALSE)-50),"-",(VLOOKUP($A255,'SegEnds_NonXtal_BW#'!$A:$Z,25,FALSE)+VLOOKUP($A255,A:AL,37,FALSE)-50))</f>
        <v>430</v>
      </c>
      <c r="AK255" s="3">
        <v>433</v>
      </c>
      <c r="AL255" s="3">
        <f>IF(ISERROR((VLOOKUP($A255,'SegEnds_NonXtal_BW#'!$A:$Z,26,FALSE)+VLOOKUP($A255,A:AL,37,FALSE)-50)),"-",(VLOOKUP($A255,'SegEnds_NonXtal_BW#'!$A:$Z,26,FALSE)+VLOOKUP($A255,A:AL,37,FALSE)-50))</f>
        <v>442</v>
      </c>
      <c r="AM255" s="28" t="str">
        <f>VLOOKUP(A255,Classification!A:B,2,FALSE)</f>
        <v>A</v>
      </c>
      <c r="AN255" s="28" t="b">
        <f t="shared" si="156"/>
        <v>1</v>
      </c>
      <c r="AO255" s="3" t="str">
        <f>IF(ISERROR(MATCH(A255,'SegEnds_Xtal_Prot#'!B:B, 0)), "NoXtal", "Xtal")</f>
        <v>Xtal</v>
      </c>
      <c r="AP255" s="3">
        <f t="shared" si="141"/>
        <v>1</v>
      </c>
      <c r="AQ255" s="3">
        <f t="shared" si="142"/>
        <v>1</v>
      </c>
      <c r="AR255" s="3">
        <f t="shared" si="143"/>
        <v>1</v>
      </c>
      <c r="AS255" s="3">
        <f t="shared" si="144"/>
        <v>1</v>
      </c>
      <c r="AT255" s="3">
        <f t="shared" si="145"/>
        <v>1</v>
      </c>
      <c r="AU255" s="3">
        <f t="shared" si="146"/>
        <v>1</v>
      </c>
      <c r="AV255" s="3">
        <f t="shared" si="147"/>
        <v>10</v>
      </c>
      <c r="AW255" s="3">
        <f t="shared" si="148"/>
        <v>2</v>
      </c>
      <c r="AX255" s="3">
        <f t="shared" si="149"/>
        <v>136</v>
      </c>
      <c r="AY255" s="3">
        <f t="shared" si="150"/>
        <v>5</v>
      </c>
      <c r="AZ255" s="3">
        <f t="shared" si="151"/>
        <v>1</v>
      </c>
      <c r="BA255" s="3">
        <f>IF(ISERROR(LEN(VLOOKUP(A255,Seqs!A:E,2,FALSE))-AL255),"-",LEN(VLOOKUP(A255,Seqs!A:E,2,FALSE))-AL255)</f>
        <v>1</v>
      </c>
      <c r="BB255" s="16">
        <f t="shared" si="152"/>
        <v>28</v>
      </c>
      <c r="BC255" s="9">
        <f t="shared" si="153"/>
        <v>21</v>
      </c>
      <c r="BD255" s="3">
        <f t="shared" si="154"/>
        <v>28</v>
      </c>
      <c r="BE255" s="3">
        <f t="shared" si="155"/>
        <v>187</v>
      </c>
      <c r="BF255" s="3">
        <f t="shared" si="192"/>
        <v>35</v>
      </c>
    </row>
    <row r="256" spans="1:58" s="3" customFormat="1" x14ac:dyDescent="0.2">
      <c r="A256" s="3" t="s">
        <v>247</v>
      </c>
      <c r="B256" s="3" t="str">
        <f>LOWER(VLOOKUP(A256,Xtal_Templ!A:B,2,FALSE))</f>
        <v>ox1r_human</v>
      </c>
      <c r="C256" s="3">
        <f>VLOOKUP($A256,'SegEnds_NonXtal_BW#'!$A:$Z,3,FALSE)+D256-50</f>
        <v>18</v>
      </c>
      <c r="D256" s="3">
        <v>36</v>
      </c>
      <c r="E256" s="3">
        <f>IF(ISERROR(VLOOKUP($A256,'SegEnds_NonXtal_BW#'!$A:$Z,4,FALSE)+VLOOKUP($A256,A:AL,4,FALSE)-50),"-",(VLOOKUP($A256,'SegEnds_NonXtal_BW#'!$A:$Z,4,FALSE)+VLOOKUP($A256,A:AL,4,FALSE)-50))</f>
        <v>46</v>
      </c>
      <c r="F256" s="3">
        <f t="shared" si="190"/>
        <v>47</v>
      </c>
      <c r="G256" s="3">
        <v>49</v>
      </c>
      <c r="H256" s="3">
        <f t="shared" si="191"/>
        <v>50</v>
      </c>
      <c r="I256" s="3">
        <f t="shared" si="191"/>
        <v>51</v>
      </c>
      <c r="J256" s="3">
        <v>64</v>
      </c>
      <c r="K256" s="3">
        <f>VLOOKUP($A256,'SegEnds_NonXtal_BW#'!$A:$Z,8,FALSE)+VLOOKUP($A256,A:AL,10,FALSE)-50</f>
        <v>82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88</v>
      </c>
      <c r="P256" s="3">
        <v>120</v>
      </c>
      <c r="Q256" s="3">
        <f>VLOOKUP($A256,'SegEnds_NonXtal_BW#'!$A:$Z,12,FALSE)+VLOOKUP($A256,A:AL,16,FALSE)-50</f>
        <v>126</v>
      </c>
      <c r="R256" s="3">
        <f>IF(ISERROR(VLOOKUP($A256,'SegEnds_NonXtal_BW#'!$A:$Z,13,FALSE)+VLOOKUP($A256,A:AL,19,FALSE)-50),"-",VLOOKUP($A256,'SegEnds_NonXtal_BW#'!$A:$Z,13,FALSE)+VLOOKUP($A256,A:AL,19,FALSE)-50)</f>
        <v>127</v>
      </c>
      <c r="S256" s="3">
        <v>127</v>
      </c>
      <c r="T256" s="100">
        <f>IF(ISERROR(VLOOKUP($A256,'SegEnds_NonXtal_BW#'!$A:$Z,14,FALSE)+VLOOKUP($A256,A:AL,19,FALSE)-50),"-",(VLOOKUP($A256,'SegEnds_NonXtal_BW#'!$A:$Z,14,FALSE)+VLOOKUP($A256,A:AL,19,FALSE)-50))</f>
        <v>135</v>
      </c>
      <c r="U256" s="9">
        <f>IF(ISERROR(VLOOKUP($A256,'SegEnds_NonXtal_BW#'!$A:$Z,15,FALSE)+VLOOKUP($A256,A:AL,22,FALSE)-50),"-",VLOOKUP($A256,'SegEnds_NonXtal_BW#'!$A:$Z,15,FALSE)+VLOOKUP($A256,A:AL,22,FALSE)-50)</f>
        <v>136</v>
      </c>
      <c r="V256" s="3">
        <v>148</v>
      </c>
      <c r="W256" s="3">
        <f>IF(ISERROR(VLOOKUP($A256,'SegEnds_NonXtal_BW#'!$A:$Z,16,FALSE)+VLOOKUP($A256,A:AL,22,FALSE)-50),"-",(VLOOKUP($A256,'SegEnds_NonXtal_BW#'!$A:$Z,16,FALSE)+VLOOKUP($A256,A:AL,22,FALSE)-50))</f>
        <v>162</v>
      </c>
      <c r="X256" s="3">
        <f>IF(ISERROR(VLOOKUP($A256,'SegEnds_NonXtal_BW#'!$A:$Z,17,FALSE)+VLOOKUP($A256,A:AL,25,FALSE)-50),"-",(VLOOKUP($A256,'SegEnds_NonXtal_BW#'!$A:$Z,17,FALSE)+VLOOKUP($A256,A:AL,25,FALSE)-50))</f>
        <v>171</v>
      </c>
      <c r="Y256" s="3">
        <v>171</v>
      </c>
      <c r="Z256" s="3">
        <f t="shared" si="167"/>
        <v>173</v>
      </c>
      <c r="AA256" s="3">
        <f>IF(ISERROR(VLOOKUP($A256,'SegEnds_NonXtal_BW#'!$A:$Z,19,FALSE)+VLOOKUP($A256,A:AL,28,FALSE)-50),"-",(VLOOKUP($A256,'SegEnds_NonXtal_BW#'!$A:$Z,19,FALSE)+VLOOKUP($A256,A:AL,28,FALSE)-50))</f>
        <v>174</v>
      </c>
      <c r="AB256" s="3">
        <v>189</v>
      </c>
      <c r="AC256" s="3">
        <f>IF(ISERROR((VLOOKUP($A256,'SegEnds_NonXtal_BW#'!$A:$Z,20,FALSE)+VLOOKUP($A256,A:AL,28,FALSE)-50)),"-",(VLOOKUP($A256,'SegEnds_NonXtal_BW#'!$A:$Z,20,FALSE)+VLOOKUP($A256,A:AL,28,FALSE)-50))</f>
        <v>215</v>
      </c>
      <c r="AD256" s="3">
        <f>IF(ISERROR(VLOOKUP($A256,'SegEnds_NonXtal_BW#'!$A:$Z,21,FALSE)+VLOOKUP($A256,A:AL,31,FALSE)-50),"-",(VLOOKUP($A256,'SegEnds_NonXtal_BW#'!$A:$Z,21,FALSE)+VLOOKUP($A256,A:AL,31,FALSE)-50))</f>
        <v>273</v>
      </c>
      <c r="AE256" s="3">
        <v>299</v>
      </c>
      <c r="AF256" s="3">
        <f>IF(ISERROR((VLOOKUP($A256,'SegEnds_NonXtal_BW#'!$A:$Z,22,FALSE)+VLOOKUP($A256,A:AL,31,FALSE)-50)),"-",(VLOOKUP($A256,'SegEnds_NonXtal_BW#'!$A:$Z,22,FALSE)+VLOOKUP($A256,A:AL,31,FALSE)-50))</f>
        <v>310</v>
      </c>
      <c r="AG256" s="3">
        <f>IF(ISERROR(VLOOKUP($A256,'SegEnds_NonXtal_BW#'!$A:$Z,23,FALSE)+VLOOKUP($A256,A:AL,34,FALSE)-50),"-",(VLOOKUP($A256,'SegEnds_NonXtal_BW#'!$A:$Z,23,FALSE)+VLOOKUP($A256,A:AL,34,FALSE)-50))</f>
        <v>316</v>
      </c>
      <c r="AH256" s="3">
        <v>335</v>
      </c>
      <c r="AI256" s="3">
        <f>IF(ISERROR((VLOOKUP($A256,'SegEnds_NonXtal_BW#'!$A:$Z,24,FALSE)+VLOOKUP($A256,A:AL,34,FALSE)-50)),"-",(VLOOKUP($A256,'SegEnds_NonXtal_BW#'!$A:$Z,24,FALSE)+VLOOKUP($A256,A:AL,34,FALSE)-50))</f>
        <v>341</v>
      </c>
      <c r="AJ256" s="3">
        <f>IF(ISERROR(VLOOKUP($A256,'SegEnds_NonXtal_BW#'!$A:$Z,25,FALSE)+VLOOKUP($A256,A:AL,37,FALSE)-50),"-",(VLOOKUP($A256,'SegEnds_NonXtal_BW#'!$A:$Z,25,FALSE)+VLOOKUP($A256,A:AL,37,FALSE)-50))</f>
        <v>342</v>
      </c>
      <c r="AK256" s="3">
        <v>345</v>
      </c>
      <c r="AL256" s="3">
        <f>IF(ISERROR((VLOOKUP($A256,'SegEnds_NonXtal_BW#'!$A:$Z,26,FALSE)+VLOOKUP($A256,A:AL,37,FALSE)-50)),"-",(VLOOKUP($A256,'SegEnds_NonXtal_BW#'!$A:$Z,26,FALSE)+VLOOKUP($A256,A:AL,37,FALSE)-50))</f>
        <v>358</v>
      </c>
      <c r="AM256" s="28" t="str">
        <f>VLOOKUP(A256,Classification!A:B,2,FALSE)</f>
        <v>A</v>
      </c>
      <c r="AN256" s="28" t="b">
        <f t="shared" si="156"/>
        <v>1</v>
      </c>
      <c r="AO256" s="3" t="str">
        <f>IF(ISERROR(MATCH(A256,'SegEnds_Xtal_Prot#'!B:B, 0)), "NoXtal", "Xtal")</f>
        <v>NoXtal</v>
      </c>
      <c r="AP256" s="3">
        <f t="shared" si="141"/>
        <v>1</v>
      </c>
      <c r="AQ256" s="3">
        <f t="shared" si="142"/>
        <v>1</v>
      </c>
      <c r="AR256" s="3" t="str">
        <f t="shared" si="143"/>
        <v>-</v>
      </c>
      <c r="AS256" s="3" t="str">
        <f t="shared" si="144"/>
        <v>-</v>
      </c>
      <c r="AT256" s="3">
        <f t="shared" si="145"/>
        <v>1</v>
      </c>
      <c r="AU256" s="3">
        <f t="shared" si="146"/>
        <v>1</v>
      </c>
      <c r="AV256" s="3">
        <f t="shared" si="147"/>
        <v>9</v>
      </c>
      <c r="AW256" s="3">
        <f t="shared" si="148"/>
        <v>1</v>
      </c>
      <c r="AX256" s="3">
        <f t="shared" si="149"/>
        <v>58</v>
      </c>
      <c r="AY256" s="3">
        <f t="shared" si="150"/>
        <v>6</v>
      </c>
      <c r="AZ256" s="3">
        <f t="shared" si="151"/>
        <v>1</v>
      </c>
      <c r="BA256" s="3">
        <f>IF(ISERROR(LEN(VLOOKUP(A256,Seqs!A:E,2,FALSE))-AL256),"-",LEN(VLOOKUP(A256,Seqs!A:E,2,FALSE))-AL256)</f>
        <v>17</v>
      </c>
      <c r="BB256" s="16">
        <f t="shared" si="152"/>
        <v>28</v>
      </c>
      <c r="BC256" s="9">
        <f t="shared" si="153"/>
        <v>21</v>
      </c>
      <c r="BD256" s="3">
        <f t="shared" si="154"/>
        <v>28</v>
      </c>
      <c r="BE256" s="3">
        <f t="shared" si="155"/>
        <v>110</v>
      </c>
      <c r="BF256" s="3">
        <f t="shared" si="192"/>
        <v>36</v>
      </c>
    </row>
    <row r="257" spans="1:58" s="3" customFormat="1" x14ac:dyDescent="0.2">
      <c r="A257" s="3" t="s">
        <v>279</v>
      </c>
      <c r="B257" s="3" t="str">
        <f>LOWER(VLOOKUP(A257,Xtal_Templ!A:B,2,FALSE))</f>
        <v>acm5_human</v>
      </c>
      <c r="C257" s="3">
        <f>VLOOKUP($A257,'SegEnds_NonXtal_BW#'!$A:$Z,3,FALSE)+D257-50</f>
        <v>30</v>
      </c>
      <c r="D257" s="3">
        <v>52</v>
      </c>
      <c r="E257" s="3">
        <f>IF(ISERROR(VLOOKUP($A257,'SegEnds_NonXtal_BW#'!$A:$Z,4,FALSE)+VLOOKUP($A257,A:AL,4,FALSE)-50),"-",(VLOOKUP($A257,'SegEnds_NonXtal_BW#'!$A:$Z,4,FALSE)+VLOOKUP($A257,A:AL,4,FALSE)-50))</f>
        <v>62</v>
      </c>
      <c r="F257" s="3">
        <f t="shared" si="190"/>
        <v>63</v>
      </c>
      <c r="G257" s="3">
        <v>65</v>
      </c>
      <c r="H257" s="3">
        <f t="shared" si="191"/>
        <v>66</v>
      </c>
      <c r="I257" s="3">
        <f t="shared" si="191"/>
        <v>67</v>
      </c>
      <c r="J257" s="3">
        <v>80</v>
      </c>
      <c r="K257" s="3">
        <f>VLOOKUP($A257,'SegEnds_NonXtal_BW#'!$A:$Z,8,FALSE)+VLOOKUP($A257,A:AL,10,FALSE)-50</f>
        <v>98</v>
      </c>
      <c r="L257" s="3">
        <f t="shared" ref="L257:L264" si="193">M257-1</f>
        <v>99</v>
      </c>
      <c r="M257" s="3">
        <v>100</v>
      </c>
      <c r="N257" s="3">
        <f t="shared" ref="N257:N264" si="194">M257+2</f>
        <v>102</v>
      </c>
      <c r="O257" s="3">
        <f t="shared" ref="O257:O264" si="195">N257+1</f>
        <v>103</v>
      </c>
      <c r="P257" s="3">
        <v>132</v>
      </c>
      <c r="Q257" s="3">
        <f>VLOOKUP($A257,'SegEnds_NonXtal_BW#'!$A:$Z,12,FALSE)+VLOOKUP($A257,A:AL,16,FALSE)-50</f>
        <v>138</v>
      </c>
      <c r="R257" s="3">
        <f>IF(ISERROR(VLOOKUP($A257,'SegEnds_NonXtal_BW#'!$A:$Z,13,FALSE)+VLOOKUP($A257,A:AL,19,FALSE)-50),"-",VLOOKUP($A257,'SegEnds_NonXtal_BW#'!$A:$Z,13,FALSE)+VLOOKUP($A257,A:AL,19,FALSE)-50)</f>
        <v>139</v>
      </c>
      <c r="S257" s="3">
        <v>139</v>
      </c>
      <c r="T257" s="100">
        <f>IF(ISERROR(VLOOKUP($A257,'SegEnds_NonXtal_BW#'!$A:$Z,14,FALSE)+VLOOKUP($A257,A:AL,19,FALSE)-50),"-",(VLOOKUP($A257,'SegEnds_NonXtal_BW#'!$A:$Z,14,FALSE)+VLOOKUP($A257,A:AL,19,FALSE)-50))</f>
        <v>147</v>
      </c>
      <c r="U257" s="9">
        <f>IF(ISERROR(VLOOKUP($A257,'SegEnds_NonXtal_BW#'!$A:$Z,15,FALSE)+VLOOKUP($A257,A:AL,22,FALSE)-50),"-",VLOOKUP($A257,'SegEnds_NonXtal_BW#'!$A:$Z,15,FALSE)+VLOOKUP($A257,A:AL,22,FALSE)-50)</f>
        <v>148</v>
      </c>
      <c r="V257" s="3">
        <v>160</v>
      </c>
      <c r="W257" s="3">
        <f>IF(ISERROR(VLOOKUP($A257,'SegEnds_NonXtal_BW#'!$A:$Z,16,FALSE)+VLOOKUP($A257,A:AL,22,FALSE)-50),"-",(VLOOKUP($A257,'SegEnds_NonXtal_BW#'!$A:$Z,16,FALSE)+VLOOKUP($A257,A:AL,22,FALSE)-50))</f>
        <v>173</v>
      </c>
      <c r="X257" s="3">
        <f>IF(ISERROR(VLOOKUP($A257,'SegEnds_NonXtal_BW#'!$A:$Z,17,FALSE)+VLOOKUP($A257,A:AL,25,FALSE)-50),"-",(VLOOKUP($A257,'SegEnds_NonXtal_BW#'!$A:$Z,17,FALSE)+VLOOKUP($A257,A:AL,25,FALSE)-50))</f>
        <v>188</v>
      </c>
      <c r="Y257" s="3">
        <v>188</v>
      </c>
      <c r="Z257" s="3">
        <f t="shared" si="167"/>
        <v>190</v>
      </c>
      <c r="AA257" s="3">
        <f>IF(ISERROR(VLOOKUP($A257,'SegEnds_NonXtal_BW#'!$A:$Z,19,FALSE)+VLOOKUP($A257,A:AL,28,FALSE)-50),"-",(VLOOKUP($A257,'SegEnds_NonXtal_BW#'!$A:$Z,19,FALSE)+VLOOKUP($A257,A:AL,28,FALSE)-50))</f>
        <v>195</v>
      </c>
      <c r="AB257" s="3">
        <v>210</v>
      </c>
      <c r="AC257" s="3">
        <f>IF(ISERROR((VLOOKUP($A257,'SegEnds_NonXtal_BW#'!$A:$Z,20,FALSE)+VLOOKUP($A257,A:AL,28,FALSE)-50)),"-",(VLOOKUP($A257,'SegEnds_NonXtal_BW#'!$A:$Z,20,FALSE)+VLOOKUP($A257,A:AL,28,FALSE)-50))</f>
        <v>235</v>
      </c>
      <c r="AD257" s="3">
        <f>IF(ISERROR(VLOOKUP($A257,'SegEnds_NonXtal_BW#'!$A:$Z,21,FALSE)+VLOOKUP($A257,A:AL,31,FALSE)-50),"-",(VLOOKUP($A257,'SegEnds_NonXtal_BW#'!$A:$Z,21,FALSE)+VLOOKUP($A257,A:AL,31,FALSE)-50))</f>
        <v>347</v>
      </c>
      <c r="AE257" s="3">
        <v>373</v>
      </c>
      <c r="AF257" s="3">
        <f>IF(ISERROR((VLOOKUP($A257,'SegEnds_NonXtal_BW#'!$A:$Z,22,FALSE)+VLOOKUP($A257,A:AL,31,FALSE)-50)),"-",(VLOOKUP($A257,'SegEnds_NonXtal_BW#'!$A:$Z,22,FALSE)+VLOOKUP($A257,A:AL,31,FALSE)-50))</f>
        <v>384</v>
      </c>
      <c r="AG257" s="3">
        <f>IF(ISERROR(VLOOKUP($A257,'SegEnds_NonXtal_BW#'!$A:$Z,23,FALSE)+VLOOKUP($A257,A:AL,34,FALSE)-50),"-",(VLOOKUP($A257,'SegEnds_NonXtal_BW#'!$A:$Z,23,FALSE)+VLOOKUP($A257,A:AL,34,FALSE)-50))</f>
        <v>390</v>
      </c>
      <c r="AH257" s="3">
        <v>409</v>
      </c>
      <c r="AI257" s="3">
        <f>IF(ISERROR((VLOOKUP($A257,'SegEnds_NonXtal_BW#'!$A:$Z,24,FALSE)+VLOOKUP($A257,A:AL,34,FALSE)-50)),"-",(VLOOKUP($A257,'SegEnds_NonXtal_BW#'!$A:$Z,24,FALSE)+VLOOKUP($A257,A:AL,34,FALSE)-50))</f>
        <v>415</v>
      </c>
      <c r="AJ257" s="3">
        <f>IF(ISERROR(VLOOKUP($A257,'SegEnds_NonXtal_BW#'!$A:$Z,25,FALSE)+VLOOKUP($A257,A:AL,37,FALSE)-50),"-",(VLOOKUP($A257,'SegEnds_NonXtal_BW#'!$A:$Z,25,FALSE)+VLOOKUP($A257,A:AL,37,FALSE)-50))</f>
        <v>416</v>
      </c>
      <c r="AK257" s="3">
        <v>419</v>
      </c>
      <c r="AL257" s="3">
        <f>IF(ISERROR((VLOOKUP($A257,'SegEnds_NonXtal_BW#'!$A:$Z,26,FALSE)+VLOOKUP($A257,A:AL,37,FALSE)-50)),"-",(VLOOKUP($A257,'SegEnds_NonXtal_BW#'!$A:$Z,26,FALSE)+VLOOKUP($A257,A:AL,37,FALSE)-50))</f>
        <v>428</v>
      </c>
      <c r="AM257" s="28" t="str">
        <f>VLOOKUP(A257,Classification!A:B,2,FALSE)</f>
        <v>A</v>
      </c>
      <c r="AN257" s="28" t="b">
        <f t="shared" si="156"/>
        <v>1</v>
      </c>
      <c r="AO257" s="3" t="str">
        <f>IF(ISERROR(MATCH(A257,'SegEnds_Xtal_Prot#'!B:B, 0)), "NoXtal", "Xtal")</f>
        <v>NoXtal</v>
      </c>
      <c r="AP257" s="3">
        <f t="shared" si="141"/>
        <v>1</v>
      </c>
      <c r="AQ257" s="3">
        <f t="shared" si="142"/>
        <v>1</v>
      </c>
      <c r="AR257" s="3">
        <f t="shared" si="143"/>
        <v>1</v>
      </c>
      <c r="AS257" s="3">
        <f t="shared" si="144"/>
        <v>1</v>
      </c>
      <c r="AT257" s="3">
        <f t="shared" si="145"/>
        <v>1</v>
      </c>
      <c r="AU257" s="3">
        <f t="shared" si="146"/>
        <v>1</v>
      </c>
      <c r="AV257" s="3">
        <f t="shared" si="147"/>
        <v>15</v>
      </c>
      <c r="AW257" s="3">
        <f t="shared" si="148"/>
        <v>5</v>
      </c>
      <c r="AX257" s="3">
        <f t="shared" si="149"/>
        <v>112</v>
      </c>
      <c r="AY257" s="3">
        <f t="shared" si="150"/>
        <v>6</v>
      </c>
      <c r="AZ257" s="3">
        <f t="shared" si="151"/>
        <v>1</v>
      </c>
      <c r="BA257" s="3">
        <f>IF(ISERROR(LEN(VLOOKUP(A257,Seqs!A:E,2,FALSE))-AL257),"-",LEN(VLOOKUP(A257,Seqs!A:E,2,FALSE))-AL257)</f>
        <v>17</v>
      </c>
      <c r="BB257" s="16">
        <f t="shared" si="152"/>
        <v>28</v>
      </c>
      <c r="BC257" s="9">
        <f t="shared" si="153"/>
        <v>21</v>
      </c>
      <c r="BD257" s="3">
        <f t="shared" si="154"/>
        <v>28</v>
      </c>
      <c r="BE257" s="3">
        <f t="shared" si="155"/>
        <v>163</v>
      </c>
      <c r="BF257" s="3">
        <f t="shared" si="192"/>
        <v>36</v>
      </c>
    </row>
    <row r="258" spans="1:58" s="3" customFormat="1" x14ac:dyDescent="0.2">
      <c r="A258" s="3" t="s">
        <v>280</v>
      </c>
      <c r="B258" s="3" t="str">
        <f>LOWER(VLOOKUP(A258,Xtal_Templ!A:B,2,FALSE))</f>
        <v>acm3_rat</v>
      </c>
      <c r="C258" s="3">
        <f>VLOOKUP($A258,'SegEnds_NonXtal_BW#'!$A:$Z,3,FALSE)+D258-50</f>
        <v>11</v>
      </c>
      <c r="D258" s="3">
        <v>33</v>
      </c>
      <c r="E258" s="3">
        <f>IF(ISERROR(VLOOKUP($A258,'SegEnds_NonXtal_BW#'!$A:$Z,4,FALSE)+VLOOKUP($A258,A:AL,4,FALSE)-50),"-",(VLOOKUP($A258,'SegEnds_NonXtal_BW#'!$A:$Z,4,FALSE)+VLOOKUP($A258,A:AL,4,FALSE)-50))</f>
        <v>43</v>
      </c>
      <c r="F258" s="3">
        <f t="shared" si="190"/>
        <v>44</v>
      </c>
      <c r="G258" s="3">
        <v>46</v>
      </c>
      <c r="H258" s="3">
        <f t="shared" si="191"/>
        <v>47</v>
      </c>
      <c r="I258" s="3">
        <f t="shared" si="191"/>
        <v>48</v>
      </c>
      <c r="J258" s="3">
        <v>61</v>
      </c>
      <c r="K258" s="3">
        <f>VLOOKUP($A258,'SegEnds_NonXtal_BW#'!$A:$Z,8,FALSE)+VLOOKUP($A258,A:AL,10,FALSE)-50</f>
        <v>77</v>
      </c>
      <c r="L258" s="3">
        <f t="shared" si="193"/>
        <v>79</v>
      </c>
      <c r="M258" s="3">
        <v>80</v>
      </c>
      <c r="N258" s="3">
        <f t="shared" si="194"/>
        <v>82</v>
      </c>
      <c r="O258" s="3">
        <f t="shared" si="195"/>
        <v>83</v>
      </c>
      <c r="P258" s="3">
        <v>112</v>
      </c>
      <c r="Q258" s="3">
        <f>VLOOKUP($A258,'SegEnds_NonXtal_BW#'!$A:$Z,12,FALSE)+VLOOKUP($A258,A:AL,16,FALSE)-50</f>
        <v>118</v>
      </c>
      <c r="R258" s="3">
        <f>IF(ISERROR(VLOOKUP($A258,'SegEnds_NonXtal_BW#'!$A:$Z,13,FALSE)+VLOOKUP($A258,A:AL,19,FALSE)-50),"-",VLOOKUP($A258,'SegEnds_NonXtal_BW#'!$A:$Z,13,FALSE)+VLOOKUP($A258,A:AL,19,FALSE)-50)</f>
        <v>119</v>
      </c>
      <c r="S258" s="3">
        <v>119</v>
      </c>
      <c r="T258" s="100">
        <f>IF(ISERROR(VLOOKUP($A258,'SegEnds_NonXtal_BW#'!$A:$Z,14,FALSE)+VLOOKUP($A258,A:AL,19,FALSE)-50),"-",(VLOOKUP($A258,'SegEnds_NonXtal_BW#'!$A:$Z,14,FALSE)+VLOOKUP($A258,A:AL,19,FALSE)-50))</f>
        <v>127</v>
      </c>
      <c r="U258" s="9">
        <f>IF(ISERROR(VLOOKUP($A258,'SegEnds_NonXtal_BW#'!$A:$Z,15,FALSE)+VLOOKUP($A258,A:AL,22,FALSE)-50),"-",VLOOKUP($A258,'SegEnds_NonXtal_BW#'!$A:$Z,15,FALSE)+VLOOKUP($A258,A:AL,22,FALSE)-50)</f>
        <v>128</v>
      </c>
      <c r="V258" s="3">
        <v>140</v>
      </c>
      <c r="W258" s="3">
        <f>IF(ISERROR(VLOOKUP($A258,'SegEnds_NonXtal_BW#'!$A:$Z,16,FALSE)+VLOOKUP($A258,A:AL,22,FALSE)-50),"-",(VLOOKUP($A258,'SegEnds_NonXtal_BW#'!$A:$Z,16,FALSE)+VLOOKUP($A258,A:AL,22,FALSE)-50))</f>
        <v>153</v>
      </c>
      <c r="X258" s="3">
        <f>IF(ISERROR(VLOOKUP($A258,'SegEnds_NonXtal_BW#'!$A:$Z,17,FALSE)+VLOOKUP($A258,A:AL,25,FALSE)-50),"-",(VLOOKUP($A258,'SegEnds_NonXtal_BW#'!$A:$Z,17,FALSE)+VLOOKUP($A258,A:AL,25,FALSE)-50))</f>
        <v>164</v>
      </c>
      <c r="Y258" s="3">
        <v>164</v>
      </c>
      <c r="Z258" s="3">
        <f t="shared" si="167"/>
        <v>166</v>
      </c>
      <c r="AA258" s="3">
        <f>IF(ISERROR(VLOOKUP($A258,'SegEnds_NonXtal_BW#'!$A:$Z,19,FALSE)+VLOOKUP($A258,A:AL,28,FALSE)-50),"-",(VLOOKUP($A258,'SegEnds_NonXtal_BW#'!$A:$Z,19,FALSE)+VLOOKUP($A258,A:AL,28,FALSE)-50))</f>
        <v>171</v>
      </c>
      <c r="AB258" s="3">
        <v>186</v>
      </c>
      <c r="AC258" s="3">
        <f>IF(ISERROR((VLOOKUP($A258,'SegEnds_NonXtal_BW#'!$A:$Z,20,FALSE)+VLOOKUP($A258,A:AL,28,FALSE)-50)),"-",(VLOOKUP($A258,'SegEnds_NonXtal_BW#'!$A:$Z,20,FALSE)+VLOOKUP($A258,A:AL,28,FALSE)-50))</f>
        <v>212</v>
      </c>
      <c r="AD258" s="3">
        <f>IF(ISERROR(VLOOKUP($A258,'SegEnds_NonXtal_BW#'!$A:$Z,21,FALSE)+VLOOKUP($A258,A:AL,31,FALSE)-50),"-",(VLOOKUP($A258,'SegEnds_NonXtal_BW#'!$A:$Z,21,FALSE)+VLOOKUP($A258,A:AL,31,FALSE)-50))</f>
        <v>292</v>
      </c>
      <c r="AE258" s="3">
        <v>318</v>
      </c>
      <c r="AF258" s="3">
        <f>IF(ISERROR((VLOOKUP($A258,'SegEnds_NonXtal_BW#'!$A:$Z,22,FALSE)+VLOOKUP($A258,A:AL,31,FALSE)-50)),"-",(VLOOKUP($A258,'SegEnds_NonXtal_BW#'!$A:$Z,22,FALSE)+VLOOKUP($A258,A:AL,31,FALSE)-50))</f>
        <v>329</v>
      </c>
      <c r="AG258" s="3">
        <f>IF(ISERROR(VLOOKUP($A258,'SegEnds_NonXtal_BW#'!$A:$Z,23,FALSE)+VLOOKUP($A258,A:AL,34,FALSE)-50),"-",(VLOOKUP($A258,'SegEnds_NonXtal_BW#'!$A:$Z,23,FALSE)+VLOOKUP($A258,A:AL,34,FALSE)-50))</f>
        <v>336</v>
      </c>
      <c r="AH258" s="3">
        <v>355</v>
      </c>
      <c r="AI258" s="3">
        <f>IF(ISERROR((VLOOKUP($A258,'SegEnds_NonXtal_BW#'!$A:$Z,24,FALSE)+VLOOKUP($A258,A:AL,34,FALSE)-50)),"-",(VLOOKUP($A258,'SegEnds_NonXtal_BW#'!$A:$Z,24,FALSE)+VLOOKUP($A258,A:AL,34,FALSE)-50))</f>
        <v>361</v>
      </c>
      <c r="AJ258" s="3">
        <f>IF(ISERROR(VLOOKUP($A258,'SegEnds_NonXtal_BW#'!$A:$Z,25,FALSE)+VLOOKUP($A258,A:AL,37,FALSE)-50),"-",(VLOOKUP($A258,'SegEnds_NonXtal_BW#'!$A:$Z,25,FALSE)+VLOOKUP($A258,A:AL,37,FALSE)-50))</f>
        <v>362</v>
      </c>
      <c r="AK258" s="3">
        <v>365</v>
      </c>
      <c r="AL258" s="3">
        <f>IF(ISERROR((VLOOKUP($A258,'SegEnds_NonXtal_BW#'!$A:$Z,26,FALSE)+VLOOKUP($A258,A:AL,37,FALSE)-50)),"-",(VLOOKUP($A258,'SegEnds_NonXtal_BW#'!$A:$Z,26,FALSE)+VLOOKUP($A258,A:AL,37,FALSE)-50))</f>
        <v>375</v>
      </c>
      <c r="AM258" s="28" t="str">
        <f>VLOOKUP(A258,Classification!A:B,2,FALSE)</f>
        <v>A</v>
      </c>
      <c r="AN258" s="28" t="b">
        <f t="shared" si="156"/>
        <v>1</v>
      </c>
      <c r="AO258" s="3" t="str">
        <f>IF(ISERROR(MATCH(A258,'SegEnds_Xtal_Prot#'!B:B, 0)), "NoXtal", "Xtal")</f>
        <v>NoXtal</v>
      </c>
      <c r="AP258" s="3">
        <f t="shared" si="141"/>
        <v>1</v>
      </c>
      <c r="AQ258" s="3">
        <f t="shared" si="142"/>
        <v>1</v>
      </c>
      <c r="AR258" s="3">
        <f t="shared" si="143"/>
        <v>2</v>
      </c>
      <c r="AS258" s="3">
        <f t="shared" si="144"/>
        <v>1</v>
      </c>
      <c r="AT258" s="3">
        <f t="shared" si="145"/>
        <v>1</v>
      </c>
      <c r="AU258" s="3">
        <f t="shared" si="146"/>
        <v>1</v>
      </c>
      <c r="AV258" s="3">
        <f t="shared" si="147"/>
        <v>11</v>
      </c>
      <c r="AW258" s="3">
        <f t="shared" si="148"/>
        <v>5</v>
      </c>
      <c r="AX258" s="3">
        <f t="shared" si="149"/>
        <v>80</v>
      </c>
      <c r="AY258" s="3">
        <f t="shared" si="150"/>
        <v>7</v>
      </c>
      <c r="AZ258" s="3">
        <f t="shared" si="151"/>
        <v>1</v>
      </c>
      <c r="BA258" s="3">
        <f>IF(ISERROR(LEN(VLOOKUP(A258,Seqs!A:E,2,FALSE))-AL258),"-",LEN(VLOOKUP(A258,Seqs!A:E,2,FALSE))-AL258)</f>
        <v>15</v>
      </c>
      <c r="BB258" s="16">
        <f t="shared" si="152"/>
        <v>28</v>
      </c>
      <c r="BC258" s="9">
        <f t="shared" si="153"/>
        <v>21</v>
      </c>
      <c r="BD258" s="3">
        <f t="shared" si="154"/>
        <v>28</v>
      </c>
      <c r="BE258" s="3">
        <f t="shared" si="155"/>
        <v>132</v>
      </c>
      <c r="BF258" s="3">
        <f t="shared" si="192"/>
        <v>37</v>
      </c>
    </row>
    <row r="259" spans="1:58" s="3" customFormat="1" x14ac:dyDescent="0.2">
      <c r="A259" s="3" t="s">
        <v>347</v>
      </c>
      <c r="B259" s="3" t="str">
        <f>LOWER(VLOOKUP(A259,Xtal_Templ!A:B,2,FALSE))</f>
        <v>p2ry1_human</v>
      </c>
      <c r="C259" s="3">
        <f>VLOOKUP($A259,'SegEnds_NonXtal_BW#'!$A:$Z,3,FALSE)+D259-50</f>
        <v>24</v>
      </c>
      <c r="D259" s="3">
        <v>44</v>
      </c>
      <c r="E259" s="3">
        <f>IF(ISERROR(VLOOKUP($A259,'SegEnds_NonXtal_BW#'!$A:$Z,4,FALSE)+VLOOKUP($A259,A:AL,4,FALSE)-50),"-",(VLOOKUP($A259,'SegEnds_NonXtal_BW#'!$A:$Z,4,FALSE)+VLOOKUP($A259,A:AL,4,FALSE)-50))</f>
        <v>54</v>
      </c>
      <c r="F259" s="3">
        <f t="shared" si="190"/>
        <v>55</v>
      </c>
      <c r="G259" s="3">
        <v>57</v>
      </c>
      <c r="H259" s="3">
        <f t="shared" si="191"/>
        <v>58</v>
      </c>
      <c r="I259" s="3">
        <f t="shared" si="191"/>
        <v>59</v>
      </c>
      <c r="J259" s="3">
        <v>72</v>
      </c>
      <c r="K259" s="3">
        <f>VLOOKUP($A259,'SegEnds_NonXtal_BW#'!$A:$Z,8,FALSE)+VLOOKUP($A259,A:AL,10,FALSE)-50</f>
        <v>88</v>
      </c>
      <c r="L259" s="3">
        <f t="shared" si="193"/>
        <v>91</v>
      </c>
      <c r="M259" s="3">
        <v>92</v>
      </c>
      <c r="N259" s="3">
        <f t="shared" si="194"/>
        <v>94</v>
      </c>
      <c r="O259" s="3">
        <f t="shared" si="195"/>
        <v>95</v>
      </c>
      <c r="P259" s="3">
        <v>124</v>
      </c>
      <c r="Q259" s="3">
        <f>VLOOKUP($A259,'SegEnds_NonXtal_BW#'!$A:$Z,12,FALSE)+VLOOKUP($A259,A:AL,16,FALSE)-50</f>
        <v>130</v>
      </c>
      <c r="R259" s="3">
        <f>IF(ISERROR(VLOOKUP($A259,'SegEnds_NonXtal_BW#'!$A:$Z,13,FALSE)+VLOOKUP($A259,A:AL,19,FALSE)-50),"-",VLOOKUP($A259,'SegEnds_NonXtal_BW#'!$A:$Z,13,FALSE)+VLOOKUP($A259,A:AL,19,FALSE)-50)</f>
        <v>131</v>
      </c>
      <c r="S259" s="3">
        <v>131</v>
      </c>
      <c r="T259" s="100">
        <f>IF(ISERROR(VLOOKUP($A259,'SegEnds_NonXtal_BW#'!$A:$Z,14,FALSE)+VLOOKUP($A259,A:AL,19,FALSE)-50),"-",(VLOOKUP($A259,'SegEnds_NonXtal_BW#'!$A:$Z,14,FALSE)+VLOOKUP($A259,A:AL,19,FALSE)-50))</f>
        <v>139</v>
      </c>
      <c r="U259" s="9">
        <f>IF(ISERROR(VLOOKUP($A259,'SegEnds_NonXtal_BW#'!$A:$Z,15,FALSE)+VLOOKUP($A259,A:AL,22,FALSE)-50),"-",VLOOKUP($A259,'SegEnds_NonXtal_BW#'!$A:$Z,15,FALSE)+VLOOKUP($A259,A:AL,22,FALSE)-50)</f>
        <v>140</v>
      </c>
      <c r="V259" s="3">
        <v>152</v>
      </c>
      <c r="W259" s="3">
        <f>IF(ISERROR(VLOOKUP($A259,'SegEnds_NonXtal_BW#'!$A:$Z,16,FALSE)+VLOOKUP($A259,A:AL,22,FALSE)-50),"-",(VLOOKUP($A259,'SegEnds_NonXtal_BW#'!$A:$Z,16,FALSE)+VLOOKUP($A259,A:AL,22,FALSE)-50))</f>
        <v>166</v>
      </c>
      <c r="X259" s="3">
        <f>IF(ISERROR(VLOOKUP($A259,'SegEnds_NonXtal_BW#'!$A:$Z,17,FALSE)+VLOOKUP($A259,A:AL,25,FALSE)-50),"-",(VLOOKUP($A259,'SegEnds_NonXtal_BW#'!$A:$Z,17,FALSE)+VLOOKUP($A259,A:AL,25,FALSE)-50))</f>
        <v>177</v>
      </c>
      <c r="Y259" s="3">
        <v>177</v>
      </c>
      <c r="Z259" s="3">
        <f t="shared" si="167"/>
        <v>179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204</v>
      </c>
      <c r="AC259" s="3">
        <f>IF(ISERROR((VLOOKUP($A259,'SegEnds_NonXtal_BW#'!$A:$Z,20,FALSE)+VLOOKUP($A259,A:AL,28,FALSE)-50)),"-",(VLOOKUP($A259,'SegEnds_NonXtal_BW#'!$A:$Z,20,FALSE)+VLOOKUP($A259,A:AL,28,FALSE)-50))</f>
        <v>226</v>
      </c>
      <c r="AD259" s="3">
        <f>IF(ISERROR(VLOOKUP($A259,'SegEnds_NonXtal_BW#'!$A:$Z,21,FALSE)+VLOOKUP($A259,A:AL,31,FALSE)-50),"-",(VLOOKUP($A259,'SegEnds_NonXtal_BW#'!$A:$Z,21,FALSE)+VLOOKUP($A259,A:AL,31,FALSE)-50))</f>
        <v>233</v>
      </c>
      <c r="AE259" s="3">
        <v>254</v>
      </c>
      <c r="AF259" s="3">
        <f>IF(ISERROR((VLOOKUP($A259,'SegEnds_NonXtal_BW#'!$A:$Z,22,FALSE)+VLOOKUP($A259,A:AL,31,FALSE)-50)),"-",(VLOOKUP($A259,'SegEnds_NonXtal_BW#'!$A:$Z,22,FALSE)+VLOOKUP($A259,A:AL,31,FALSE)-50))</f>
        <v>268</v>
      </c>
      <c r="AG259" s="3">
        <f>IF(ISERROR(VLOOKUP($A259,'SegEnds_NonXtal_BW#'!$A:$Z,23,FALSE)+VLOOKUP($A259,A:AL,34,FALSE)-50),"-",(VLOOKUP($A259,'SegEnds_NonXtal_BW#'!$A:$Z,23,FALSE)+VLOOKUP($A259,A:AL,34,FALSE)-50))</f>
        <v>272</v>
      </c>
      <c r="AH259" s="3">
        <v>298</v>
      </c>
      <c r="AI259" s="3">
        <f>IF(ISERROR((VLOOKUP($A259,'SegEnds_NonXtal_BW#'!$A:$Z,24,FALSE)+VLOOKUP($A259,A:AL,34,FALSE)-50)),"-",(VLOOKUP($A259,'SegEnds_NonXtal_BW#'!$A:$Z,24,FALSE)+VLOOKUP($A259,A:AL,34,FALSE)-50))</f>
        <v>304</v>
      </c>
      <c r="AJ259" s="3">
        <f>IF(ISERROR(VLOOKUP($A259,'SegEnds_NonXtal_BW#'!$A:$Z,25,FALSE)+VLOOKUP($A259,A:AL,37,FALSE)-50),"-",(VLOOKUP($A259,'SegEnds_NonXtal_BW#'!$A:$Z,25,FALSE)+VLOOKUP($A259,A:AL,37,FALSE)-50))</f>
        <v>305</v>
      </c>
      <c r="AK259" s="3">
        <v>308</v>
      </c>
      <c r="AL259" s="3">
        <f>IF(ISERROR((VLOOKUP($A259,'SegEnds_NonXtal_BW#'!$A:$Z,26,FALSE)+VLOOKUP($A259,A:AL,37,FALSE)-50)),"-",(VLOOKUP($A259,'SegEnds_NonXtal_BW#'!$A:$Z,26,FALSE)+VLOOKUP($A259,A:AL,37,FALSE)-50))</f>
        <v>317</v>
      </c>
      <c r="AM259" s="28" t="str">
        <f>VLOOKUP(A259,Classification!A:B,2,FALSE)</f>
        <v>A</v>
      </c>
      <c r="AN259" s="28" t="b">
        <f t="shared" si="156"/>
        <v>1</v>
      </c>
      <c r="AO259" s="3" t="str">
        <f>IF(ISERROR(MATCH(A259,'SegEnds_Xtal_Prot#'!B:B, 0)), "NoXtal", "Xtal")</f>
        <v>NoXtal</v>
      </c>
      <c r="AP259" s="3">
        <f t="shared" si="141"/>
        <v>1</v>
      </c>
      <c r="AQ259" s="3">
        <f t="shared" si="142"/>
        <v>1</v>
      </c>
      <c r="AR259" s="3">
        <f t="shared" si="143"/>
        <v>3</v>
      </c>
      <c r="AS259" s="3">
        <f t="shared" si="144"/>
        <v>1</v>
      </c>
      <c r="AT259" s="3">
        <f t="shared" si="145"/>
        <v>1</v>
      </c>
      <c r="AU259" s="3">
        <f t="shared" si="146"/>
        <v>1</v>
      </c>
      <c r="AV259" s="3">
        <f t="shared" si="147"/>
        <v>11</v>
      </c>
      <c r="AW259" s="3">
        <f t="shared" si="148"/>
        <v>7</v>
      </c>
      <c r="AX259" s="3">
        <f t="shared" si="149"/>
        <v>7</v>
      </c>
      <c r="AY259" s="3">
        <f t="shared" si="150"/>
        <v>4</v>
      </c>
      <c r="AZ259" s="3">
        <f t="shared" si="151"/>
        <v>1</v>
      </c>
      <c r="BA259" s="3">
        <f>IF(ISERROR(LEN(VLOOKUP(A259,Seqs!A:E,2,FALSE))-AL259),"-",LEN(VLOOKUP(A259,Seqs!A:E,2,FALSE))-AL259)</f>
        <v>11</v>
      </c>
      <c r="BB259" s="16">
        <f t="shared" si="152"/>
        <v>28</v>
      </c>
      <c r="BC259" s="9">
        <f t="shared" si="153"/>
        <v>21</v>
      </c>
      <c r="BD259" s="3">
        <f t="shared" si="154"/>
        <v>28</v>
      </c>
      <c r="BE259" s="3">
        <f t="shared" si="155"/>
        <v>50</v>
      </c>
      <c r="BF259" s="3">
        <f t="shared" si="192"/>
        <v>44</v>
      </c>
    </row>
    <row r="260" spans="1:58" s="3" customFormat="1" x14ac:dyDescent="0.2">
      <c r="A260" s="3" t="s">
        <v>174</v>
      </c>
      <c r="B260" s="3" t="str">
        <f>LOWER(VLOOKUP(A260,Xtal_Templ!A:B,2,FALSE))</f>
        <v>ccr6_human</v>
      </c>
      <c r="C260" s="3">
        <f>VLOOKUP($A260,'SegEnds_NonXtal_BW#'!$A:$Z,3,FALSE)+D260-50</f>
        <v>39</v>
      </c>
      <c r="D260" s="3">
        <v>64</v>
      </c>
      <c r="E260" s="3">
        <f>IF(ISERROR(VLOOKUP($A260,'SegEnds_NonXtal_BW#'!$A:$Z,4,FALSE)+VLOOKUP($A260,A:AL,4,FALSE)-50),"-",(VLOOKUP($A260,'SegEnds_NonXtal_BW#'!$A:$Z,4,FALSE)+VLOOKUP($A260,A:AL,4,FALSE)-50))</f>
        <v>74</v>
      </c>
      <c r="F260" s="3">
        <f t="shared" si="190"/>
        <v>75</v>
      </c>
      <c r="G260" s="3">
        <v>77</v>
      </c>
      <c r="H260" s="3">
        <f t="shared" si="191"/>
        <v>78</v>
      </c>
      <c r="I260" s="3">
        <f t="shared" si="191"/>
        <v>79</v>
      </c>
      <c r="J260" s="3">
        <v>92</v>
      </c>
      <c r="K260" s="3">
        <f>VLOOKUP($A260,'SegEnds_NonXtal_BW#'!$A:$Z,8,FALSE)+VLOOKUP($A260,A:AL,10,FALSE)-50</f>
        <v>109</v>
      </c>
      <c r="L260" s="3">
        <f t="shared" si="193"/>
        <v>110</v>
      </c>
      <c r="M260" s="3">
        <v>111</v>
      </c>
      <c r="N260" s="3">
        <f t="shared" si="194"/>
        <v>113</v>
      </c>
      <c r="O260" s="3">
        <f t="shared" si="195"/>
        <v>114</v>
      </c>
      <c r="P260" s="3">
        <v>143</v>
      </c>
      <c r="Q260" s="3">
        <f>VLOOKUP($A260,'SegEnds_NonXtal_BW#'!$A:$Z,12,FALSE)+VLOOKUP($A260,A:AL,16,FALSE)-50</f>
        <v>149</v>
      </c>
      <c r="R260" s="3">
        <f>IF(ISERROR(VLOOKUP($A260,'SegEnds_NonXtal_BW#'!$A:$Z,13,FALSE)+VLOOKUP($A260,A:AL,19,FALSE)-50),"-",VLOOKUP($A260,'SegEnds_NonXtal_BW#'!$A:$Z,13,FALSE)+VLOOKUP($A260,A:AL,19,FALSE)-50)</f>
        <v>150</v>
      </c>
      <c r="S260" s="3">
        <v>150</v>
      </c>
      <c r="T260" s="100">
        <f>IF(ISERROR(VLOOKUP($A260,'SegEnds_NonXtal_BW#'!$A:$Z,14,FALSE)+VLOOKUP($A260,A:AL,19,FALSE)-50),"-",(VLOOKUP($A260,'SegEnds_NonXtal_BW#'!$A:$Z,14,FALSE)+VLOOKUP($A260,A:AL,19,FALSE)-50))</f>
        <v>156</v>
      </c>
      <c r="U260" s="9">
        <f>IF(ISERROR(VLOOKUP($A260,'SegEnds_NonXtal_BW#'!$A:$Z,15,FALSE)+VLOOKUP($A260,A:AL,22,FALSE)-50),"-",VLOOKUP($A260,'SegEnds_NonXtal_BW#'!$A:$Z,15,FALSE)+VLOOKUP($A260,A:AL,22,FALSE)-50)</f>
        <v>160</v>
      </c>
      <c r="V260" s="3">
        <v>172</v>
      </c>
      <c r="W260" s="3">
        <f>IF(ISERROR(VLOOKUP($A260,'SegEnds_NonXtal_BW#'!$A:$Z,16,FALSE)+VLOOKUP($A260,A:AL,22,FALSE)-50),"-",(VLOOKUP($A260,'SegEnds_NonXtal_BW#'!$A:$Z,16,FALSE)+VLOOKUP($A260,A:AL,22,FALSE)-50))</f>
        <v>186</v>
      </c>
      <c r="X260" s="3">
        <f>IF(ISERROR(VLOOKUP($A260,'SegEnds_NonXtal_BW#'!$A:$Z,17,FALSE)+VLOOKUP($A260,A:AL,25,FALSE)-50),"-",(VLOOKUP($A260,'SegEnds_NonXtal_BW#'!$A:$Z,17,FALSE)+VLOOKUP($A260,A:AL,25,FALSE)-50))</f>
        <v>197</v>
      </c>
      <c r="Y260" s="3">
        <v>197</v>
      </c>
      <c r="Z260" s="3">
        <f t="shared" si="167"/>
        <v>199</v>
      </c>
      <c r="AA260" s="3">
        <f>IF(ISERROR(VLOOKUP($A260,'SegEnds_NonXtal_BW#'!$A:$Z,19,FALSE)+VLOOKUP($A260,A:AL,28,FALSE)-50),"-",(VLOOKUP($A260,'SegEnds_NonXtal_BW#'!$A:$Z,19,FALSE)+VLOOKUP($A260,A:AL,28,FALSE)-50))</f>
        <v>207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287</v>
      </c>
      <c r="AH260" s="3">
        <v>313</v>
      </c>
      <c r="AI260" s="3">
        <f>IF(ISERROR((VLOOKUP($A260,'SegEnds_NonXtal_BW#'!$A:$Z,24,FALSE)+VLOOKUP($A260,A:AL,34,FALSE)-50)),"-",(VLOOKUP($A260,'SegEnds_NonXtal_BW#'!$A:$Z,24,FALSE)+VLOOKUP($A260,A:AL,34,FALSE)-50))</f>
        <v>319</v>
      </c>
      <c r="AJ260" s="3">
        <f>IF(ISERROR(VLOOKUP($A260,'SegEnds_NonXtal_BW#'!$A:$Z,25,FALSE)+VLOOKUP($A260,A:AL,37,FALSE)-50),"-",(VLOOKUP($A260,'SegEnds_NonXtal_BW#'!$A:$Z,25,FALSE)+VLOOKUP($A260,A:AL,37,FALSE)-50))</f>
        <v>320</v>
      </c>
      <c r="AK260" s="3">
        <v>323</v>
      </c>
      <c r="AL260" s="3">
        <f>IF(ISERROR((VLOOKUP($A260,'SegEnds_NonXtal_BW#'!$A:$Z,26,FALSE)+VLOOKUP($A260,A:AL,37,FALSE)-50)),"-",(VLOOKUP($A260,'SegEnds_NonXtal_BW#'!$A:$Z,26,FALSE)+VLOOKUP($A260,A:AL,37,FALSE)-50))</f>
        <v>335</v>
      </c>
      <c r="AM260" s="28" t="str">
        <f>VLOOKUP(A260,Classification!A:B,2,FALSE)</f>
        <v>A</v>
      </c>
      <c r="AN260" s="28" t="b">
        <f t="shared" si="156"/>
        <v>1</v>
      </c>
      <c r="AO260" s="3" t="str">
        <f>IF(ISERROR(MATCH(A260,'SegEnds_Xtal_Prot#'!B:B, 0)), "NoXtal", "Xtal")</f>
        <v>Xtal</v>
      </c>
      <c r="AP260" s="3">
        <f t="shared" si="141"/>
        <v>1</v>
      </c>
      <c r="AQ260" s="3">
        <f t="shared" si="142"/>
        <v>1</v>
      </c>
      <c r="AR260" s="3">
        <f t="shared" si="143"/>
        <v>1</v>
      </c>
      <c r="AS260" s="3">
        <f t="shared" si="144"/>
        <v>1</v>
      </c>
      <c r="AT260" s="3">
        <f t="shared" si="145"/>
        <v>1</v>
      </c>
      <c r="AU260" s="3">
        <f t="shared" si="146"/>
        <v>4</v>
      </c>
      <c r="AV260" s="3">
        <f t="shared" si="147"/>
        <v>11</v>
      </c>
      <c r="AW260" s="3">
        <f t="shared" si="148"/>
        <v>8</v>
      </c>
      <c r="AX260" s="3">
        <f t="shared" si="149"/>
        <v>5</v>
      </c>
      <c r="AY260" s="3">
        <f t="shared" si="150"/>
        <v>3</v>
      </c>
      <c r="AZ260" s="3">
        <f t="shared" si="151"/>
        <v>1</v>
      </c>
      <c r="BA260" s="3">
        <f>IF(ISERROR(LEN(VLOOKUP(A260,Seqs!A:E,2,FALSE))-AL260),"-",LEN(VLOOKUP(A260,Seqs!A:E,2,FALSE))-AL260)</f>
        <v>39</v>
      </c>
      <c r="BB260" s="16">
        <f t="shared" si="152"/>
        <v>28</v>
      </c>
      <c r="BC260" s="9">
        <f t="shared" si="153"/>
        <v>22</v>
      </c>
      <c r="BD260" s="3">
        <f t="shared" si="154"/>
        <v>28</v>
      </c>
      <c r="BE260" s="3">
        <f t="shared" si="155"/>
        <v>43</v>
      </c>
    </row>
    <row r="261" spans="1:58" s="3" customFormat="1" x14ac:dyDescent="0.2">
      <c r="A261" s="3" t="s">
        <v>175</v>
      </c>
      <c r="B261" s="3" t="str">
        <f>LOWER(VLOOKUP(A261,Xtal_Templ!A:B,2,FALSE))</f>
        <v>ccr7_human</v>
      </c>
      <c r="C261" s="3">
        <f>VLOOKUP($A261,'SegEnds_NonXtal_BW#'!$A:$Z,3,FALSE)+D261-50</f>
        <v>55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>
        <f t="shared" si="190"/>
        <v>87</v>
      </c>
      <c r="G261" s="3">
        <v>89</v>
      </c>
      <c r="H261" s="3">
        <f t="shared" si="191"/>
        <v>90</v>
      </c>
      <c r="I261" s="3">
        <f t="shared" si="191"/>
        <v>91</v>
      </c>
      <c r="J261" s="3">
        <v>104</v>
      </c>
      <c r="K261" s="3">
        <f>VLOOKUP($A261,'SegEnds_NonXtal_BW#'!$A:$Z,8,FALSE)+VLOOKUP($A261,A:AL,10,FALSE)-50</f>
        <v>120</v>
      </c>
      <c r="L261" s="3">
        <f t="shared" si="193"/>
        <v>121</v>
      </c>
      <c r="M261" s="3">
        <v>122</v>
      </c>
      <c r="N261" s="3">
        <f t="shared" si="194"/>
        <v>124</v>
      </c>
      <c r="O261" s="3">
        <f t="shared" si="195"/>
        <v>125</v>
      </c>
      <c r="P261" s="3">
        <v>154</v>
      </c>
      <c r="Q261" s="3">
        <f>VLOOKUP($A261,'SegEnds_NonXtal_BW#'!$A:$Z,12,FALSE)+VLOOKUP($A261,A:AL,16,FALSE)-50</f>
        <v>160</v>
      </c>
      <c r="R261" s="3">
        <f>IF(ISERROR(VLOOKUP($A261,'SegEnds_NonXtal_BW#'!$A:$Z,13,FALSE)+VLOOKUP($A261,A:AL,19,FALSE)-50),"-",VLOOKUP($A261,'SegEnds_NonXtal_BW#'!$A:$Z,13,FALSE)+VLOOKUP($A261,A:AL,19,FALSE)-50)</f>
        <v>161</v>
      </c>
      <c r="S261" s="3">
        <v>161</v>
      </c>
      <c r="T261" s="100">
        <f>IF(ISERROR(VLOOKUP($A261,'SegEnds_NonXtal_BW#'!$A:$Z,14,FALSE)+VLOOKUP($A261,A:AL,19,FALSE)-50),"-",(VLOOKUP($A261,'SegEnds_NonXtal_BW#'!$A:$Z,14,FALSE)+VLOOKUP($A261,A:AL,19,FALSE)-50))</f>
        <v>169</v>
      </c>
      <c r="U261" s="9">
        <f>IF(ISERROR(VLOOKUP($A261,'SegEnds_NonXtal_BW#'!$A:$Z,15,FALSE)+VLOOKUP($A261,A:AL,22,FALSE)-50),"-",VLOOKUP($A261,'SegEnds_NonXtal_BW#'!$A:$Z,15,FALSE)+VLOOKUP($A261,A:AL,22,FALSE)-50)</f>
        <v>171</v>
      </c>
      <c r="V261" s="3">
        <v>183</v>
      </c>
      <c r="W261" s="3">
        <f>IF(ISERROR(VLOOKUP($A261,'SegEnds_NonXtal_BW#'!$A:$Z,16,FALSE)+VLOOKUP($A261,A:AL,22,FALSE)-50),"-",(VLOOKUP($A261,'SegEnds_NonXtal_BW#'!$A:$Z,16,FALSE)+VLOOKUP($A261,A:AL,22,FALSE)-50))</f>
        <v>197</v>
      </c>
      <c r="X261" s="3">
        <f>IF(ISERROR(VLOOKUP($A261,'SegEnds_NonXtal_BW#'!$A:$Z,17,FALSE)+VLOOKUP($A261,A:AL,25,FALSE)-50),"-",(VLOOKUP($A261,'SegEnds_NonXtal_BW#'!$A:$Z,17,FALSE)+VLOOKUP($A261,A:AL,25,FALSE)-50))</f>
        <v>210</v>
      </c>
      <c r="Y261" s="3">
        <v>210</v>
      </c>
      <c r="Z261" s="3">
        <f t="shared" si="167"/>
        <v>212</v>
      </c>
      <c r="AA261" s="3">
        <f>IF(ISERROR(VLOOKUP($A261,'SegEnds_NonXtal_BW#'!$A:$Z,19,FALSE)+VLOOKUP($A261,A:AL,28,FALSE)-50),"-",(VLOOKUP($A261,'SegEnds_NonXtal_BW#'!$A:$Z,19,FALSE)+VLOOKUP($A261,A:AL,28,FALSE)-50))</f>
        <v>218</v>
      </c>
      <c r="AB261" s="3">
        <v>235</v>
      </c>
      <c r="AC261" s="3">
        <f>IF(ISERROR((VLOOKUP($A261,'SegEnds_NonXtal_BW#'!$A:$Z,20,FALSE)+VLOOKUP($A261,A:AL,28,FALSE)-50)),"-",(VLOOKUP($A261,'SegEnds_NonXtal_BW#'!$A:$Z,20,FALSE)+VLOOKUP($A261,A:AL,28,FALSE)-50))</f>
        <v>253</v>
      </c>
      <c r="AD261" s="3">
        <f>IF(ISERROR(VLOOKUP($A261,'SegEnds_NonXtal_BW#'!$A:$Z,21,FALSE)+VLOOKUP($A261,A:AL,31,FALSE)-50),"-",(VLOOKUP($A261,'SegEnds_NonXtal_BW#'!$A:$Z,21,FALSE)+VLOOKUP($A261,A:AL,31,FALSE)-50))</f>
        <v>258</v>
      </c>
      <c r="AE261" s="3">
        <v>278</v>
      </c>
      <c r="AF261" s="3">
        <f>IF(ISERROR((VLOOKUP($A261,'SegEnds_NonXtal_BW#'!$A:$Z,22,FALSE)+VLOOKUP($A261,A:AL,31,FALSE)-50)),"-",(VLOOKUP($A261,'SegEnds_NonXtal_BW#'!$A:$Z,22,FALSE)+VLOOKUP($A261,A:AL,31,FALSE)-50))</f>
        <v>293</v>
      </c>
      <c r="AG261" s="3">
        <f>IF(ISERROR(VLOOKUP($A261,'SegEnds_NonXtal_BW#'!$A:$Z,23,FALSE)+VLOOKUP($A261,A:AL,34,FALSE)-50),"-",(VLOOKUP($A261,'SegEnds_NonXtal_BW#'!$A:$Z,23,FALSE)+VLOOKUP($A261,A:AL,34,FALSE)-50))</f>
        <v>297</v>
      </c>
      <c r="AH261" s="3">
        <v>323</v>
      </c>
      <c r="AI261" s="3">
        <f>IF(ISERROR((VLOOKUP($A261,'SegEnds_NonXtal_BW#'!$A:$Z,24,FALSE)+VLOOKUP($A261,A:AL,34,FALSE)-50)),"-",(VLOOKUP($A261,'SegEnds_NonXtal_BW#'!$A:$Z,24,FALSE)+VLOOKUP($A261,A:AL,34,FALSE)-50))</f>
        <v>329</v>
      </c>
      <c r="AJ261" s="3">
        <f>IF(ISERROR(VLOOKUP($A261,'SegEnds_NonXtal_BW#'!$A:$Z,25,FALSE)+VLOOKUP($A261,A:AL,37,FALSE)-50),"-",(VLOOKUP($A261,'SegEnds_NonXtal_BW#'!$A:$Z,25,FALSE)+VLOOKUP($A261,A:AL,37,FALSE)-50))</f>
        <v>330</v>
      </c>
      <c r="AK261" s="3">
        <v>333</v>
      </c>
      <c r="AL261" s="3">
        <f>IF(ISERROR((VLOOKUP($A261,'SegEnds_NonXtal_BW#'!$A:$Z,26,FALSE)+VLOOKUP($A261,A:AL,37,FALSE)-50)),"-",(VLOOKUP($A261,'SegEnds_NonXtal_BW#'!$A:$Z,26,FALSE)+VLOOKUP($A261,A:AL,37,FALSE)-50))</f>
        <v>342</v>
      </c>
      <c r="AM261" s="28" t="str">
        <f>VLOOKUP(A261,Classification!A:B,2,FALSE)</f>
        <v>A</v>
      </c>
      <c r="AN261" s="28" t="b">
        <f t="shared" si="156"/>
        <v>1</v>
      </c>
      <c r="AO261" s="3" t="str">
        <f>IF(ISERROR(MATCH(A261,'SegEnds_Xtal_Prot#'!B:B, 0)), "NoXtal", "Xtal")</f>
        <v>Xtal</v>
      </c>
      <c r="AP261" s="3">
        <f t="shared" si="141"/>
        <v>1</v>
      </c>
      <c r="AQ261" s="3">
        <f t="shared" si="142"/>
        <v>1</v>
      </c>
      <c r="AR261" s="3">
        <f t="shared" si="143"/>
        <v>1</v>
      </c>
      <c r="AS261" s="3">
        <f t="shared" si="144"/>
        <v>1</v>
      </c>
      <c r="AT261" s="3">
        <f t="shared" si="145"/>
        <v>1</v>
      </c>
      <c r="AU261" s="3">
        <f t="shared" si="146"/>
        <v>2</v>
      </c>
      <c r="AV261" s="3">
        <f t="shared" si="147"/>
        <v>13</v>
      </c>
      <c r="AW261" s="3">
        <f t="shared" si="148"/>
        <v>6</v>
      </c>
      <c r="AX261" s="3">
        <f t="shared" si="149"/>
        <v>5</v>
      </c>
      <c r="AY261" s="3">
        <f t="shared" si="150"/>
        <v>4</v>
      </c>
      <c r="AZ261" s="3">
        <f t="shared" si="151"/>
        <v>1</v>
      </c>
      <c r="BA261" s="3">
        <f>IF(ISERROR(LEN(VLOOKUP(A261,Seqs!A:E,2,FALSE))-AL261),"-",LEN(VLOOKUP(A261,Seqs!A:E,2,FALSE))-AL261)</f>
        <v>36</v>
      </c>
      <c r="BB261" s="16">
        <f t="shared" si="152"/>
        <v>28</v>
      </c>
      <c r="BC261" s="9">
        <f t="shared" si="153"/>
        <v>22</v>
      </c>
      <c r="BD261" s="3">
        <f t="shared" si="154"/>
        <v>28</v>
      </c>
      <c r="BE261" s="3">
        <f t="shared" si="155"/>
        <v>43</v>
      </c>
    </row>
    <row r="262" spans="1:58" s="3" customFormat="1" x14ac:dyDescent="0.2">
      <c r="A262" s="3" t="s">
        <v>177</v>
      </c>
      <c r="B262" s="3" t="str">
        <f>LOWER(VLOOKUP(A262,Xtal_Templ!A:B,2,FALSE))</f>
        <v>ccr9_human</v>
      </c>
      <c r="C262" s="3">
        <f>VLOOKUP($A262,'SegEnds_NonXtal_BW#'!$A:$Z,3,FALSE)+D262-50</f>
        <v>43</v>
      </c>
      <c r="D262" s="3">
        <v>66</v>
      </c>
      <c r="E262" s="3">
        <f>IF(ISERROR(VLOOKUP($A262,'SegEnds_NonXtal_BW#'!$A:$Z,4,FALSE)+VLOOKUP($A262,A:AL,4,FALSE)-50),"-",(VLOOKUP($A262,'SegEnds_NonXtal_BW#'!$A:$Z,4,FALSE)+VLOOKUP($A262,A:AL,4,FALSE)-50))</f>
        <v>76</v>
      </c>
      <c r="F262" s="3">
        <f t="shared" si="190"/>
        <v>77</v>
      </c>
      <c r="G262" s="3">
        <v>79</v>
      </c>
      <c r="H262" s="3">
        <f t="shared" si="191"/>
        <v>80</v>
      </c>
      <c r="I262" s="3">
        <f t="shared" si="191"/>
        <v>81</v>
      </c>
      <c r="J262" s="3">
        <v>94</v>
      </c>
      <c r="K262" s="3">
        <f>VLOOKUP($A262,'SegEnds_NonXtal_BW#'!$A:$Z,8,FALSE)+VLOOKUP($A262,A:AL,10,FALSE)-50</f>
        <v>110</v>
      </c>
      <c r="L262" s="3">
        <f t="shared" si="193"/>
        <v>111</v>
      </c>
      <c r="M262" s="3">
        <v>112</v>
      </c>
      <c r="N262" s="3">
        <f t="shared" si="194"/>
        <v>114</v>
      </c>
      <c r="O262" s="3">
        <f t="shared" si="195"/>
        <v>115</v>
      </c>
      <c r="P262" s="3">
        <v>144</v>
      </c>
      <c r="Q262" s="3">
        <f>VLOOKUP($A262,'SegEnds_NonXtal_BW#'!$A:$Z,12,FALSE)+VLOOKUP($A262,A:AL,16,FALSE)-50</f>
        <v>150</v>
      </c>
      <c r="R262" s="3">
        <f>IF(ISERROR(VLOOKUP($A262,'SegEnds_NonXtal_BW#'!$A:$Z,13,FALSE)+VLOOKUP($A262,A:AL,19,FALSE)-50),"-",VLOOKUP($A262,'SegEnds_NonXtal_BW#'!$A:$Z,13,FALSE)+VLOOKUP($A262,A:AL,19,FALSE)-50)</f>
        <v>151</v>
      </c>
      <c r="S262" s="3">
        <v>151</v>
      </c>
      <c r="T262" s="100">
        <f>IF(ISERROR(VLOOKUP($A262,'SegEnds_NonXtal_BW#'!$A:$Z,14,FALSE)+VLOOKUP($A262,A:AL,19,FALSE)-50),"-",(VLOOKUP($A262,'SegEnds_NonXtal_BW#'!$A:$Z,14,FALSE)+VLOOKUP($A262,A:AL,19,FALSE)-50))</f>
        <v>157</v>
      </c>
      <c r="U262" s="9">
        <f>IF(ISERROR(VLOOKUP($A262,'SegEnds_NonXtal_BW#'!$A:$Z,15,FALSE)+VLOOKUP($A262,A:AL,22,FALSE)-50),"-",VLOOKUP($A262,'SegEnds_NonXtal_BW#'!$A:$Z,15,FALSE)+VLOOKUP($A262,A:AL,22,FALSE)-50)</f>
        <v>158</v>
      </c>
      <c r="V262" s="3">
        <v>173</v>
      </c>
      <c r="W262" s="3">
        <f>IF(ISERROR(VLOOKUP($A262,'SegEnds_NonXtal_BW#'!$A:$Z,16,FALSE)+VLOOKUP($A262,A:AL,22,FALSE)-50),"-",(VLOOKUP($A262,'SegEnds_NonXtal_BW#'!$A:$Z,16,FALSE)+VLOOKUP($A262,A:AL,22,FALSE)-50))</f>
        <v>187</v>
      </c>
      <c r="X262" s="3">
        <f>IF(ISERROR(VLOOKUP($A262,'SegEnds_NonXtal_BW#'!$A:$Z,17,FALSE)+VLOOKUP($A262,A:AL,25,FALSE)-50),"-",(VLOOKUP($A262,'SegEnds_NonXtal_BW#'!$A:$Z,17,FALSE)+VLOOKUP($A262,A:AL,25,FALSE)-50))</f>
        <v>198</v>
      </c>
      <c r="Y262" s="3">
        <v>198</v>
      </c>
      <c r="Z262" s="3">
        <f t="shared" si="167"/>
        <v>200</v>
      </c>
      <c r="AA262" s="3">
        <f>IF(ISERROR(VLOOKUP($A262,'SegEnds_NonXtal_BW#'!$A:$Z,19,FALSE)+VLOOKUP($A262,A:AL,28,FALSE)-50),"-",(VLOOKUP($A262,'SegEnds_NonXtal_BW#'!$A:$Z,19,FALSE)+VLOOKUP($A262,A:AL,28,FALSE)-50))</f>
        <v>209</v>
      </c>
      <c r="AB262" s="3">
        <v>226</v>
      </c>
      <c r="AC262" s="3">
        <f>IF(ISERROR((VLOOKUP($A262,'SegEnds_NonXtal_BW#'!$A:$Z,20,FALSE)+VLOOKUP($A262,A:AL,28,FALSE)-50)),"-",(VLOOKUP($A262,'SegEnds_NonXtal_BW#'!$A:$Z,20,FALSE)+VLOOKUP($A262,A:AL,28,FALSE)-50))</f>
        <v>244</v>
      </c>
      <c r="AD262" s="3">
        <f>IF(ISERROR(VLOOKUP($A262,'SegEnds_NonXtal_BW#'!$A:$Z,21,FALSE)+VLOOKUP($A262,A:AL,31,FALSE)-50),"-",(VLOOKUP($A262,'SegEnds_NonXtal_BW#'!$A:$Z,21,FALSE)+VLOOKUP($A262,A:AL,31,FALSE)-50))</f>
        <v>249</v>
      </c>
      <c r="AE262" s="3">
        <v>269</v>
      </c>
      <c r="AF262" s="3">
        <f>IF(ISERROR((VLOOKUP($A262,'SegEnds_NonXtal_BW#'!$A:$Z,22,FALSE)+VLOOKUP($A262,A:AL,31,FALSE)-50)),"-",(VLOOKUP($A262,'SegEnds_NonXtal_BW#'!$A:$Z,22,FALSE)+VLOOKUP($A262,A:AL,31,FALSE)-50))</f>
        <v>284</v>
      </c>
      <c r="AG262" s="3">
        <f>IF(ISERROR(VLOOKUP($A262,'SegEnds_NonXtal_BW#'!$A:$Z,23,FALSE)+VLOOKUP($A262,A:AL,34,FALSE)-50),"-",(VLOOKUP($A262,'SegEnds_NonXtal_BW#'!$A:$Z,23,FALSE)+VLOOKUP($A262,A:AL,34,FALSE)-50))</f>
        <v>288</v>
      </c>
      <c r="AH262" s="3">
        <v>314</v>
      </c>
      <c r="AI262" s="3">
        <f>IF(ISERROR((VLOOKUP($A262,'SegEnds_NonXtal_BW#'!$A:$Z,24,FALSE)+VLOOKUP($A262,A:AL,34,FALSE)-50)),"-",(VLOOKUP($A262,'SegEnds_NonXtal_BW#'!$A:$Z,24,FALSE)+VLOOKUP($A262,A:AL,34,FALSE)-50))</f>
        <v>320</v>
      </c>
      <c r="AJ262" s="3">
        <f>IF(ISERROR(VLOOKUP($A262,'SegEnds_NonXtal_BW#'!$A:$Z,25,FALSE)+VLOOKUP($A262,A:AL,37,FALSE)-50),"-",(VLOOKUP($A262,'SegEnds_NonXtal_BW#'!$A:$Z,25,FALSE)+VLOOKUP($A262,A:AL,37,FALSE)-50))</f>
        <v>321</v>
      </c>
      <c r="AK262" s="3">
        <v>324</v>
      </c>
      <c r="AL262" s="3">
        <f>IF(ISERROR((VLOOKUP($A262,'SegEnds_NonXtal_BW#'!$A:$Z,26,FALSE)+VLOOKUP($A262,A:AL,37,FALSE)-50)),"-",(VLOOKUP($A262,'SegEnds_NonXtal_BW#'!$A:$Z,26,FALSE)+VLOOKUP($A262,A:AL,37,FALSE)-50))</f>
        <v>341</v>
      </c>
      <c r="AM262" s="28" t="str">
        <f>VLOOKUP(A262,Classification!A:B,2,FALSE)</f>
        <v>A</v>
      </c>
      <c r="AN262" s="28" t="b">
        <f t="shared" si="156"/>
        <v>1</v>
      </c>
      <c r="AO262" s="3" t="str">
        <f>IF(ISERROR(MATCH(A262,'SegEnds_Xtal_Prot#'!B:B, 0)), "NoXtal", "Xtal")</f>
        <v>Xtal</v>
      </c>
      <c r="AP262" s="3">
        <f t="shared" ref="AP262:AP329" si="196">IF(ISERROR(F262-E262),"-",F262-E262)</f>
        <v>1</v>
      </c>
      <c r="AQ262" s="3">
        <f t="shared" ref="AQ262:AQ329" si="197">IF(ISERROR(I262-H262),"-",I262-H262)</f>
        <v>1</v>
      </c>
      <c r="AR262" s="3">
        <f t="shared" ref="AR262:AR329" si="198">IF(ISERROR(L262-K262),"-",L262-K262)</f>
        <v>1</v>
      </c>
      <c r="AS262" s="3">
        <f t="shared" ref="AS262:AS329" si="199">IF(ISERROR(O262-N262),"-",O262-N262)</f>
        <v>1</v>
      </c>
      <c r="AT262" s="3">
        <f t="shared" ref="AT262:AT329" si="200">IF(ISERROR(R262-Q262),"-",R262-Q262)</f>
        <v>1</v>
      </c>
      <c r="AU262" s="3">
        <f t="shared" ref="AU262:AU329" si="201">IF(ISERROR(U262-T262),"-",U262-T262)</f>
        <v>1</v>
      </c>
      <c r="AV262" s="3">
        <f t="shared" ref="AV262:AV329" si="202">IF(ISERROR(X262-W262),"-",X262-W262)</f>
        <v>11</v>
      </c>
      <c r="AW262" s="3">
        <f t="shared" ref="AW262:AW329" si="203">IF(ISERROR(AA262-Z262),"-",AA262-Z262)</f>
        <v>9</v>
      </c>
      <c r="AX262" s="3">
        <f t="shared" ref="AX262:AX329" si="204">IF(ISERROR(AD262-AC262),"-",AD262-AC262)</f>
        <v>5</v>
      </c>
      <c r="AY262" s="3">
        <f t="shared" ref="AY262:AY329" si="205">IF(ISERROR(AG262-AF262),"-",AG262-AF262)</f>
        <v>4</v>
      </c>
      <c r="AZ262" s="3">
        <f t="shared" ref="AZ262:AZ329" si="206">IF(ISERROR(AJ262-AI262),"-",AJ262-AI262)</f>
        <v>1</v>
      </c>
      <c r="BA262" s="3">
        <f>IF(ISERROR(LEN(VLOOKUP(A262,Seqs!A:E,2,FALSE))-AL262),"-",LEN(VLOOKUP(A262,Seqs!A:E,2,FALSE))-AL262)</f>
        <v>28</v>
      </c>
      <c r="BB262" s="16">
        <f t="shared" ref="BB262:BB329" si="207">J262-D262</f>
        <v>28</v>
      </c>
      <c r="BC262" s="9">
        <f t="shared" ref="BC262:BC329" si="208">IF(ISERROR(V262-S262),"-",V262-S262)</f>
        <v>22</v>
      </c>
      <c r="BD262" s="3">
        <f t="shared" ref="BD262:BD329" si="209">J262-D262</f>
        <v>28</v>
      </c>
      <c r="BE262" s="3">
        <f t="shared" ref="BE262:BE329" si="210">AE262-AB262</f>
        <v>43</v>
      </c>
    </row>
    <row r="263" spans="1:58" s="3" customFormat="1" x14ac:dyDescent="0.2">
      <c r="A263" s="3" t="s">
        <v>189</v>
      </c>
      <c r="B263" s="3" t="str">
        <f>LOWER(VLOOKUP(A263,Xtal_Templ!A:B,2,FALSE))</f>
        <v>ccr6_human</v>
      </c>
      <c r="C263" s="3">
        <f>VLOOKUP($A263,'SegEnds_NonXtal_BW#'!$A:$Z,3,FALSE)+D263-50</f>
        <v>24</v>
      </c>
      <c r="D263" s="3">
        <v>49</v>
      </c>
      <c r="E263" s="3">
        <f>IF(ISERROR(VLOOKUP($A263,'SegEnds_NonXtal_BW#'!$A:$Z,4,FALSE)+VLOOKUP($A263,A:AL,4,FALSE)-50),"-",(VLOOKUP($A263,'SegEnds_NonXtal_BW#'!$A:$Z,4,FALSE)+VLOOKUP($A263,A:AL,4,FALSE)-50))</f>
        <v>59</v>
      </c>
      <c r="F263" s="3">
        <f t="shared" si="190"/>
        <v>60</v>
      </c>
      <c r="G263" s="3">
        <v>62</v>
      </c>
      <c r="H263" s="3">
        <f t="shared" si="191"/>
        <v>63</v>
      </c>
      <c r="I263" s="3">
        <f t="shared" si="191"/>
        <v>64</v>
      </c>
      <c r="J263" s="3">
        <v>77</v>
      </c>
      <c r="K263" s="3">
        <f>VLOOKUP($A263,'SegEnds_NonXtal_BW#'!$A:$Z,8,FALSE)+VLOOKUP($A263,A:AL,10,FALSE)-50</f>
        <v>93</v>
      </c>
      <c r="L263" s="3">
        <f t="shared" si="193"/>
        <v>94</v>
      </c>
      <c r="M263" s="3">
        <v>95</v>
      </c>
      <c r="N263" s="3">
        <f t="shared" si="194"/>
        <v>97</v>
      </c>
      <c r="O263" s="3">
        <f t="shared" si="195"/>
        <v>98</v>
      </c>
      <c r="P263" s="3">
        <v>127</v>
      </c>
      <c r="Q263" s="3">
        <f>VLOOKUP($A263,'SegEnds_NonXtal_BW#'!$A:$Z,12,FALSE)+VLOOKUP($A263,A:AL,16,FALSE)-50</f>
        <v>133</v>
      </c>
      <c r="R263" s="3">
        <f>IF(ISERROR(VLOOKUP($A263,'SegEnds_NonXtal_BW#'!$A:$Z,13,FALSE)+VLOOKUP($A263,A:AL,19,FALSE)-50),"-",VLOOKUP($A263,'SegEnds_NonXtal_BW#'!$A:$Z,13,FALSE)+VLOOKUP($A263,A:AL,19,FALSE)-50)</f>
        <v>134</v>
      </c>
      <c r="S263" s="3">
        <v>134</v>
      </c>
      <c r="T263" s="100">
        <f>IF(ISERROR(VLOOKUP($A263,'SegEnds_NonXtal_BW#'!$A:$Z,14,FALSE)+VLOOKUP($A263,A:AL,19,FALSE)-50),"-",(VLOOKUP($A263,'SegEnds_NonXtal_BW#'!$A:$Z,14,FALSE)+VLOOKUP($A263,A:AL,19,FALSE)-50))</f>
        <v>140</v>
      </c>
      <c r="U263" s="9">
        <f>IF(ISERROR(VLOOKUP($A263,'SegEnds_NonXtal_BW#'!$A:$Z,15,FALSE)+VLOOKUP($A263,A:AL,22,FALSE)-50),"-",VLOOKUP($A263,'SegEnds_NonXtal_BW#'!$A:$Z,15,FALSE)+VLOOKUP($A263,A:AL,22,FALSE)-50)</f>
        <v>144</v>
      </c>
      <c r="V263" s="3">
        <v>156</v>
      </c>
      <c r="W263" s="3">
        <f>IF(ISERROR(VLOOKUP($A263,'SegEnds_NonXtal_BW#'!$A:$Z,16,FALSE)+VLOOKUP($A263,A:AL,22,FALSE)-50),"-",(VLOOKUP($A263,'SegEnds_NonXtal_BW#'!$A:$Z,16,FALSE)+VLOOKUP($A263,A:AL,22,FALSE)-50))</f>
        <v>170</v>
      </c>
      <c r="X263" s="3">
        <f>IF(ISERROR(VLOOKUP($A263,'SegEnds_NonXtal_BW#'!$A:$Z,17,FALSE)+VLOOKUP($A263,A:AL,25,FALSE)-50),"-",(VLOOKUP($A263,'SegEnds_NonXtal_BW#'!$A:$Z,17,FALSE)+VLOOKUP($A263,A:AL,25,FALSE)-50))</f>
        <v>180</v>
      </c>
      <c r="Y263" s="3">
        <v>180</v>
      </c>
      <c r="Z263" s="3">
        <f t="shared" si="167"/>
        <v>182</v>
      </c>
      <c r="AA263" s="3">
        <f>IF(ISERROR(VLOOKUP($A263,'SegEnds_NonXtal_BW#'!$A:$Z,19,FALSE)+VLOOKUP($A263,A:AL,28,FALSE)-50),"-",(VLOOKUP($A263,'SegEnds_NonXtal_BW#'!$A:$Z,19,FALSE)+VLOOKUP($A263,A:AL,28,FALSE)-50))</f>
        <v>184</v>
      </c>
      <c r="AB263" s="3">
        <v>203</v>
      </c>
      <c r="AC263" s="3">
        <f>IF(ISERROR((VLOOKUP($A263,'SegEnds_NonXtal_BW#'!$A:$Z,20,FALSE)+VLOOKUP($A263,A:AL,28,FALSE)-50)),"-",(VLOOKUP($A263,'SegEnds_NonXtal_BW#'!$A:$Z,20,FALSE)+VLOOKUP($A263,A:AL,28,FALSE)-50))</f>
        <v>221</v>
      </c>
      <c r="AD263" s="3">
        <f>IF(ISERROR(VLOOKUP($A263,'SegEnds_NonXtal_BW#'!$A:$Z,21,FALSE)+VLOOKUP($A263,A:AL,31,FALSE)-50),"-",(VLOOKUP($A263,'SegEnds_NonXtal_BW#'!$A:$Z,21,FALSE)+VLOOKUP($A263,A:AL,31,FALSE)-50))</f>
        <v>226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259</v>
      </c>
      <c r="AH263" s="3">
        <v>285</v>
      </c>
      <c r="AI263" s="3">
        <f>IF(ISERROR((VLOOKUP($A263,'SegEnds_NonXtal_BW#'!$A:$Z,24,FALSE)+VLOOKUP($A263,A:AL,34,FALSE)-50)),"-",(VLOOKUP($A263,'SegEnds_NonXtal_BW#'!$A:$Z,24,FALSE)+VLOOKUP($A263,A:AL,34,FALSE)-50))</f>
        <v>291</v>
      </c>
      <c r="AJ263" s="3">
        <f>IF(ISERROR(VLOOKUP($A263,'SegEnds_NonXtal_BW#'!$A:$Z,25,FALSE)+VLOOKUP($A263,A:AL,37,FALSE)-50),"-",(VLOOKUP($A263,'SegEnds_NonXtal_BW#'!$A:$Z,25,FALSE)+VLOOKUP($A263,A:AL,37,FALSE)-50))</f>
        <v>292</v>
      </c>
      <c r="AK263" s="3">
        <v>295</v>
      </c>
      <c r="AL263" s="3">
        <f>IF(ISERROR((VLOOKUP($A263,'SegEnds_NonXtal_BW#'!$A:$Z,26,FALSE)+VLOOKUP($A263,A:AL,37,FALSE)-50)),"-",(VLOOKUP($A263,'SegEnds_NonXtal_BW#'!$A:$Z,26,FALSE)+VLOOKUP($A263,A:AL,37,FALSE)-50))</f>
        <v>307</v>
      </c>
      <c r="AM263" s="28" t="str">
        <f>VLOOKUP(A263,Classification!A:B,2,FALSE)</f>
        <v>A</v>
      </c>
      <c r="AN263" s="28" t="b">
        <f t="shared" ref="AN263:AN330" si="211">AND(IF(Y263="-",IF(AA263-W263&gt;3,TRUE,FALSE),TRUE),IF(M263="-",IF(O263-K263&gt;3,TRUE,FALSE),TRUE),IF(AG263-AF263&gt;1,TRUE,FALS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 t="shared" si="196"/>
        <v>1</v>
      </c>
      <c r="AQ263" s="3">
        <f t="shared" si="197"/>
        <v>1</v>
      </c>
      <c r="AR263" s="3">
        <f t="shared" si="198"/>
        <v>1</v>
      </c>
      <c r="AS263" s="3">
        <f t="shared" si="199"/>
        <v>1</v>
      </c>
      <c r="AT263" s="3">
        <f t="shared" si="200"/>
        <v>1</v>
      </c>
      <c r="AU263" s="3">
        <f t="shared" si="201"/>
        <v>4</v>
      </c>
      <c r="AV263" s="3">
        <f t="shared" si="202"/>
        <v>10</v>
      </c>
      <c r="AW263" s="3">
        <f t="shared" si="203"/>
        <v>2</v>
      </c>
      <c r="AX263" s="3">
        <f t="shared" si="204"/>
        <v>5</v>
      </c>
      <c r="AY263" s="3">
        <f t="shared" si="205"/>
        <v>2</v>
      </c>
      <c r="AZ263" s="3">
        <f t="shared" si="206"/>
        <v>1</v>
      </c>
      <c r="BA263" s="3">
        <f>IF(ISERROR(LEN(VLOOKUP(A263,Seqs!A:E,2,FALSE))-AL263),"-",LEN(VLOOKUP(A263,Seqs!A:E,2,FALSE))-AL263)</f>
        <v>35</v>
      </c>
      <c r="BB263" s="16">
        <f t="shared" si="207"/>
        <v>28</v>
      </c>
      <c r="BC263" s="9">
        <f t="shared" si="208"/>
        <v>22</v>
      </c>
      <c r="BD263" s="3">
        <f t="shared" si="209"/>
        <v>28</v>
      </c>
      <c r="BE263" s="3">
        <f t="shared" si="210"/>
        <v>43</v>
      </c>
    </row>
    <row r="264" spans="1:58" s="3" customFormat="1" x14ac:dyDescent="0.2">
      <c r="A264" s="3" t="s">
        <v>192</v>
      </c>
      <c r="B264" s="3" t="str">
        <f>LOWER(VLOOKUP(A264,Xtal_Templ!A:B,2,FALSE))</f>
        <v>drd3_human</v>
      </c>
      <c r="C264" s="3">
        <f>VLOOKUP($A264,'SegEnds_NonXtal_BW#'!$A:$Z,3,FALSE)+D264-50</f>
        <v>26</v>
      </c>
      <c r="D264" s="3">
        <v>47</v>
      </c>
      <c r="E264" s="3">
        <f>IF(ISERROR(VLOOKUP($A264,'SegEnds_NonXtal_BW#'!$A:$Z,4,FALSE)+VLOOKUP($A264,A:AL,4,FALSE)-50),"-",(VLOOKUP($A264,'SegEnds_NonXtal_BW#'!$A:$Z,4,FALSE)+VLOOKUP($A264,A:AL,4,FALSE)-50))</f>
        <v>57</v>
      </c>
      <c r="F264" s="3">
        <f t="shared" si="190"/>
        <v>58</v>
      </c>
      <c r="G264" s="3">
        <v>60</v>
      </c>
      <c r="H264" s="3">
        <f t="shared" si="191"/>
        <v>61</v>
      </c>
      <c r="I264" s="3">
        <f t="shared" si="191"/>
        <v>62</v>
      </c>
      <c r="J264" s="3">
        <v>75</v>
      </c>
      <c r="K264" s="3">
        <f>VLOOKUP($A264,'SegEnds_NonXtal_BW#'!$A:$Z,8,FALSE)+VLOOKUP($A264,A:AL,10,FALSE)-50</f>
        <v>92</v>
      </c>
      <c r="L264" s="3">
        <f t="shared" si="193"/>
        <v>95</v>
      </c>
      <c r="M264" s="3">
        <v>96</v>
      </c>
      <c r="N264" s="3">
        <f t="shared" si="194"/>
        <v>98</v>
      </c>
      <c r="O264" s="3">
        <f t="shared" si="195"/>
        <v>99</v>
      </c>
      <c r="P264" s="3">
        <v>128</v>
      </c>
      <c r="Q264" s="3">
        <f>VLOOKUP($A264,'SegEnds_NonXtal_BW#'!$A:$Z,12,FALSE)+VLOOKUP($A264,A:AL,16,FALSE)-50</f>
        <v>134</v>
      </c>
      <c r="R264" s="3">
        <f>IF(ISERROR(VLOOKUP($A264,'SegEnds_NonXtal_BW#'!$A:$Z,13,FALSE)+VLOOKUP($A264,A:AL,19,FALSE)-50),"-",VLOOKUP($A264,'SegEnds_NonXtal_BW#'!$A:$Z,13,FALSE)+VLOOKUP($A264,A:AL,19,FALSE)-50)</f>
        <v>135</v>
      </c>
      <c r="S264" s="3">
        <v>135</v>
      </c>
      <c r="T264" s="100">
        <f>IF(ISERROR(VLOOKUP($A264,'SegEnds_NonXtal_BW#'!$A:$Z,14,FALSE)+VLOOKUP($A264,A:AL,19,FALSE)-50),"-",(VLOOKUP($A264,'SegEnds_NonXtal_BW#'!$A:$Z,14,FALSE)+VLOOKUP($A264,A:AL,19,FALSE)-50))</f>
        <v>143</v>
      </c>
      <c r="U264" s="9">
        <f>IF(ISERROR(VLOOKUP($A264,'SegEnds_NonXtal_BW#'!$A:$Z,15,FALSE)+VLOOKUP($A264,A:AL,22,FALSE)-50),"-",VLOOKUP($A264,'SegEnds_NonXtal_BW#'!$A:$Z,15,FALSE)+VLOOKUP($A264,A:AL,22,FALSE)-50)</f>
        <v>146</v>
      </c>
      <c r="V264" s="3">
        <v>158</v>
      </c>
      <c r="W264" s="3">
        <f>IF(ISERROR(VLOOKUP($A264,'SegEnds_NonXtal_BW#'!$A:$Z,16,FALSE)+VLOOKUP($A264,A:AL,22,FALSE)-50),"-",(VLOOKUP($A264,'SegEnds_NonXtal_BW#'!$A:$Z,16,FALSE)+VLOOKUP($A264,A:AL,22,FALSE)-50))</f>
        <v>171</v>
      </c>
      <c r="X264" s="3">
        <f>IF(ISERROR(VLOOKUP($A264,'SegEnds_NonXtal_BW#'!$A:$Z,17,FALSE)+VLOOKUP($A264,A:AL,25,FALSE)-50),"-",(VLOOKUP($A264,'SegEnds_NonXtal_BW#'!$A:$Z,17,FALSE)+VLOOKUP($A264,A:AL,25,FALSE)-50))</f>
        <v>181</v>
      </c>
      <c r="Y264" s="3">
        <v>181</v>
      </c>
      <c r="Z264" s="3">
        <f t="shared" si="167"/>
        <v>183</v>
      </c>
      <c r="AA264" s="3">
        <f>IF(ISERROR(VLOOKUP($A264,'SegEnds_NonXtal_BW#'!$A:$Z,19,FALSE)+VLOOKUP($A264,A:AL,28,FALSE)-50),"-",(VLOOKUP($A264,'SegEnds_NonXtal_BW#'!$A:$Z,19,FALSE)+VLOOKUP($A264,A:AL,28,FALSE)-50))</f>
        <v>185</v>
      </c>
      <c r="AB264" s="3">
        <v>200</v>
      </c>
      <c r="AC264" s="3">
        <f>IF(ISERROR((VLOOKUP($A264,'SegEnds_NonXtal_BW#'!$A:$Z,20,FALSE)+VLOOKUP($A264,A:AL,28,FALSE)-50)),"-",(VLOOKUP($A264,'SegEnds_NonXtal_BW#'!$A:$Z,20,FALSE)+VLOOKUP($A264,A:AL,28,FALSE)-50))</f>
        <v>226</v>
      </c>
      <c r="AD264" s="3">
        <f>IF(ISERROR(VLOOKUP($A264,'SegEnds_NonXtal_BW#'!$A:$Z,21,FALSE)+VLOOKUP($A264,A:AL,31,FALSE)-50),"-",(VLOOKUP($A264,'SegEnds_NonXtal_BW#'!$A:$Z,21,FALSE)+VLOOKUP($A264,A:AL,31,FALSE)-50))</f>
        <v>318</v>
      </c>
      <c r="AE264" s="3">
        <v>344</v>
      </c>
      <c r="AF264" s="3">
        <f>IF(ISERROR((VLOOKUP($A264,'SegEnds_NonXtal_BW#'!$A:$Z,22,FALSE)+VLOOKUP($A264,A:AL,31,FALSE)-50)),"-",(VLOOKUP($A264,'SegEnds_NonXtal_BW#'!$A:$Z,22,FALSE)+VLOOKUP($A264,A:AL,31,FALSE)-50))</f>
        <v>354</v>
      </c>
      <c r="AG264" s="3">
        <f>IF(ISERROR(VLOOKUP($A264,'SegEnds_NonXtal_BW#'!$A:$Z,23,FALSE)+VLOOKUP($A264,A:AL,34,FALSE)-50),"-",(VLOOKUP($A264,'SegEnds_NonXtal_BW#'!$A:$Z,23,FALSE)+VLOOKUP($A264,A:AL,34,FALSE)-50))</f>
        <v>361</v>
      </c>
      <c r="AH264" s="3">
        <v>380</v>
      </c>
      <c r="AI264" s="3">
        <f>IF(ISERROR((VLOOKUP($A264,'SegEnds_NonXtal_BW#'!$A:$Z,24,FALSE)+VLOOKUP($A264,A:AL,34,FALSE)-50)),"-",(VLOOKUP($A264,'SegEnds_NonXtal_BW#'!$A:$Z,24,FALSE)+VLOOKUP($A264,A:AL,34,FALSE)-50))</f>
        <v>386</v>
      </c>
      <c r="AJ264" s="3">
        <f>IF(ISERROR(VLOOKUP($A264,'SegEnds_NonXtal_BW#'!$A:$Z,25,FALSE)+VLOOKUP($A264,A:AL,37,FALSE)-50),"-",(VLOOKUP($A264,'SegEnds_NonXtal_BW#'!$A:$Z,25,FALSE)+VLOOKUP($A264,A:AL,37,FALSE)-50))</f>
        <v>387</v>
      </c>
      <c r="AK264" s="3">
        <v>390</v>
      </c>
      <c r="AL264" s="3">
        <f>IF(ISERROR((VLOOKUP($A264,'SegEnds_NonXtal_BW#'!$A:$Z,26,FALSE)+VLOOKUP($A264,A:AL,37,FALSE)-50)),"-",(VLOOKUP($A264,'SegEnds_NonXtal_BW#'!$A:$Z,26,FALSE)+VLOOKUP($A264,A:AL,37,FALSE)-50))</f>
        <v>399</v>
      </c>
      <c r="AM264" s="28" t="str">
        <f>VLOOKUP(A264,Classification!A:B,2,FALSE)</f>
        <v>A</v>
      </c>
      <c r="AN264" s="28" t="b">
        <f t="shared" si="211"/>
        <v>1</v>
      </c>
      <c r="AO264" s="3" t="str">
        <f>IF(ISERROR(MATCH(A264,'SegEnds_Xtal_Prot#'!B:B, 0)), "NoXtal", "Xtal")</f>
        <v>Xtal</v>
      </c>
      <c r="AP264" s="3">
        <f t="shared" si="196"/>
        <v>1</v>
      </c>
      <c r="AQ264" s="3">
        <f t="shared" si="197"/>
        <v>1</v>
      </c>
      <c r="AR264" s="3">
        <f t="shared" si="198"/>
        <v>3</v>
      </c>
      <c r="AS264" s="3">
        <f t="shared" si="199"/>
        <v>1</v>
      </c>
      <c r="AT264" s="3">
        <f t="shared" si="200"/>
        <v>1</v>
      </c>
      <c r="AU264" s="3">
        <f t="shared" si="201"/>
        <v>3</v>
      </c>
      <c r="AV264" s="3">
        <f t="shared" si="202"/>
        <v>10</v>
      </c>
      <c r="AW264" s="3">
        <f t="shared" si="203"/>
        <v>2</v>
      </c>
      <c r="AX264" s="3">
        <f t="shared" si="204"/>
        <v>92</v>
      </c>
      <c r="AY264" s="3">
        <f t="shared" si="205"/>
        <v>7</v>
      </c>
      <c r="AZ264" s="3">
        <f t="shared" si="206"/>
        <v>1</v>
      </c>
      <c r="BA264" s="3">
        <f>IF(ISERROR(LEN(VLOOKUP(A264,Seqs!A:E,2,FALSE))-AL264),"-",LEN(VLOOKUP(A264,Seqs!A:E,2,FALSE))-AL264)</f>
        <v>1</v>
      </c>
      <c r="BB264" s="16">
        <f t="shared" si="207"/>
        <v>28</v>
      </c>
      <c r="BC264" s="9">
        <f t="shared" si="208"/>
        <v>23</v>
      </c>
      <c r="BD264" s="3">
        <f t="shared" si="209"/>
        <v>28</v>
      </c>
      <c r="BE264" s="3">
        <f t="shared" si="210"/>
        <v>144</v>
      </c>
      <c r="BF264" s="3">
        <f>AH264-AE264</f>
        <v>36</v>
      </c>
    </row>
    <row r="265" spans="1:58" s="3" customFormat="1" x14ac:dyDescent="0.2">
      <c r="A265" s="3" t="s">
        <v>142</v>
      </c>
      <c r="B265" s="3" t="str">
        <f>LOWER(VLOOKUP(A265,Xtal_Templ!A:B,2,FALSE))</f>
        <v>fpr2_human</v>
      </c>
      <c r="C265" s="3">
        <f>VLOOKUP($A265,'SegEnds_NonXtal_BW#'!$A:$Z,3,FALSE)+D265-50</f>
        <v>51</v>
      </c>
      <c r="D265" s="3">
        <v>76</v>
      </c>
      <c r="E265" s="3">
        <f>IF(ISERROR(VLOOKUP($A265,'SegEnds_NonXtal_BW#'!$A:$Z,4,FALSE)+VLOOKUP($A265,A:AL,4,FALSE)-50),"-",(VLOOKUP($A265,'SegEnds_NonXtal_BW#'!$A:$Z,4,FALSE)+VLOOKUP($A265,A:AL,4,FALSE)-50))</f>
        <v>87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93</v>
      </c>
      <c r="J265" s="3">
        <v>106</v>
      </c>
      <c r="K265" s="3">
        <f>VLOOKUP($A265,'SegEnds_NonXtal_BW#'!$A:$Z,8,FALSE)+VLOOKUP($A265,A:AL,10,FALSE)-50</f>
        <v>122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128</v>
      </c>
      <c r="P265" s="3">
        <v>154</v>
      </c>
      <c r="Q265" s="3">
        <f>VLOOKUP($A265,'SegEnds_NonXtal_BW#'!$A:$Z,12,FALSE)+VLOOKUP($A265,A:AL,16,FALSE)-50</f>
        <v>160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162</v>
      </c>
      <c r="V265" s="3">
        <v>174</v>
      </c>
      <c r="W265" s="3">
        <f>IF(ISERROR(VLOOKUP($A265,'SegEnds_NonXtal_BW#'!$A:$Z,16,FALSE)+VLOOKUP($A265,A:AL,22,FALSE)-50),"-",(VLOOKUP($A265,'SegEnds_NonXtal_BW#'!$A:$Z,16,FALSE)+VLOOKUP($A265,A:AL,22,FALSE)-50))</f>
        <v>188</v>
      </c>
      <c r="X265" s="3">
        <f>IF(ISERROR(VLOOKUP($A265,'SegEnds_NonXtal_BW#'!$A:$Z,17,FALSE)+VLOOKUP($A265,A:AL,25,FALSE)-50),"-",(VLOOKUP($A265,'SegEnds_NonXtal_BW#'!$A:$Z,17,FALSE)+VLOOKUP($A265,A:AL,25,FALSE)-50))</f>
        <v>195</v>
      </c>
      <c r="Y265" s="3">
        <v>195</v>
      </c>
      <c r="Z265" s="3">
        <f t="shared" si="167"/>
        <v>197</v>
      </c>
      <c r="AA265" s="3">
        <f>IF(ISERROR(VLOOKUP($A265,'SegEnds_NonXtal_BW#'!$A:$Z,19,FALSE)+VLOOKUP($A265,A:AL,28,FALSE)-50),"-",(VLOOKUP($A265,'SegEnds_NonXtal_BW#'!$A:$Z,19,FALSE)+VLOOKUP($A265,A:AL,28,FALSE)-50))</f>
        <v>203</v>
      </c>
      <c r="AB265" s="3">
        <v>218</v>
      </c>
      <c r="AC265" s="3">
        <f>IF(ISERROR((VLOOKUP($A265,'SegEnds_NonXtal_BW#'!$A:$Z,20,FALSE)+VLOOKUP($A265,A:AL,28,FALSE)-50)),"-",(VLOOKUP($A265,'SegEnds_NonXtal_BW#'!$A:$Z,20,FALSE)+VLOOKUP($A265,A:AL,28,FALSE)-50))</f>
        <v>232</v>
      </c>
      <c r="AD265" s="3">
        <f>IF(ISERROR(VLOOKUP($A265,'SegEnds_NonXtal_BW#'!$A:$Z,21,FALSE)+VLOOKUP($A265,A:AL,31,FALSE)-50),"-",(VLOOKUP($A265,'SegEnds_NonXtal_BW#'!$A:$Z,21,FALSE)+VLOOKUP($A265,A:AL,31,FALSE)-50))</f>
        <v>239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275</v>
      </c>
      <c r="AH265" s="3">
        <v>301</v>
      </c>
      <c r="AI265" s="3">
        <f>IF(ISERROR((VLOOKUP($A265,'SegEnds_NonXtal_BW#'!$A:$Z,24,FALSE)+VLOOKUP($A265,A:AL,34,FALSE)-50)),"-",(VLOOKUP($A265,'SegEnds_NonXtal_BW#'!$A:$Z,24,FALSE)+VLOOKUP($A265,A:AL,34,FALSE)-50))</f>
        <v>307</v>
      </c>
      <c r="AJ265" s="3">
        <f>IF(ISERROR(VLOOKUP($A265,'SegEnds_NonXtal_BW#'!$A:$Z,25,FALSE)+VLOOKUP($A265,A:AL,37,FALSE)-50),"-",(VLOOKUP($A265,'SegEnds_NonXtal_BW#'!$A:$Z,25,FALSE)+VLOOKUP($A265,A:AL,37,FALSE)-50))</f>
        <v>308</v>
      </c>
      <c r="AK265" s="3">
        <v>311</v>
      </c>
      <c r="AL265" s="3">
        <f>IF(ISERROR((VLOOKUP($A265,'SegEnds_NonXtal_BW#'!$A:$Z,26,FALSE)+VLOOKUP($A265,A:AL,37,FALSE)-50)),"-",(VLOOKUP($A265,'SegEnds_NonXtal_BW#'!$A:$Z,26,FALSE)+VLOOKUP($A265,A:AL,37,FALSE)-50))</f>
        <v>319</v>
      </c>
      <c r="AM265" s="28" t="str">
        <f>VLOOKUP(A265,Classification!A:B,2,FALSE)</f>
        <v>A</v>
      </c>
      <c r="AN265" s="28" t="b">
        <f t="shared" si="211"/>
        <v>1</v>
      </c>
      <c r="AO265" s="3" t="str">
        <f>IF(ISERROR(MATCH(A265,'SegEnds_Xtal_Prot#'!B:B, 0)), "NoXtal", "Xtal")</f>
        <v>NoXtal</v>
      </c>
      <c r="AP265" s="3" t="str">
        <f t="shared" si="196"/>
        <v>-</v>
      </c>
      <c r="AQ265" s="3" t="str">
        <f t="shared" si="197"/>
        <v>-</v>
      </c>
      <c r="AR265" s="3" t="str">
        <f t="shared" si="198"/>
        <v>-</v>
      </c>
      <c r="AS265" s="3" t="str">
        <f t="shared" si="199"/>
        <v>-</v>
      </c>
      <c r="AT265" s="3" t="str">
        <f t="shared" si="200"/>
        <v>-</v>
      </c>
      <c r="AU265" s="3" t="str">
        <f t="shared" si="201"/>
        <v>-</v>
      </c>
      <c r="AV265" s="3">
        <f t="shared" si="202"/>
        <v>7</v>
      </c>
      <c r="AW265" s="3">
        <f t="shared" si="203"/>
        <v>6</v>
      </c>
      <c r="AX265" s="3">
        <f t="shared" si="204"/>
        <v>7</v>
      </c>
      <c r="AY265" s="3">
        <f t="shared" si="205"/>
        <v>6</v>
      </c>
      <c r="AZ265" s="3">
        <f t="shared" si="206"/>
        <v>1</v>
      </c>
      <c r="BA265" s="3">
        <f>IF(ISERROR(LEN(VLOOKUP(A265,Seqs!A:E,2,FALSE))-AL265),"-",LEN(VLOOKUP(A265,Seqs!A:E,2,FALSE))-AL265)</f>
        <v>17</v>
      </c>
      <c r="BB265" s="16">
        <f t="shared" si="207"/>
        <v>30</v>
      </c>
      <c r="BC265" s="9" t="str">
        <f t="shared" si="208"/>
        <v>-</v>
      </c>
      <c r="BD265" s="3">
        <f t="shared" si="209"/>
        <v>30</v>
      </c>
      <c r="BE265" s="3">
        <f t="shared" si="210"/>
        <v>37</v>
      </c>
      <c r="BF265" s="3">
        <f>AH265-AE265</f>
        <v>46</v>
      </c>
    </row>
    <row r="266" spans="1:58" s="3" customFormat="1" x14ac:dyDescent="0.2">
      <c r="A266" s="3" t="s">
        <v>144</v>
      </c>
      <c r="B266" s="3" t="str">
        <f>LOWER(VLOOKUP(A266,Xtal_Templ!A:B,2,FALSE))</f>
        <v>ccr7_human</v>
      </c>
      <c r="C266" s="3">
        <f>VLOOKUP($A266,'SegEnds_NonXtal_BW#'!$A:$Z,3,FALSE)+D266-50</f>
        <v>41</v>
      </c>
      <c r="D266" s="3">
        <v>62</v>
      </c>
      <c r="E266" s="3">
        <f>IF(ISERROR(VLOOKUP($A266,'SegEnds_NonXtal_BW#'!$A:$Z,4,FALSE)+VLOOKUP($A266,A:AL,4,FALSE)-50),"-",(VLOOKUP($A266,'SegEnds_NonXtal_BW#'!$A:$Z,4,FALSE)+VLOOKUP($A266,A:AL,4,FALSE)-50))</f>
        <v>72</v>
      </c>
      <c r="F266" s="3">
        <f>G266-2</f>
        <v>73</v>
      </c>
      <c r="G266" s="3">
        <v>75</v>
      </c>
      <c r="H266" s="3">
        <f t="shared" ref="H266:I268" si="212">G266+1</f>
        <v>76</v>
      </c>
      <c r="I266" s="3">
        <f t="shared" si="212"/>
        <v>77</v>
      </c>
      <c r="J266" s="3">
        <v>90</v>
      </c>
      <c r="K266" s="3">
        <f>VLOOKUP($A266,'SegEnds_NonXtal_BW#'!$A:$Z,8,FALSE)+VLOOKUP($A266,A:AL,10,FALSE)-50</f>
        <v>106</v>
      </c>
      <c r="L266" s="3">
        <f>IF(ISERROR(VLOOKUP($A266,'SegEnds_NonXtal_BW#'!$A:$Z,9,FALSE)+VLOOKUP($A266,A:AL,13,FALSE)-50),"-",(VLOOKUP($A266,'SegEnds_NonXtal_BW#'!$A:$Z,9,FALSE)+VLOOKUP($A266,A:AL,13,FALSE)-50))</f>
        <v>109</v>
      </c>
      <c r="M266" s="3">
        <v>110</v>
      </c>
      <c r="N266" s="3">
        <f>IF(ISERROR(VLOOKUP($A266,'SegEnds_NonXtal_BW#'!$A:$Z,10,FALSE)+VLOOKUP($A266,A:AL,13,FALSE)-50),"-",(VLOOKUP($A266,'SegEnds_NonXtal_BW#'!$A:$Z,10,FALSE)+VLOOKUP($A266,A:AL,13,FALSE)-50))</f>
        <v>112</v>
      </c>
      <c r="O266" s="3">
        <f>VLOOKUP($A266,'SegEnds_NonXtal_BW#'!$A:$Z,11,FALSE)+VLOOKUP($A266,A:AL,16,FALSE)-50</f>
        <v>113</v>
      </c>
      <c r="P266" s="3">
        <v>142</v>
      </c>
      <c r="Q266" s="3">
        <f>VLOOKUP($A266,'SegEnds_NonXtal_BW#'!$A:$Z,12,FALSE)+VLOOKUP($A266,A:AL,16,FALSE)-50</f>
        <v>148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157</v>
      </c>
      <c r="V266" s="3">
        <v>169</v>
      </c>
      <c r="W266" s="3">
        <f>IF(ISERROR(VLOOKUP($A266,'SegEnds_NonXtal_BW#'!$A:$Z,16,FALSE)+VLOOKUP($A266,A:AL,22,FALSE)-50),"-",(VLOOKUP($A266,'SegEnds_NonXtal_BW#'!$A:$Z,16,FALSE)+VLOOKUP($A266,A:AL,22,FALSE)-50))</f>
        <v>183</v>
      </c>
      <c r="X266" s="3">
        <f>IF(ISERROR(VLOOKUP($A266,'SegEnds_NonXtal_BW#'!$A:$Z,17,FALSE)+VLOOKUP($A266,A:AL,25,FALSE)-50),"-",(VLOOKUP($A266,'SegEnds_NonXtal_BW#'!$A:$Z,17,FALSE)+VLOOKUP($A266,A:AL,25,FALSE)-50))</f>
        <v>196</v>
      </c>
      <c r="Y266" s="3">
        <v>196</v>
      </c>
      <c r="Z266" s="3">
        <f t="shared" si="167"/>
        <v>198</v>
      </c>
      <c r="AA266" s="3">
        <f>IF(ISERROR(VLOOKUP($A266,'SegEnds_NonXtal_BW#'!$A:$Z,19,FALSE)+VLOOKUP($A266,A:AL,28,FALSE)-50),"-",(VLOOKUP($A266,'SegEnds_NonXtal_BW#'!$A:$Z,19,FALSE)+VLOOKUP($A266,A:AL,28,FALSE)-50))</f>
        <v>207</v>
      </c>
      <c r="AB266" s="3">
        <v>224</v>
      </c>
      <c r="AC266" s="3">
        <f>IF(ISERROR((VLOOKUP($A266,'SegEnds_NonXtal_BW#'!$A:$Z,20,FALSE)+VLOOKUP($A266,A:AL,28,FALSE)-50)),"-",(VLOOKUP($A266,'SegEnds_NonXtal_BW#'!$A:$Z,20,FALSE)+VLOOKUP($A266,A:AL,28,FALSE)-50))</f>
        <v>242</v>
      </c>
      <c r="AD266" s="3">
        <f>IF(ISERROR(VLOOKUP($A266,'SegEnds_NonXtal_BW#'!$A:$Z,21,FALSE)+VLOOKUP($A266,A:AL,31,FALSE)-50),"-",(VLOOKUP($A266,'SegEnds_NonXtal_BW#'!$A:$Z,21,FALSE)+VLOOKUP($A266,A:AL,31,FALSE)-50))</f>
        <v>247</v>
      </c>
      <c r="AE266" s="3">
        <v>267</v>
      </c>
      <c r="AF266" s="3">
        <f>IF(ISERROR((VLOOKUP($A266,'SegEnds_NonXtal_BW#'!$A:$Z,22,FALSE)+VLOOKUP($A266,A:AL,31,FALSE)-50)),"-",(VLOOKUP($A266,'SegEnds_NonXtal_BW#'!$A:$Z,22,FALSE)+VLOOKUP($A266,A:AL,31,FALSE)-50))</f>
        <v>281</v>
      </c>
      <c r="AG266" s="3">
        <f>IF(ISERROR(VLOOKUP($A266,'SegEnds_NonXtal_BW#'!$A:$Z,23,FALSE)+VLOOKUP($A266,A:AL,34,FALSE)-50),"-",(VLOOKUP($A266,'SegEnds_NonXtal_BW#'!$A:$Z,23,FALSE)+VLOOKUP($A266,A:AL,34,FALSE)-50))</f>
        <v>286</v>
      </c>
      <c r="AH266" s="3">
        <v>312</v>
      </c>
      <c r="AI266" s="3">
        <f>IF(ISERROR((VLOOKUP($A266,'SegEnds_NonXtal_BW#'!$A:$Z,24,FALSE)+VLOOKUP($A266,A:AL,34,FALSE)-50)),"-",(VLOOKUP($A266,'SegEnds_NonXtal_BW#'!$A:$Z,24,FALSE)+VLOOKUP($A266,A:AL,34,FALSE)-50))</f>
        <v>318</v>
      </c>
      <c r="AJ266" s="3">
        <f>IF(ISERROR(VLOOKUP($A266,'SegEnds_NonXtal_BW#'!$A:$Z,25,FALSE)+VLOOKUP($A266,A:AL,37,FALSE)-50),"-",(VLOOKUP($A266,'SegEnds_NonXtal_BW#'!$A:$Z,25,FALSE)+VLOOKUP($A266,A:AL,37,FALSE)-50))</f>
        <v>319</v>
      </c>
      <c r="AK266" s="3">
        <v>322</v>
      </c>
      <c r="AL266" s="3">
        <f>IF(ISERROR((VLOOKUP($A266,'SegEnds_NonXtal_BW#'!$A:$Z,26,FALSE)+VLOOKUP($A266,A:AL,37,FALSE)-50)),"-",(VLOOKUP($A266,'SegEnds_NonXtal_BW#'!$A:$Z,26,FALSE)+VLOOKUP($A266,A:AL,37,FALSE)-50))</f>
        <v>331</v>
      </c>
      <c r="AM266" s="28" t="str">
        <f>VLOOKUP(A266,Classification!A:B,2,FALSE)</f>
        <v>A</v>
      </c>
      <c r="AN266" s="28" t="b">
        <f t="shared" si="211"/>
        <v>1</v>
      </c>
      <c r="AO266" s="3" t="str">
        <f>IF(ISERROR(MATCH(A266,'SegEnds_Xtal_Prot#'!B:B, 0)), "NoXtal", "Xtal")</f>
        <v>NoXtal</v>
      </c>
      <c r="AP266" s="3">
        <f t="shared" si="196"/>
        <v>1</v>
      </c>
      <c r="AQ266" s="3">
        <f t="shared" si="197"/>
        <v>1</v>
      </c>
      <c r="AR266" s="3">
        <f t="shared" si="198"/>
        <v>3</v>
      </c>
      <c r="AS266" s="3">
        <f t="shared" si="199"/>
        <v>1</v>
      </c>
      <c r="AT266" s="3" t="str">
        <f t="shared" si="200"/>
        <v>-</v>
      </c>
      <c r="AU266" s="3" t="str">
        <f t="shared" si="201"/>
        <v>-</v>
      </c>
      <c r="AV266" s="3">
        <f t="shared" si="202"/>
        <v>13</v>
      </c>
      <c r="AW266" s="3">
        <f t="shared" si="203"/>
        <v>9</v>
      </c>
      <c r="AX266" s="3">
        <f t="shared" si="204"/>
        <v>5</v>
      </c>
      <c r="AY266" s="3">
        <f t="shared" si="205"/>
        <v>5</v>
      </c>
      <c r="AZ266" s="3">
        <f t="shared" si="206"/>
        <v>1</v>
      </c>
      <c r="BA266" s="3">
        <f>IF(ISERROR(LEN(VLOOKUP(A266,Seqs!A:E,2,FALSE))-AL266),"-",LEN(VLOOKUP(A266,Seqs!A:E,2,FALSE))-AL266)</f>
        <v>31</v>
      </c>
      <c r="BB266" s="16">
        <f t="shared" si="207"/>
        <v>28</v>
      </c>
      <c r="BC266" s="9" t="str">
        <f t="shared" si="208"/>
        <v>-</v>
      </c>
      <c r="BD266" s="3">
        <f t="shared" si="209"/>
        <v>28</v>
      </c>
      <c r="BE266" s="3">
        <f t="shared" si="210"/>
        <v>43</v>
      </c>
      <c r="BF266" s="3">
        <f>AH266-AE266</f>
        <v>45</v>
      </c>
    </row>
    <row r="267" spans="1:58" s="3" customFormat="1" x14ac:dyDescent="0.2">
      <c r="A267" s="3" t="s">
        <v>145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212"/>
        <v>73</v>
      </c>
      <c r="I267" s="3">
        <f t="shared" si="212"/>
        <v>74</v>
      </c>
      <c r="J267" s="3">
        <v>87</v>
      </c>
      <c r="K267" s="3">
        <f>VLOOKUP($A267,'SegEnds_NonXtal_BW#'!$A:$Z,8,FALSE)+VLOOKUP($A267,A:AL,10,FALSE)-50</f>
        <v>103</v>
      </c>
      <c r="L267" s="3">
        <f>IF(ISERROR(VLOOKUP($A267,'SegEnds_NonXtal_BW#'!$A:$Z,9,FALSE)+VLOOKUP($A267,A:AL,13,FALSE)-50),"-",(VLOOKUP($A267,'SegEnds_NonXtal_BW#'!$A:$Z,9,FALSE)+VLOOKUP($A267,A:AL,13,FALSE)-50))</f>
        <v>104</v>
      </c>
      <c r="M267" s="3">
        <v>105</v>
      </c>
      <c r="N267" s="3">
        <f>IF(ISERROR(VLOOKUP($A267,'SegEnds_NonXtal_BW#'!$A:$Z,10,FALSE)+VLOOKUP($A267,A:AL,13,FALSE)-50),"-",(VLOOKUP($A267,'SegEnds_NonXtal_BW#'!$A:$Z,10,FALSE)+VLOOKUP($A267,A:AL,13,FALSE)-50))</f>
        <v>107</v>
      </c>
      <c r="O267" s="3">
        <f>VLOOKUP($A267,'SegEnds_NonXtal_BW#'!$A:$Z,11,FALSE)+VLOOKUP($A267,A:AL,16,FALSE)-50</f>
        <v>108</v>
      </c>
      <c r="P267" s="3">
        <v>137</v>
      </c>
      <c r="Q267" s="3">
        <f>VLOOKUP($A267,'SegEnds_NonXtal_BW#'!$A:$Z,12,FALSE)+VLOOKUP($A267,A:AL,16,FALSE)-50</f>
        <v>143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150</v>
      </c>
      <c r="V267" s="3">
        <v>162</v>
      </c>
      <c r="W267" s="3">
        <f>IF(ISERROR(VLOOKUP($A267,'SegEnds_NonXtal_BW#'!$A:$Z,16,FALSE)+VLOOKUP($A267,A:AL,22,FALSE)-50),"-",(VLOOKUP($A267,'SegEnds_NonXtal_BW#'!$A:$Z,16,FALSE)+VLOOKUP($A267,A:AL,22,FALSE)-50))</f>
        <v>176</v>
      </c>
      <c r="X267" s="3">
        <f>IF(ISERROR(VLOOKUP($A267,'SegEnds_NonXtal_BW#'!$A:$Z,17,FALSE)+VLOOKUP($A267,A:AL,25,FALSE)-50),"-",(VLOOKUP($A267,'SegEnds_NonXtal_BW#'!$A:$Z,17,FALSE)+VLOOKUP($A267,A:AL,25,FALSE)-50))</f>
        <v>184</v>
      </c>
      <c r="Y267" s="3">
        <v>184</v>
      </c>
      <c r="Z267" s="3">
        <f t="shared" si="167"/>
        <v>186</v>
      </c>
      <c r="AA267" s="3">
        <f>IF(ISERROR(VLOOKUP($A267,'SegEnds_NonXtal_BW#'!$A:$Z,19,FALSE)+VLOOKUP($A267,A:AL,28,FALSE)-50),"-",(VLOOKUP($A267,'SegEnds_NonXtal_BW#'!$A:$Z,19,FALSE)+VLOOKUP($A267,A:AL,28,FALSE)-50))</f>
        <v>195</v>
      </c>
      <c r="AB267" s="3">
        <v>212</v>
      </c>
      <c r="AC267" s="3">
        <f>IF(ISERROR((VLOOKUP($A267,'SegEnds_NonXtal_BW#'!$A:$Z,20,FALSE)+VLOOKUP($A267,A:AL,28,FALSE)-50)),"-",(VLOOKUP($A267,'SegEnds_NonXtal_BW#'!$A:$Z,20,FALSE)+VLOOKUP($A267,A:AL,28,FALSE)-50))</f>
        <v>230</v>
      </c>
      <c r="AD267" s="3">
        <f>IF(ISERROR(VLOOKUP($A267,'SegEnds_NonXtal_BW#'!$A:$Z,21,FALSE)+VLOOKUP($A267,A:AL,31,FALSE)-50),"-",(VLOOKUP($A267,'SegEnds_NonXtal_BW#'!$A:$Z,21,FALSE)+VLOOKUP($A267,A:AL,31,FALSE)-50))</f>
        <v>235</v>
      </c>
      <c r="AE267" s="3">
        <v>255</v>
      </c>
      <c r="AF267" s="3">
        <f>IF(ISERROR((VLOOKUP($A267,'SegEnds_NonXtal_BW#'!$A:$Z,22,FALSE)+VLOOKUP($A267,A:AL,31,FALSE)-50)),"-",(VLOOKUP($A267,'SegEnds_NonXtal_BW#'!$A:$Z,22,FALSE)+VLOOKUP($A267,A:AL,31,FALSE)-50))</f>
        <v>269</v>
      </c>
      <c r="AG267" s="3">
        <f>IF(ISERROR(VLOOKUP($A267,'SegEnds_NonXtal_BW#'!$A:$Z,23,FALSE)+VLOOKUP($A267,A:AL,34,FALSE)-50),"-",(VLOOKUP($A267,'SegEnds_NonXtal_BW#'!$A:$Z,23,FALSE)+VLOOKUP($A267,A:AL,34,FALSE)-50))</f>
        <v>274</v>
      </c>
      <c r="AH267" s="3">
        <v>300</v>
      </c>
      <c r="AI267" s="3">
        <f>IF(ISERROR((VLOOKUP($A267,'SegEnds_NonXtal_BW#'!$A:$Z,24,FALSE)+VLOOKUP($A267,A:AL,34,FALSE)-50)),"-",(VLOOKUP($A267,'SegEnds_NonXtal_BW#'!$A:$Z,24,FALSE)+VLOOKUP($A267,A:AL,34,FALSE)-50))</f>
        <v>306</v>
      </c>
      <c r="AJ267" s="3">
        <f>IF(ISERROR(VLOOKUP($A267,'SegEnds_NonXtal_BW#'!$A:$Z,25,FALSE)+VLOOKUP($A267,A:AL,37,FALSE)-50),"-",(VLOOKUP($A267,'SegEnds_NonXtal_BW#'!$A:$Z,25,FALSE)+VLOOKUP($A267,A:AL,37,FALSE)-50))</f>
        <v>307</v>
      </c>
      <c r="AK267" s="3">
        <v>310</v>
      </c>
      <c r="AL267" s="3">
        <f>IF(ISERROR((VLOOKUP($A267,'SegEnds_NonXtal_BW#'!$A:$Z,26,FALSE)+VLOOKUP($A267,A:AL,37,FALSE)-50)),"-",(VLOOKUP($A267,'SegEnds_NonXtal_BW#'!$A:$Z,26,FALSE)+VLOOKUP($A267,A:AL,37,FALSE)-50))</f>
        <v>327</v>
      </c>
      <c r="AM267" s="28" t="str">
        <f>VLOOKUP(A267,Classification!A:B,2,FALSE)</f>
        <v>A</v>
      </c>
      <c r="AN267" s="28" t="b">
        <f t="shared" si="211"/>
        <v>1</v>
      </c>
      <c r="AO267" s="3" t="str">
        <f>IF(ISERROR(MATCH(A267,'SegEnds_Xtal_Prot#'!B:B, 0)), "NoXtal", "Xtal")</f>
        <v>NoXtal</v>
      </c>
      <c r="AP267" s="3">
        <f t="shared" si="196"/>
        <v>1</v>
      </c>
      <c r="AQ267" s="3">
        <f t="shared" si="197"/>
        <v>1</v>
      </c>
      <c r="AR267" s="3">
        <f t="shared" si="198"/>
        <v>1</v>
      </c>
      <c r="AS267" s="3">
        <f t="shared" si="199"/>
        <v>1</v>
      </c>
      <c r="AT267" s="3" t="str">
        <f t="shared" si="200"/>
        <v>-</v>
      </c>
      <c r="AU267" s="3" t="str">
        <f t="shared" si="201"/>
        <v>-</v>
      </c>
      <c r="AV267" s="3">
        <f t="shared" si="202"/>
        <v>8</v>
      </c>
      <c r="AW267" s="3">
        <f t="shared" si="203"/>
        <v>9</v>
      </c>
      <c r="AX267" s="3">
        <f t="shared" si="204"/>
        <v>5</v>
      </c>
      <c r="AY267" s="3">
        <f t="shared" si="205"/>
        <v>5</v>
      </c>
      <c r="AZ267" s="3">
        <f t="shared" si="206"/>
        <v>1</v>
      </c>
      <c r="BA267" s="3">
        <f>IF(ISERROR(LEN(VLOOKUP(A267,Seqs!A:E,2,FALSE))-AL267),"-",LEN(VLOOKUP(A267,Seqs!A:E,2,FALSE))-AL267)</f>
        <v>23</v>
      </c>
      <c r="BB267" s="16">
        <f t="shared" si="207"/>
        <v>28</v>
      </c>
      <c r="BC267" s="9" t="str">
        <f t="shared" si="208"/>
        <v>-</v>
      </c>
      <c r="BD267" s="3">
        <f t="shared" si="209"/>
        <v>28</v>
      </c>
      <c r="BE267" s="3">
        <f t="shared" si="210"/>
        <v>43</v>
      </c>
    </row>
    <row r="268" spans="1:58" s="3" customFormat="1" x14ac:dyDescent="0.2">
      <c r="A268" s="3" t="s">
        <v>169</v>
      </c>
      <c r="B268" s="3" t="str">
        <f>LOWER(VLOOKUP(A268,Xtal_Templ!A:B,2,FALSE))</f>
        <v>ccr7_human</v>
      </c>
      <c r="C268" s="3">
        <f>VLOOKUP($A268,'SegEnds_NonXtal_BW#'!$A:$Z,3,FALSE)+D268-50</f>
        <v>38</v>
      </c>
      <c r="D268" s="3">
        <v>59</v>
      </c>
      <c r="E268" s="3">
        <f>IF(ISERROR(VLOOKUP($A268,'SegEnds_NonXtal_BW#'!$A:$Z,4,FALSE)+VLOOKUP($A268,A:AL,4,FALSE)-50),"-",(VLOOKUP($A268,'SegEnds_NonXtal_BW#'!$A:$Z,4,FALSE)+VLOOKUP($A268,A:AL,4,FALSE)-50))</f>
        <v>69</v>
      </c>
      <c r="F268" s="3">
        <f>G268-2</f>
        <v>70</v>
      </c>
      <c r="G268" s="3">
        <v>72</v>
      </c>
      <c r="H268" s="3">
        <f t="shared" si="212"/>
        <v>73</v>
      </c>
      <c r="I268" s="3">
        <f t="shared" si="212"/>
        <v>74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105</v>
      </c>
      <c r="M268" s="3">
        <v>106</v>
      </c>
      <c r="N268" s="3">
        <f>M268+2</f>
        <v>108</v>
      </c>
      <c r="O268" s="3">
        <f>N268+1</f>
        <v>109</v>
      </c>
      <c r="P268" s="3">
        <v>138</v>
      </c>
      <c r="Q268" s="3">
        <f>VLOOKUP($A268,'SegEnds_NonXtal_BW#'!$A:$Z,12,FALSE)+VLOOKUP($A268,A:AL,16,FALSE)-50</f>
        <v>144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154</v>
      </c>
      <c r="V268" s="3">
        <v>166</v>
      </c>
      <c r="W268" s="3">
        <f>IF(ISERROR(VLOOKUP($A268,'SegEnds_NonXtal_BW#'!$A:$Z,16,FALSE)+VLOOKUP($A268,A:AL,22,FALSE)-50),"-",(VLOOKUP($A268,'SegEnds_NonXtal_BW#'!$A:$Z,16,FALSE)+VLOOKUP($A268,A:AL,22,FALSE)-50))</f>
        <v>180</v>
      </c>
      <c r="X268" s="3">
        <f>IF(ISERROR(VLOOKUP($A268,'SegEnds_NonXtal_BW#'!$A:$Z,17,FALSE)+VLOOKUP($A268,A:AL,25,FALSE)-50),"-",(VLOOKUP($A268,'SegEnds_NonXtal_BW#'!$A:$Z,17,FALSE)+VLOOKUP($A268,A:AL,25,FALSE)-50))</f>
        <v>191</v>
      </c>
      <c r="Y268" s="3">
        <v>191</v>
      </c>
      <c r="Z268" s="3">
        <f t="shared" si="167"/>
        <v>193</v>
      </c>
      <c r="AA268" s="3">
        <f>IF(ISERROR(VLOOKUP($A268,'SegEnds_NonXtal_BW#'!$A:$Z,19,FALSE)+VLOOKUP($A268,A:AL,28,FALSE)-50),"-",(VLOOKUP($A268,'SegEnds_NonXtal_BW#'!$A:$Z,19,FALSE)+VLOOKUP($A268,A:AL,28,FALSE)-50))</f>
        <v>202</v>
      </c>
      <c r="AB268" s="3">
        <v>219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262</v>
      </c>
      <c r="AF268" s="3">
        <f>IF(ISERROR((VLOOKUP($A268,'SegEnds_NonXtal_BW#'!$A:$Z,22,FALSE)+VLOOKUP($A268,A:AL,31,FALSE)-50)),"-",(VLOOKUP($A268,'SegEnds_NonXtal_BW#'!$A:$Z,22,FALSE)+VLOOKUP($A268,A:AL,31,FALSE)-50))</f>
        <v>277</v>
      </c>
      <c r="AG268" s="3">
        <f>IF(ISERROR(VLOOKUP($A268,'SegEnds_NonXtal_BW#'!$A:$Z,23,FALSE)+VLOOKUP($A268,A:AL,34,FALSE)-50),"-",(VLOOKUP($A268,'SegEnds_NonXtal_BW#'!$A:$Z,23,FALSE)+VLOOKUP($A268,A:AL,34,FALSE)-50))</f>
        <v>281</v>
      </c>
      <c r="AH268" s="3">
        <v>307</v>
      </c>
      <c r="AI268" s="3">
        <f>IF(ISERROR((VLOOKUP($A268,'SegEnds_NonXtal_BW#'!$A:$Z,24,FALSE)+VLOOKUP($A268,A:AL,34,FALSE)-50)),"-",(VLOOKUP($A268,'SegEnds_NonXtal_BW#'!$A:$Z,24,FALSE)+VLOOKUP($A268,A:AL,34,FALSE)-50))</f>
        <v>313</v>
      </c>
      <c r="AJ268" s="3">
        <f>IF(ISERROR(VLOOKUP($A268,'SegEnds_NonXtal_BW#'!$A:$Z,25,FALSE)+VLOOKUP($A268,A:AL,37,FALSE)-50),"-",(VLOOKUP($A268,'SegEnds_NonXtal_BW#'!$A:$Z,25,FALSE)+VLOOKUP($A268,A:AL,37,FALSE)-50))</f>
        <v>314</v>
      </c>
      <c r="AK268" s="3">
        <v>317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211"/>
        <v>1</v>
      </c>
      <c r="AO268" s="3" t="str">
        <f>IF(ISERROR(MATCH(A268,'SegEnds_Xtal_Prot#'!B:B, 0)), "NoXtal", "Xtal")</f>
        <v>NoXtal</v>
      </c>
      <c r="AP268" s="3">
        <f t="shared" si="196"/>
        <v>1</v>
      </c>
      <c r="AQ268" s="3">
        <f t="shared" si="197"/>
        <v>1</v>
      </c>
      <c r="AR268" s="3">
        <f t="shared" si="198"/>
        <v>1</v>
      </c>
      <c r="AS268" s="3">
        <f t="shared" si="199"/>
        <v>1</v>
      </c>
      <c r="AT268" s="3" t="str">
        <f t="shared" si="200"/>
        <v>-</v>
      </c>
      <c r="AU268" s="3" t="str">
        <f t="shared" si="201"/>
        <v>-</v>
      </c>
      <c r="AV268" s="3">
        <f t="shared" si="202"/>
        <v>11</v>
      </c>
      <c r="AW268" s="3">
        <f t="shared" si="203"/>
        <v>9</v>
      </c>
      <c r="AX268" s="3">
        <f t="shared" si="204"/>
        <v>5</v>
      </c>
      <c r="AY268" s="3">
        <f t="shared" si="205"/>
        <v>4</v>
      </c>
      <c r="AZ268" s="3">
        <f t="shared" si="206"/>
        <v>1</v>
      </c>
      <c r="BA268" s="3">
        <f>IF(ISERROR(LEN(VLOOKUP(A268,Seqs!A:E,2,FALSE))-AL268),"-",LEN(VLOOKUP(A268,Seqs!A:E,2,FALSE))-AL268)</f>
        <v>36</v>
      </c>
      <c r="BB268" s="16">
        <f t="shared" si="207"/>
        <v>29</v>
      </c>
      <c r="BC268" s="9" t="str">
        <f t="shared" si="208"/>
        <v>-</v>
      </c>
      <c r="BD268" s="3">
        <f t="shared" si="209"/>
        <v>29</v>
      </c>
      <c r="BE268" s="3">
        <f t="shared" si="210"/>
        <v>43</v>
      </c>
    </row>
    <row r="269" spans="1:58" s="3" customFormat="1" x14ac:dyDescent="0.2">
      <c r="A269" s="3" t="s">
        <v>213</v>
      </c>
      <c r="B269" s="3" t="str">
        <f>LOWER(VLOOKUP(A269,Xtal_Templ!A:B,2,FALSE))</f>
        <v>p2ry1_human</v>
      </c>
      <c r="C269" s="3">
        <f>VLOOKUP($A269,'SegEnds_NonXtal_BW#'!$A:$Z,3,FALSE)+D269-50</f>
        <v>40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75</v>
      </c>
      <c r="J269" s="3">
        <v>88</v>
      </c>
      <c r="K269" s="3">
        <f>VLOOKUP($A269,'SegEnds_NonXtal_BW#'!$A:$Z,8,FALSE)+VLOOKUP($A269,A:AL,10,FALSE)-50</f>
        <v>104</v>
      </c>
      <c r="L269" s="3">
        <f>M269-1</f>
        <v>107</v>
      </c>
      <c r="M269" s="3">
        <v>108</v>
      </c>
      <c r="N269" s="3">
        <f>M269+2</f>
        <v>110</v>
      </c>
      <c r="O269" s="3">
        <f>N269+1</f>
        <v>111</v>
      </c>
      <c r="P269" s="3">
        <v>140</v>
      </c>
      <c r="Q269" s="3">
        <f>VLOOKUP($A269,'SegEnds_NonXtal_BW#'!$A:$Z,12,FALSE)+VLOOKUP($A269,A:AL,16,FALSE)-50</f>
        <v>146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155</v>
      </c>
      <c r="V269" s="3">
        <v>167</v>
      </c>
      <c r="W269" s="3">
        <f>IF(ISERROR(VLOOKUP($A269,'SegEnds_NonXtal_BW#'!$A:$Z,16,FALSE)+VLOOKUP($A269,A:AL,22,FALSE)-50),"-",(VLOOKUP($A269,'SegEnds_NonXtal_BW#'!$A:$Z,16,FALSE)+VLOOKUP($A269,A:AL,22,FALSE)-50))</f>
        <v>181</v>
      </c>
      <c r="X269" s="3">
        <f>IF(ISERROR(VLOOKUP($A269,'SegEnds_NonXtal_BW#'!$A:$Z,17,FALSE)+VLOOKUP($A269,A:AL,25,FALSE)-50),"-",(VLOOKUP($A269,'SegEnds_NonXtal_BW#'!$A:$Z,17,FALSE)+VLOOKUP($A269,A:AL,25,FALSE)-50))</f>
        <v>186</v>
      </c>
      <c r="Y269" s="3">
        <v>186</v>
      </c>
      <c r="Z269" s="3">
        <f t="shared" si="167"/>
        <v>188</v>
      </c>
      <c r="AA269" s="3">
        <f>IF(ISERROR(VLOOKUP($A269,'SegEnds_NonXtal_BW#'!$A:$Z,19,FALSE)+VLOOKUP($A269,A:AL,28,FALSE)-50),"-",(VLOOKUP($A269,'SegEnds_NonXtal_BW#'!$A:$Z,19,FALSE)+VLOOKUP($A269,A:AL,28,FALSE)-50))</f>
        <v>193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228</v>
      </c>
      <c r="AD269" s="3">
        <f>IF(ISERROR(VLOOKUP($A269,'SegEnds_NonXtal_BW#'!$A:$Z,21,FALSE)+VLOOKUP($A269,A:AL,31,FALSE)-50),"-",(VLOOKUP($A269,'SegEnds_NonXtal_BW#'!$A:$Z,21,FALSE)+VLOOKUP($A269,A:AL,31,FALSE)-50))</f>
        <v>233</v>
      </c>
      <c r="AE269" s="3">
        <v>257</v>
      </c>
      <c r="AF269" s="3">
        <f>IF(ISERROR((VLOOKUP($A269,'SegEnds_NonXtal_BW#'!$A:$Z,22,FALSE)+VLOOKUP($A269,A:AL,31,FALSE)-50)),"-",(VLOOKUP($A269,'SegEnds_NonXtal_BW#'!$A:$Z,22,FALSE)+VLOOKUP($A269,A:AL,31,FALSE)-50))</f>
        <v>271</v>
      </c>
      <c r="AG269" s="3">
        <f>IF(ISERROR(VLOOKUP($A269,'SegEnds_NonXtal_BW#'!$A:$Z,23,FALSE)+VLOOKUP($A269,A:AL,34,FALSE)-50),"-",(VLOOKUP($A269,'SegEnds_NonXtal_BW#'!$A:$Z,23,FALSE)+VLOOKUP($A269,A:AL,34,FALSE)-50))</f>
        <v>279</v>
      </c>
      <c r="AH269" s="3">
        <v>305</v>
      </c>
      <c r="AI269" s="3">
        <f>IF(ISERROR((VLOOKUP($A269,'SegEnds_NonXtal_BW#'!$A:$Z,24,FALSE)+VLOOKUP($A269,A:AL,34,FALSE)-50)),"-",(VLOOKUP($A269,'SegEnds_NonXtal_BW#'!$A:$Z,24,FALSE)+VLOOKUP($A269,A:AL,34,FALSE)-50))</f>
        <v>311</v>
      </c>
      <c r="AJ269" s="3">
        <f>IF(ISERROR(VLOOKUP($A269,'SegEnds_NonXtal_BW#'!$A:$Z,25,FALSE)+VLOOKUP($A269,A:AL,37,FALSE)-50),"-",(VLOOKUP($A269,'SegEnds_NonXtal_BW#'!$A:$Z,25,FALSE)+VLOOKUP($A269,A:AL,37,FALSE)-50))</f>
        <v>312</v>
      </c>
      <c r="AK269" s="3">
        <v>315</v>
      </c>
      <c r="AL269" s="3">
        <f>IF(ISERROR((VLOOKUP($A269,'SegEnds_NonXtal_BW#'!$A:$Z,26,FALSE)+VLOOKUP($A269,A:AL,37,FALSE)-50)),"-",(VLOOKUP($A269,'SegEnds_NonXtal_BW#'!$A:$Z,26,FALSE)+VLOOKUP($A269,A:AL,37,FALSE)-50))</f>
        <v>324</v>
      </c>
      <c r="AM269" s="28" t="str">
        <f>VLOOKUP(A269,Classification!A:B,2,FALSE)</f>
        <v>A</v>
      </c>
      <c r="AN269" s="28" t="b">
        <f t="shared" si="211"/>
        <v>1</v>
      </c>
      <c r="AO269" s="3" t="str">
        <f>IF(ISERROR(MATCH(A269,'SegEnds_Xtal_Prot#'!B:B, 0)), "NoXtal", "Xtal")</f>
        <v>NoXtal</v>
      </c>
      <c r="AP269" s="3" t="str">
        <f t="shared" si="196"/>
        <v>-</v>
      </c>
      <c r="AQ269" s="3" t="str">
        <f t="shared" si="197"/>
        <v>-</v>
      </c>
      <c r="AR269" s="3">
        <f t="shared" si="198"/>
        <v>3</v>
      </c>
      <c r="AS269" s="3">
        <f t="shared" si="199"/>
        <v>1</v>
      </c>
      <c r="AT269" s="3" t="str">
        <f t="shared" si="200"/>
        <v>-</v>
      </c>
      <c r="AU269" s="3" t="str">
        <f t="shared" si="201"/>
        <v>-</v>
      </c>
      <c r="AV269" s="3">
        <f t="shared" si="202"/>
        <v>5</v>
      </c>
      <c r="AW269" s="3">
        <f t="shared" si="203"/>
        <v>5</v>
      </c>
      <c r="AX269" s="3">
        <f t="shared" si="204"/>
        <v>5</v>
      </c>
      <c r="AY269" s="3">
        <f t="shared" si="205"/>
        <v>8</v>
      </c>
      <c r="AZ269" s="3">
        <f t="shared" si="206"/>
        <v>1</v>
      </c>
      <c r="BA269" s="3">
        <f>IF(ISERROR(LEN(VLOOKUP(A269,Seqs!A:E,2,FALSE))-AL269),"-",LEN(VLOOKUP(A269,Seqs!A:E,2,FALSE))-AL269)</f>
        <v>56</v>
      </c>
      <c r="BB269" s="16">
        <f t="shared" si="207"/>
        <v>28</v>
      </c>
      <c r="BC269" s="9" t="str">
        <f t="shared" si="208"/>
        <v>-</v>
      </c>
      <c r="BD269" s="3">
        <f t="shared" si="209"/>
        <v>28</v>
      </c>
      <c r="BE269" s="3">
        <f t="shared" si="210"/>
        <v>46</v>
      </c>
    </row>
    <row r="270" spans="1:58" s="3" customFormat="1" x14ac:dyDescent="0.2">
      <c r="A270" s="3" t="s">
        <v>214</v>
      </c>
      <c r="B270" s="3" t="str">
        <f>LOWER(VLOOKUP(A270,Xtal_Templ!A:B,2,FALSE))</f>
        <v>mtr1a_human</v>
      </c>
      <c r="C270" s="3">
        <f>VLOOKUP($A270,'SegEnds_NonXtal_BW#'!$A:$Z,3,FALSE)+D270-50</f>
        <v>99</v>
      </c>
      <c r="D270" s="3">
        <v>121</v>
      </c>
      <c r="E270" s="3">
        <f>IF(ISERROR(VLOOKUP($A270,'SegEnds_NonXtal_BW#'!$A:$Z,4,FALSE)+VLOOKUP($A270,A:AL,4,FALSE)-50),"-",(VLOOKUP($A270,'SegEnds_NonXtal_BW#'!$A:$Z,4,FALSE)+VLOOKUP($A270,A:AL,4,FALSE)-50))</f>
        <v>131</v>
      </c>
      <c r="F270" s="3">
        <f>G270-2</f>
        <v>132</v>
      </c>
      <c r="G270" s="3">
        <v>134</v>
      </c>
      <c r="H270" s="3">
        <f>G270+1</f>
        <v>135</v>
      </c>
      <c r="I270" s="3">
        <f>H270+1</f>
        <v>136</v>
      </c>
      <c r="J270" s="3">
        <v>149</v>
      </c>
      <c r="K270" s="3">
        <f>VLOOKUP($A270,'SegEnds_NonXtal_BW#'!$A:$Z,8,FALSE)+VLOOKUP($A270,A:AL,10,FALSE)-50</f>
        <v>167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177</v>
      </c>
      <c r="P270" s="3">
        <v>209</v>
      </c>
      <c r="Q270" s="3">
        <f>VLOOKUP($A270,'SegEnds_NonXtal_BW#'!$A:$Z,12,FALSE)+VLOOKUP($A270,A:AL,16,FALSE)-50</f>
        <v>215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222</v>
      </c>
      <c r="V270" s="3">
        <v>234</v>
      </c>
      <c r="W270" s="3">
        <f>IF(ISERROR(VLOOKUP($A270,'SegEnds_NonXtal_BW#'!$A:$Z,16,FALSE)+VLOOKUP($A270,A:AL,22,FALSE)-50),"-",(VLOOKUP($A270,'SegEnds_NonXtal_BW#'!$A:$Z,16,FALSE)+VLOOKUP($A270,A:AL,22,FALSE)-50))</f>
        <v>248</v>
      </c>
      <c r="X270" s="3">
        <f>IF(ISERROR(VLOOKUP($A270,'SegEnds_NonXtal_BW#'!$A:$Z,17,FALSE)+VLOOKUP($A270,A:AL,25,FALSE)-50),"-",(VLOOKUP($A270,'SegEnds_NonXtal_BW#'!$A:$Z,17,FALSE)+VLOOKUP($A270,A:AL,25,FALSE)-50))</f>
        <v>262</v>
      </c>
      <c r="Y270" s="3">
        <v>262</v>
      </c>
      <c r="Z270" s="3">
        <f t="shared" si="167"/>
        <v>264</v>
      </c>
      <c r="AA270" s="3">
        <f>IF(ISERROR(VLOOKUP($A270,'SegEnds_NonXtal_BW#'!$A:$Z,19,FALSE)+VLOOKUP($A270,A:AL,28,FALSE)-50),"-",(VLOOKUP($A270,'SegEnds_NonXtal_BW#'!$A:$Z,19,FALSE)+VLOOKUP($A270,A:AL,28,FALSE)-50))</f>
        <v>274</v>
      </c>
      <c r="AB270" s="3">
        <v>289</v>
      </c>
      <c r="AC270" s="3">
        <f>IF(ISERROR((VLOOKUP($A270,'SegEnds_NonXtal_BW#'!$A:$Z,20,FALSE)+VLOOKUP($A270,A:AL,28,FALSE)-50)),"-",(VLOOKUP($A270,'SegEnds_NonXtal_BW#'!$A:$Z,20,FALSE)+VLOOKUP($A270,A:AL,28,FALSE)-50))</f>
        <v>312</v>
      </c>
      <c r="AD270" s="3">
        <f>IF(ISERROR(VLOOKUP($A270,'SegEnds_NonXtal_BW#'!$A:$Z,21,FALSE)+VLOOKUP($A270,A:AL,31,FALSE)-50),"-",(VLOOKUP($A270,'SegEnds_NonXtal_BW#'!$A:$Z,21,FALSE)+VLOOKUP($A270,A:AL,31,FALSE)-50))</f>
        <v>318</v>
      </c>
      <c r="AE270" s="3">
        <v>346</v>
      </c>
      <c r="AF270" s="3">
        <f>IF(ISERROR((VLOOKUP($A270,'SegEnds_NonXtal_BW#'!$A:$Z,22,FALSE)+VLOOKUP($A270,A:AL,31,FALSE)-50)),"-",(VLOOKUP($A270,'SegEnds_NonXtal_BW#'!$A:$Z,22,FALSE)+VLOOKUP($A270,A:AL,31,FALSE)-50))</f>
        <v>357</v>
      </c>
      <c r="AG270" s="3">
        <f>IF(ISERROR(VLOOKUP($A270,'SegEnds_NonXtal_BW#'!$A:$Z,23,FALSE)+VLOOKUP($A270,A:AL,34,FALSE)-50),"-",(VLOOKUP($A270,'SegEnds_NonXtal_BW#'!$A:$Z,23,FALSE)+VLOOKUP($A270,A:AL,34,FALSE)-50))</f>
        <v>365</v>
      </c>
      <c r="AH270" s="3">
        <v>384</v>
      </c>
      <c r="AI270" s="3">
        <f>IF(ISERROR((VLOOKUP($A270,'SegEnds_NonXtal_BW#'!$A:$Z,24,FALSE)+VLOOKUP($A270,A:AL,34,FALSE)-50)),"-",(VLOOKUP($A270,'SegEnds_NonXtal_BW#'!$A:$Z,24,FALSE)+VLOOKUP($A270,A:AL,34,FALSE)-50))</f>
        <v>390</v>
      </c>
      <c r="AJ270" s="3">
        <f>IF(ISERROR(VLOOKUP($A270,'SegEnds_NonXtal_BW#'!$A:$Z,25,FALSE)+VLOOKUP($A270,A:AL,37,FALSE)-50),"-",(VLOOKUP($A270,'SegEnds_NonXtal_BW#'!$A:$Z,25,FALSE)+VLOOKUP($A270,A:AL,37,FALSE)-50))</f>
        <v>391</v>
      </c>
      <c r="AK270" s="3">
        <v>394</v>
      </c>
      <c r="AL270" s="3">
        <f>IF(ISERROR((VLOOKUP($A270,'SegEnds_NonXtal_BW#'!$A:$Z,26,FALSE)+VLOOKUP($A270,A:AL,37,FALSE)-50)),"-",(VLOOKUP($A270,'SegEnds_NonXtal_BW#'!$A:$Z,26,FALSE)+VLOOKUP($A270,A:AL,37,FALSE)-50))</f>
        <v>407</v>
      </c>
      <c r="AM270" s="28" t="str">
        <f>VLOOKUP(A270,Classification!A:B,2,FALSE)</f>
        <v>A</v>
      </c>
      <c r="AN270" s="28" t="b">
        <f t="shared" si="211"/>
        <v>1</v>
      </c>
      <c r="AO270" s="3" t="str">
        <f>IF(ISERROR(MATCH(A270,'SegEnds_Xtal_Prot#'!B:B, 0)), "NoXtal", "Xtal")</f>
        <v>NoXtal</v>
      </c>
      <c r="AP270" s="3">
        <f t="shared" si="196"/>
        <v>1</v>
      </c>
      <c r="AQ270" s="3">
        <f t="shared" si="197"/>
        <v>1</v>
      </c>
      <c r="AR270" s="3" t="str">
        <f t="shared" si="198"/>
        <v>-</v>
      </c>
      <c r="AS270" s="3" t="str">
        <f t="shared" si="199"/>
        <v>-</v>
      </c>
      <c r="AT270" s="3" t="str">
        <f t="shared" si="200"/>
        <v>-</v>
      </c>
      <c r="AU270" s="3" t="str">
        <f t="shared" si="201"/>
        <v>-</v>
      </c>
      <c r="AV270" s="3">
        <f t="shared" si="202"/>
        <v>14</v>
      </c>
      <c r="AW270" s="3">
        <f t="shared" si="203"/>
        <v>10</v>
      </c>
      <c r="AX270" s="3">
        <f t="shared" si="204"/>
        <v>6</v>
      </c>
      <c r="AY270" s="3">
        <f t="shared" si="205"/>
        <v>8</v>
      </c>
      <c r="AZ270" s="3">
        <f t="shared" si="206"/>
        <v>1</v>
      </c>
      <c r="BA270" s="3">
        <f>IF(ISERROR(LEN(VLOOKUP(A270,Seqs!A:E,2,FALSE))-AL270),"-",LEN(VLOOKUP(A270,Seqs!A:E,2,FALSE))-AL270)</f>
        <v>87</v>
      </c>
      <c r="BB270" s="16">
        <f t="shared" si="207"/>
        <v>28</v>
      </c>
      <c r="BC270" s="9" t="str">
        <f t="shared" si="208"/>
        <v>-</v>
      </c>
      <c r="BD270" s="3">
        <f t="shared" si="209"/>
        <v>28</v>
      </c>
      <c r="BE270" s="3">
        <f t="shared" si="210"/>
        <v>57</v>
      </c>
    </row>
    <row r="271" spans="1:58" s="3" customFormat="1" x14ac:dyDescent="0.2">
      <c r="A271" s="3" t="s">
        <v>218</v>
      </c>
      <c r="B271" s="3" t="str">
        <f>LOWER(VLOOKUP(A271,Xtal_Templ!A:B,2,FALSE))</f>
        <v>ccr6_human</v>
      </c>
      <c r="C271" s="3">
        <f>VLOOKUP($A271,'SegEnds_NonXtal_BW#'!$A:$Z,3,FALSE)+D271-50</f>
        <v>20</v>
      </c>
      <c r="D271" s="3">
        <v>45</v>
      </c>
      <c r="E271" s="3">
        <f>IF(ISERROR(VLOOKUP($A271,'SegEnds_NonXtal_BW#'!$A:$Z,4,FALSE)+VLOOKUP($A271,A:AL,4,FALSE)-50),"-",(VLOOKUP($A271,'SegEnds_NonXtal_BW#'!$A:$Z,4,FALSE)+VLOOKUP($A271,A:AL,4,FALSE)-50))</f>
        <v>55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65</v>
      </c>
      <c r="J271" s="3">
        <v>78</v>
      </c>
      <c r="K271" s="3">
        <f>VLOOKUP($A271,'SegEnds_NonXtal_BW#'!$A:$Z,8,FALSE)+VLOOKUP($A271,A:AL,10,FALSE)-50</f>
        <v>91</v>
      </c>
      <c r="L271" s="3">
        <f>M271-1</f>
        <v>94</v>
      </c>
      <c r="M271" s="3">
        <v>95</v>
      </c>
      <c r="N271" s="3">
        <f>M271+2</f>
        <v>97</v>
      </c>
      <c r="O271" s="3">
        <f>N271+1</f>
        <v>98</v>
      </c>
      <c r="P271" s="3">
        <v>127</v>
      </c>
      <c r="Q271" s="3">
        <f>VLOOKUP($A271,'SegEnds_NonXtal_BW#'!$A:$Z,12,FALSE)+VLOOKUP($A271,A:AL,16,FALSE)-50</f>
        <v>133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140</v>
      </c>
      <c r="V271" s="3">
        <v>152</v>
      </c>
      <c r="W271" s="3">
        <f>IF(ISERROR(VLOOKUP($A271,'SegEnds_NonXtal_BW#'!$A:$Z,16,FALSE)+VLOOKUP($A271,A:AL,22,FALSE)-50),"-",(VLOOKUP($A271,'SegEnds_NonXtal_BW#'!$A:$Z,16,FALSE)+VLOOKUP($A271,A:AL,22,FALSE)-50))</f>
        <v>166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180</v>
      </c>
      <c r="AB271" s="3">
        <v>199</v>
      </c>
      <c r="AC271" s="3">
        <f>IF(ISERROR((VLOOKUP($A271,'SegEnds_NonXtal_BW#'!$A:$Z,20,FALSE)+VLOOKUP($A271,A:AL,28,FALSE)-50)),"-",(VLOOKUP($A271,'SegEnds_NonXtal_BW#'!$A:$Z,20,FALSE)+VLOOKUP($A271,A:AL,28,FALSE)-50))</f>
        <v>217</v>
      </c>
      <c r="AD271" s="3">
        <f>IF(ISERROR(VLOOKUP($A271,'SegEnds_NonXtal_BW#'!$A:$Z,21,FALSE)+VLOOKUP($A271,A:AL,31,FALSE)-50),"-",(VLOOKUP($A271,'SegEnds_NonXtal_BW#'!$A:$Z,21,FALSE)+VLOOKUP($A271,A:AL,31,FALSE)-50))</f>
        <v>222</v>
      </c>
      <c r="AE271" s="3">
        <v>248</v>
      </c>
      <c r="AF271" s="3">
        <f>IF(ISERROR((VLOOKUP($A271,'SegEnds_NonXtal_BW#'!$A:$Z,22,FALSE)+VLOOKUP($A271,A:AL,31,FALSE)-50)),"-",(VLOOKUP($A271,'SegEnds_NonXtal_BW#'!$A:$Z,22,FALSE)+VLOOKUP($A271,A:AL,31,FALSE)-50))</f>
        <v>262</v>
      </c>
      <c r="AG271" s="3">
        <f>IF(ISERROR(VLOOKUP($A271,'SegEnds_NonXtal_BW#'!$A:$Z,23,FALSE)+VLOOKUP($A271,A:AL,34,FALSE)-50),"-",(VLOOKUP($A271,'SegEnds_NonXtal_BW#'!$A:$Z,23,FALSE)+VLOOKUP($A271,A:AL,34,FALSE)-50))</f>
        <v>267</v>
      </c>
      <c r="AH271" s="3">
        <v>293</v>
      </c>
      <c r="AI271" s="3">
        <f>IF(ISERROR((VLOOKUP($A271,'SegEnds_NonXtal_BW#'!$A:$Z,24,FALSE)+VLOOKUP($A271,A:AL,34,FALSE)-50)),"-",(VLOOKUP($A271,'SegEnds_NonXtal_BW#'!$A:$Z,24,FALSE)+VLOOKUP($A271,A:AL,34,FALSE)-50))</f>
        <v>299</v>
      </c>
      <c r="AJ271" s="3">
        <f>IF(ISERROR(VLOOKUP($A271,'SegEnds_NonXtal_BW#'!$A:$Z,25,FALSE)+VLOOKUP($A271,A:AL,37,FALSE)-50),"-",(VLOOKUP($A271,'SegEnds_NonXtal_BW#'!$A:$Z,25,FALSE)+VLOOKUP($A271,A:AL,37,FALSE)-50))</f>
        <v>300</v>
      </c>
      <c r="AK271" s="3">
        <v>303</v>
      </c>
      <c r="AL271" s="3">
        <f>IF(ISERROR((VLOOKUP($A271,'SegEnds_NonXtal_BW#'!$A:$Z,26,FALSE)+VLOOKUP($A271,A:AL,37,FALSE)-50)),"-",(VLOOKUP($A271,'SegEnds_NonXtal_BW#'!$A:$Z,26,FALSE)+VLOOKUP($A271,A:AL,37,FALSE)-50))</f>
        <v>315</v>
      </c>
      <c r="AM271" s="28" t="str">
        <f>VLOOKUP(A271,Classification!A:B,2,FALSE)</f>
        <v>A</v>
      </c>
      <c r="AN271" s="28" t="b">
        <f t="shared" si="211"/>
        <v>1</v>
      </c>
      <c r="AO271" s="3" t="str">
        <f>IF(ISERROR(MATCH(A271,'SegEnds_Xtal_Prot#'!B:B, 0)), "NoXtal", "Xtal")</f>
        <v>NoXtal</v>
      </c>
      <c r="AP271" s="3" t="str">
        <f t="shared" si="196"/>
        <v>-</v>
      </c>
      <c r="AQ271" s="3" t="str">
        <f t="shared" si="197"/>
        <v>-</v>
      </c>
      <c r="AR271" s="3">
        <f t="shared" si="198"/>
        <v>3</v>
      </c>
      <c r="AS271" s="3">
        <f t="shared" si="199"/>
        <v>1</v>
      </c>
      <c r="AT271" s="3" t="str">
        <f t="shared" si="200"/>
        <v>-</v>
      </c>
      <c r="AU271" s="3" t="str">
        <f t="shared" si="201"/>
        <v>-</v>
      </c>
      <c r="AV271" s="3" t="str">
        <f t="shared" si="202"/>
        <v>-</v>
      </c>
      <c r="AW271" s="3" t="str">
        <f t="shared" si="203"/>
        <v>-</v>
      </c>
      <c r="AX271" s="3">
        <f t="shared" si="204"/>
        <v>5</v>
      </c>
      <c r="AY271" s="3">
        <f t="shared" si="205"/>
        <v>5</v>
      </c>
      <c r="AZ271" s="3">
        <f t="shared" si="206"/>
        <v>1</v>
      </c>
      <c r="BA271" s="3">
        <f>IF(ISERROR(LEN(VLOOKUP(A271,Seqs!A:E,2,FALSE))-AL271),"-",LEN(VLOOKUP(A271,Seqs!A:E,2,FALSE))-AL271)</f>
        <v>18</v>
      </c>
      <c r="BB271" s="16">
        <f t="shared" si="207"/>
        <v>33</v>
      </c>
      <c r="BC271" s="9" t="str">
        <f t="shared" si="208"/>
        <v>-</v>
      </c>
      <c r="BD271" s="3">
        <f t="shared" si="209"/>
        <v>33</v>
      </c>
      <c r="BE271" s="3">
        <f t="shared" si="210"/>
        <v>49</v>
      </c>
      <c r="BF271" s="3">
        <f>AH271-AE271</f>
        <v>45</v>
      </c>
    </row>
    <row r="272" spans="1:58" s="3" customFormat="1" x14ac:dyDescent="0.2">
      <c r="A272" s="3" t="s">
        <v>220</v>
      </c>
      <c r="B272" s="3" t="str">
        <f>LOWER(VLOOKUP(A272,Xtal_Templ!A:B,2,FALSE))</f>
        <v>s1pr1_human</v>
      </c>
      <c r="C272" s="3">
        <f>VLOOKUP($A272,'SegEnds_NonXtal_BW#'!$A:$Z,3,FALSE)+D272-50</f>
        <v>12</v>
      </c>
      <c r="D272" s="3">
        <v>33</v>
      </c>
      <c r="E272" s="3">
        <f>IF(ISERROR(VLOOKUP($A272,'SegEnds_NonXtal_BW#'!$A:$Z,4,FALSE)+VLOOKUP($A272,A:AL,4,FALSE)-50),"-",(VLOOKUP($A272,'SegEnds_NonXtal_BW#'!$A:$Z,4,FALSE)+VLOOKUP($A272,A:AL,4,FALSE)-50))</f>
        <v>43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49</v>
      </c>
      <c r="J272" s="3">
        <v>62</v>
      </c>
      <c r="K272" s="3">
        <f>VLOOKUP($A272,'SegEnds_NonXtal_BW#'!$A:$Z,8,FALSE)+VLOOKUP($A272,A:AL,10,FALSE)-50</f>
        <v>79</v>
      </c>
      <c r="L272" s="3">
        <f>M272-1</f>
        <v>87</v>
      </c>
      <c r="M272" s="3">
        <v>88</v>
      </c>
      <c r="N272" s="3">
        <f>M272+2</f>
        <v>90</v>
      </c>
      <c r="O272" s="3">
        <f>N272+1</f>
        <v>91</v>
      </c>
      <c r="P272" s="3">
        <v>131</v>
      </c>
      <c r="Q272" s="3">
        <f>VLOOKUP($A272,'SegEnds_NonXtal_BW#'!$A:$Z,12,FALSE)+VLOOKUP($A272,A:AL,16,FALSE)-50</f>
        <v>137</v>
      </c>
      <c r="R272" s="3" t="str">
        <f>S272</f>
        <v>-</v>
      </c>
      <c r="S272" s="3" t="s">
        <v>23</v>
      </c>
      <c r="T272" s="100" t="s">
        <v>23</v>
      </c>
      <c r="U272" s="9">
        <f>IF(ISERROR(VLOOKUP($A272,'SegEnds_NonXtal_BW#'!$A:$Z,15,FALSE)+VLOOKUP($A272,A:AL,22,FALSE)-50),"-",VLOOKUP($A272,'SegEnds_NonXtal_BW#'!$A:$Z,15,FALSE)+VLOOKUP($A272,A:AL,22,FALSE)-50)</f>
        <v>146</v>
      </c>
      <c r="V272" s="3">
        <v>158</v>
      </c>
      <c r="W272" s="3">
        <f>IF(ISERROR(VLOOKUP($A272,'SegEnds_NonXtal_BW#'!$A:$Z,16,FALSE)+VLOOKUP($A272,A:AL,22,FALSE)-50),"-",(VLOOKUP($A272,'SegEnds_NonXtal_BW#'!$A:$Z,16,FALSE)+VLOOKUP($A272,A:AL,22,FALSE)-50))</f>
        <v>171</v>
      </c>
      <c r="X272" s="3" t="str">
        <f>IF(ISERROR(VLOOKUP($A272,'SegEnds_NonXtal_BW#'!$A:$Z,17,FALSE)+VLOOKUP($A272,A:AL,25,FALSE)-50),"-",(VLOOKUP($A272,'SegEnds_NonXtal_BW#'!$A:$Z,17,FALSE)+VLOOKUP($A272,A:AL,25,FALSE)-50))</f>
        <v>-</v>
      </c>
      <c r="Y272" s="3" t="s">
        <v>23</v>
      </c>
      <c r="Z272" s="3" t="str">
        <f>IF(ISERROR(VLOOKUP($A272,'SegEnds_NonXtal_BW#'!$A:$Z,18,FALSE)+VLOOKUP($A272,A:AL,25,FALSE)-50),"-",(VLOOKUP($A272,'SegEnds_NonXtal_BW#'!$A:$Z,18,FALSE)+VLOOKUP($A272,A:AL,25,FALSE)-50))</f>
        <v>-</v>
      </c>
      <c r="AA272" s="3">
        <f>IF(ISERROR(VLOOKUP($A272,'SegEnds_NonXtal_BW#'!$A:$Z,19,FALSE)+VLOOKUP($A272,A:AL,28,FALSE)-50),"-",(VLOOKUP($A272,'SegEnds_NonXtal_BW#'!$A:$Z,19,FALSE)+VLOOKUP($A272,A:AL,28,FALSE)-50))</f>
        <v>197</v>
      </c>
      <c r="AB272" s="3">
        <v>211</v>
      </c>
      <c r="AC272" s="3">
        <f>IF(ISERROR((VLOOKUP($A272,'SegEnds_NonXtal_BW#'!$A:$Z,20,FALSE)+VLOOKUP($A272,A:AL,28,FALSE)-50)),"-",(VLOOKUP($A272,'SegEnds_NonXtal_BW#'!$A:$Z,20,FALSE)+VLOOKUP($A272,A:AL,28,FALSE)-50))</f>
        <v>237</v>
      </c>
      <c r="AD272" s="3">
        <f>IF(ISERROR(VLOOKUP($A272,'SegEnds_NonXtal_BW#'!$A:$Z,21,FALSE)+VLOOKUP($A272,A:AL,31,FALSE)-50),"-",(VLOOKUP($A272,'SegEnds_NonXtal_BW#'!$A:$Z,21,FALSE)+VLOOKUP($A272,A:AL,31,FALSE)-50))</f>
        <v>299</v>
      </c>
      <c r="AE272" s="3">
        <v>325</v>
      </c>
      <c r="AF272" s="3">
        <f>IF(ISERROR((VLOOKUP($A272,'SegEnds_NonXtal_BW#'!$A:$Z,22,FALSE)+VLOOKUP($A272,A:AL,31,FALSE)-50)),"-",(VLOOKUP($A272,'SegEnds_NonXtal_BW#'!$A:$Z,22,FALSE)+VLOOKUP($A272,A:AL,31,FALSE)-50))</f>
        <v>336</v>
      </c>
      <c r="AG272" s="3">
        <f>IF(ISERROR(VLOOKUP($A272,'SegEnds_NonXtal_BW#'!$A:$Z,23,FALSE)+VLOOKUP($A272,A:AL,34,FALSE)-50),"-",(VLOOKUP($A272,'SegEnds_NonXtal_BW#'!$A:$Z,23,FALSE)+VLOOKUP($A272,A:AL,34,FALSE)-50))</f>
        <v>341</v>
      </c>
      <c r="AH272" s="3">
        <v>359</v>
      </c>
      <c r="AI272" s="3">
        <f>IF(ISERROR((VLOOKUP($A272,'SegEnds_NonXtal_BW#'!$A:$Z,24,FALSE)+VLOOKUP($A272,A:AL,34,FALSE)-50)),"-",(VLOOKUP($A272,'SegEnds_NonXtal_BW#'!$A:$Z,24,FALSE)+VLOOKUP($A272,A:AL,34,FALSE)-50))</f>
        <v>365</v>
      </c>
      <c r="AJ272" s="3">
        <f>IF(ISERROR(VLOOKUP($A272,'SegEnds_NonXtal_BW#'!$A:$Z,25,FALSE)+VLOOKUP($A272,A:AL,37,FALSE)-50),"-",(VLOOKUP($A272,'SegEnds_NonXtal_BW#'!$A:$Z,25,FALSE)+VLOOKUP($A272,A:AL,37,FALSE)-50))</f>
        <v>366</v>
      </c>
      <c r="AK272" s="3">
        <v>369</v>
      </c>
      <c r="AL272" s="3">
        <f>IF(ISERROR((VLOOKUP($A272,'SegEnds_NonXtal_BW#'!$A:$Z,26,FALSE)+VLOOKUP($A272,A:AL,37,FALSE)-50)),"-",(VLOOKUP($A272,'SegEnds_NonXtal_BW#'!$A:$Z,26,FALSE)+VLOOKUP($A272,A:AL,37,FALSE)-50))</f>
        <v>378</v>
      </c>
      <c r="AM272" s="28" t="str">
        <f>VLOOKUP(A272,Classification!A:B,2,FALSE)</f>
        <v>A</v>
      </c>
      <c r="AN272" s="28" t="b">
        <f t="shared" si="211"/>
        <v>1</v>
      </c>
      <c r="AO272" s="3" t="str">
        <f>IF(ISERROR(MATCH(A272,'SegEnds_Xtal_Prot#'!B:B, 0)), "NoXtal", "Xtal")</f>
        <v>NoXtal</v>
      </c>
      <c r="AP272" s="3" t="str">
        <f t="shared" si="196"/>
        <v>-</v>
      </c>
      <c r="AQ272" s="3" t="str">
        <f t="shared" si="197"/>
        <v>-</v>
      </c>
      <c r="AR272" s="3">
        <f t="shared" si="198"/>
        <v>8</v>
      </c>
      <c r="AS272" s="3">
        <f t="shared" si="199"/>
        <v>1</v>
      </c>
      <c r="AT272" s="3" t="str">
        <f t="shared" si="200"/>
        <v>-</v>
      </c>
      <c r="AU272" s="3" t="str">
        <f t="shared" si="201"/>
        <v>-</v>
      </c>
      <c r="AV272" s="3" t="str">
        <f t="shared" si="202"/>
        <v>-</v>
      </c>
      <c r="AW272" s="3" t="str">
        <f t="shared" si="203"/>
        <v>-</v>
      </c>
      <c r="AX272" s="3">
        <f t="shared" si="204"/>
        <v>62</v>
      </c>
      <c r="AY272" s="3">
        <f t="shared" si="205"/>
        <v>5</v>
      </c>
      <c r="AZ272" s="3">
        <f t="shared" si="206"/>
        <v>1</v>
      </c>
      <c r="BA272" s="3">
        <f>IF(ISERROR(LEN(VLOOKUP(A272,Seqs!A:E,2,FALSE))-AL272),"-",LEN(VLOOKUP(A272,Seqs!A:E,2,FALSE))-AL272)</f>
        <v>353</v>
      </c>
      <c r="BB272" s="16">
        <f t="shared" si="207"/>
        <v>29</v>
      </c>
      <c r="BC272" s="9" t="str">
        <f t="shared" si="208"/>
        <v>-</v>
      </c>
      <c r="BD272" s="3">
        <f t="shared" si="209"/>
        <v>29</v>
      </c>
      <c r="BE272" s="3">
        <f t="shared" si="210"/>
        <v>114</v>
      </c>
    </row>
    <row r="273" spans="1:58" s="3" customFormat="1" x14ac:dyDescent="0.2">
      <c r="A273" s="3" t="s">
        <v>221</v>
      </c>
      <c r="B273" s="3" t="str">
        <f>LOWER(VLOOKUP(A273,Xtal_Templ!A:B,2,FALSE))</f>
        <v>drd4_mouse</v>
      </c>
      <c r="C273" s="3">
        <f>VLOOKUP($A273,'SegEnds_NonXtal_BW#'!$A:$Z,3,FALSE)+D273-50</f>
        <v>39</v>
      </c>
      <c r="D273" s="3">
        <v>60</v>
      </c>
      <c r="E273" s="3">
        <f>IF(ISERROR(VLOOKUP($A273,'SegEnds_NonXtal_BW#'!$A:$Z,4,FALSE)+VLOOKUP($A273,A:AL,4,FALSE)-50),"-",(VLOOKUP($A273,'SegEnds_NonXtal_BW#'!$A:$Z,4,FALSE)+VLOOKUP($A273,A:AL,4,FALSE)-50))</f>
        <v>70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80</v>
      </c>
      <c r="J273" s="3">
        <v>93</v>
      </c>
      <c r="K273" s="3">
        <f>VLOOKUP($A273,'SegEnds_NonXtal_BW#'!$A:$Z,8,FALSE)+VLOOKUP($A273,A:AL,10,FALSE)-50</f>
        <v>111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115</v>
      </c>
      <c r="P273" s="3">
        <v>147</v>
      </c>
      <c r="Q273" s="3">
        <f>VLOOKUP($A273,'SegEnds_NonXtal_BW#'!$A:$Z,12,FALSE)+VLOOKUP($A273,A:AL,16,FALSE)-50</f>
        <v>153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169</v>
      </c>
      <c r="W273" s="3">
        <f>IF(ISERROR(VLOOKUP($A273,'SegEnds_NonXtal_BW#'!$A:$Z,16,FALSE)+VLOOKUP($A273,A:AL,22,FALSE)-50),"-",(VLOOKUP($A273,'SegEnds_NonXtal_BW#'!$A:$Z,16,FALSE)+VLOOKUP($A273,A:AL,22,FALSE)-50))</f>
        <v>182</v>
      </c>
      <c r="X273" s="3">
        <f>IF(ISERROR(VLOOKUP($A273,'SegEnds_NonXtal_BW#'!$A:$Z,17,FALSE)+VLOOKUP($A273,A:AL,25,FALSE)-50),"-",(VLOOKUP($A273,'SegEnds_NonXtal_BW#'!$A:$Z,17,FALSE)+VLOOKUP($A273,A:AL,25,FALSE)-50))</f>
        <v>217</v>
      </c>
      <c r="Y273" s="3">
        <v>217</v>
      </c>
      <c r="Z273" s="3">
        <f t="shared" ref="Z273:Z292" si="213">Y273+2</f>
        <v>219</v>
      </c>
      <c r="AA273" s="3">
        <f>IF(ISERROR(VLOOKUP($A273,'SegEnds_NonXtal_BW#'!$A:$Z,19,FALSE)+VLOOKUP($A273,A:AL,28,FALSE)-50),"-",(VLOOKUP($A273,'SegEnds_NonXtal_BW#'!$A:$Z,19,FALSE)+VLOOKUP($A273,A:AL,28,FALSE)-50))</f>
        <v>229</v>
      </c>
      <c r="AB273" s="3">
        <v>244</v>
      </c>
      <c r="AC273" s="3">
        <f>IF(ISERROR((VLOOKUP($A273,'SegEnds_NonXtal_BW#'!$A:$Z,20,FALSE)+VLOOKUP($A273,A:AL,28,FALSE)-50)),"-",(VLOOKUP($A273,'SegEnds_NonXtal_BW#'!$A:$Z,20,FALSE)+VLOOKUP($A273,A:AL,28,FALSE)-50))</f>
        <v>268</v>
      </c>
      <c r="AD273" s="3">
        <f>IF(ISERROR(VLOOKUP($A273,'SegEnds_NonXtal_BW#'!$A:$Z,21,FALSE)+VLOOKUP($A273,A:AL,31,FALSE)-50),"-",(VLOOKUP($A273,'SegEnds_NonXtal_BW#'!$A:$Z,21,FALSE)+VLOOKUP($A273,A:AL,31,FALSE)-50))</f>
        <v>281</v>
      </c>
      <c r="AE273" s="3">
        <v>310</v>
      </c>
      <c r="AF273" s="3">
        <f>IF(ISERROR((VLOOKUP($A273,'SegEnds_NonXtal_BW#'!$A:$Z,22,FALSE)+VLOOKUP($A273,A:AL,31,FALSE)-50)),"-",(VLOOKUP($A273,'SegEnds_NonXtal_BW#'!$A:$Z,22,FALSE)+VLOOKUP($A273,A:AL,31,FALSE)-50))</f>
        <v>321</v>
      </c>
      <c r="AG273" s="3">
        <f>IF(ISERROR(VLOOKUP($A273,'SegEnds_NonXtal_BW#'!$A:$Z,23,FALSE)+VLOOKUP($A273,A:AL,34,FALSE)-50),"-",(VLOOKUP($A273,'SegEnds_NonXtal_BW#'!$A:$Z,23,FALSE)+VLOOKUP($A273,A:AL,34,FALSE)-50))</f>
        <v>330</v>
      </c>
      <c r="AH273" s="3">
        <v>349</v>
      </c>
      <c r="AI273" s="3">
        <f>IF(ISERROR((VLOOKUP($A273,'SegEnds_NonXtal_BW#'!$A:$Z,24,FALSE)+VLOOKUP($A273,A:AL,34,FALSE)-50)),"-",(VLOOKUP($A273,'SegEnds_NonXtal_BW#'!$A:$Z,24,FALSE)+VLOOKUP($A273,A:AL,34,FALSE)-50))</f>
        <v>355</v>
      </c>
      <c r="AJ273" s="3">
        <f>IF(ISERROR(VLOOKUP($A273,'SegEnds_NonXtal_BW#'!$A:$Z,25,FALSE)+VLOOKUP($A273,A:AL,37,FALSE)-50),"-",(VLOOKUP($A273,'SegEnds_NonXtal_BW#'!$A:$Z,25,FALSE)+VLOOKUP($A273,A:AL,37,FALSE)-50))</f>
        <v>356</v>
      </c>
      <c r="AK273" s="3">
        <v>359</v>
      </c>
      <c r="AL273" s="3">
        <f>IF(ISERROR((VLOOKUP($A273,'SegEnds_NonXtal_BW#'!$A:$Z,26,FALSE)+VLOOKUP($A273,A:AL,37,FALSE)-50)),"-",(VLOOKUP($A273,'SegEnds_NonXtal_BW#'!$A:$Z,26,FALSE)+VLOOKUP($A273,A:AL,37,FALSE)-50))</f>
        <v>368</v>
      </c>
      <c r="AM273" s="28" t="str">
        <f>VLOOKUP(A273,Classification!A:B,2,FALSE)</f>
        <v>A</v>
      </c>
      <c r="AN273" s="28" t="b">
        <f t="shared" si="211"/>
        <v>1</v>
      </c>
      <c r="AO273" s="3" t="str">
        <f>IF(ISERROR(MATCH(A273,'SegEnds_Xtal_Prot#'!B:B, 0)), "NoXtal", "Xtal")</f>
        <v>NoXtal</v>
      </c>
      <c r="AP273" s="3" t="str">
        <f t="shared" si="196"/>
        <v>-</v>
      </c>
      <c r="AQ273" s="3" t="str">
        <f t="shared" si="197"/>
        <v>-</v>
      </c>
      <c r="AR273" s="3" t="str">
        <f t="shared" si="198"/>
        <v>-</v>
      </c>
      <c r="AS273" s="3" t="str">
        <f t="shared" si="199"/>
        <v>-</v>
      </c>
      <c r="AT273" s="3" t="str">
        <f t="shared" si="200"/>
        <v>-</v>
      </c>
      <c r="AU273" s="3" t="str">
        <f t="shared" si="201"/>
        <v>-</v>
      </c>
      <c r="AV273" s="3">
        <f t="shared" si="202"/>
        <v>35</v>
      </c>
      <c r="AW273" s="3">
        <f t="shared" si="203"/>
        <v>10</v>
      </c>
      <c r="AX273" s="3">
        <f t="shared" si="204"/>
        <v>13</v>
      </c>
      <c r="AY273" s="3">
        <f t="shared" si="205"/>
        <v>9</v>
      </c>
      <c r="AZ273" s="3">
        <f t="shared" si="206"/>
        <v>1</v>
      </c>
      <c r="BA273" s="3">
        <f>IF(ISERROR(LEN(VLOOKUP(A273,Seqs!A:E,2,FALSE))-AL273),"-",LEN(VLOOKUP(A273,Seqs!A:E,2,FALSE))-AL273)</f>
        <v>66</v>
      </c>
      <c r="BB273" s="16">
        <f t="shared" si="207"/>
        <v>33</v>
      </c>
      <c r="BC273" s="9" t="str">
        <f t="shared" si="208"/>
        <v>-</v>
      </c>
      <c r="BD273" s="3">
        <f t="shared" si="209"/>
        <v>33</v>
      </c>
      <c r="BE273" s="3">
        <f t="shared" si="210"/>
        <v>66</v>
      </c>
    </row>
    <row r="274" spans="1:58" s="3" customFormat="1" x14ac:dyDescent="0.2">
      <c r="A274" s="3" t="s">
        <v>225</v>
      </c>
      <c r="B274" s="3" t="str">
        <f>LOWER(VLOOKUP(A274,Xtal_Templ!A:B,2,FALSE))</f>
        <v>par1_human</v>
      </c>
      <c r="C274" s="3">
        <f>VLOOKUP($A274,'SegEnds_NonXtal_BW#'!$A:$Z,3,FALSE)+D274-50</f>
        <v>18</v>
      </c>
      <c r="D274" s="3">
        <v>39</v>
      </c>
      <c r="E274" s="3">
        <f>IF(ISERROR(VLOOKUP($A274,'SegEnds_NonXtal_BW#'!$A:$Z,4,FALSE)+VLOOKUP($A274,A:AL,4,FALSE)-50),"-",(VLOOKUP($A274,'SegEnds_NonXtal_BW#'!$A:$Z,4,FALSE)+VLOOKUP($A274,A:AL,4,FALSE)-50))</f>
        <v>49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53</v>
      </c>
      <c r="J274" s="3">
        <v>66</v>
      </c>
      <c r="K274" s="3">
        <f>VLOOKUP($A274,'SegEnds_NonXtal_BW#'!$A:$Z,8,FALSE)+VLOOKUP($A274,A:AL,10,FALSE)-50</f>
        <v>82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88</v>
      </c>
      <c r="P274" s="3">
        <v>120</v>
      </c>
      <c r="Q274" s="3">
        <f>VLOOKUP($A274,'SegEnds_NonXtal_BW#'!$A:$Z,12,FALSE)+VLOOKUP($A274,A:AL,16,FALSE)-50</f>
        <v>126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135</v>
      </c>
      <c r="V274" s="3">
        <v>147</v>
      </c>
      <c r="W274" s="3">
        <f>IF(ISERROR(VLOOKUP($A274,'SegEnds_NonXtal_BW#'!$A:$Z,16,FALSE)+VLOOKUP($A274,A:AL,22,FALSE)-50),"-",(VLOOKUP($A274,'SegEnds_NonXtal_BW#'!$A:$Z,16,FALSE)+VLOOKUP($A274,A:AL,22,FALSE)-50))</f>
        <v>160</v>
      </c>
      <c r="X274" s="3">
        <f>IF(ISERROR(VLOOKUP($A274,'SegEnds_NonXtal_BW#'!$A:$Z,17,FALSE)+VLOOKUP($A274,A:AL,25,FALSE)-50),"-",(VLOOKUP($A274,'SegEnds_NonXtal_BW#'!$A:$Z,17,FALSE)+VLOOKUP($A274,A:AL,25,FALSE)-50))</f>
        <v>174</v>
      </c>
      <c r="Y274" s="3">
        <v>174</v>
      </c>
      <c r="Z274" s="3">
        <f t="shared" si="213"/>
        <v>176</v>
      </c>
      <c r="AA274" s="3">
        <f>IF(ISERROR(VLOOKUP($A274,'SegEnds_NonXtal_BW#'!$A:$Z,19,FALSE)+VLOOKUP($A274,A:AL,28,FALSE)-50),"-",(VLOOKUP($A274,'SegEnds_NonXtal_BW#'!$A:$Z,19,FALSE)+VLOOKUP($A274,A:AL,28,FALSE)-50))</f>
        <v>181</v>
      </c>
      <c r="AB274" s="3">
        <v>196</v>
      </c>
      <c r="AC274" s="3">
        <f>IF(ISERROR((VLOOKUP($A274,'SegEnds_NonXtal_BW#'!$A:$Z,20,FALSE)+VLOOKUP($A274,A:AL,28,FALSE)-50)),"-",(VLOOKUP($A274,'SegEnds_NonXtal_BW#'!$A:$Z,20,FALSE)+VLOOKUP($A274,A:AL,28,FALSE)-50))</f>
        <v>219</v>
      </c>
      <c r="AD274" s="3">
        <f>IF(ISERROR(VLOOKUP($A274,'SegEnds_NonXtal_BW#'!$A:$Z,21,FALSE)+VLOOKUP($A274,A:AL,31,FALSE)-50),"-",(VLOOKUP($A274,'SegEnds_NonXtal_BW#'!$A:$Z,21,FALSE)+VLOOKUP($A274,A:AL,31,FALSE)-50))</f>
        <v>228</v>
      </c>
      <c r="AE274" s="3">
        <v>254</v>
      </c>
      <c r="AF274" s="3">
        <f>IF(ISERROR((VLOOKUP($A274,'SegEnds_NonXtal_BW#'!$A:$Z,22,FALSE)+VLOOKUP($A274,A:AL,31,FALSE)-50)),"-",(VLOOKUP($A274,'SegEnds_NonXtal_BW#'!$A:$Z,22,FALSE)+VLOOKUP($A274,A:AL,31,FALSE)-50))</f>
        <v>265</v>
      </c>
      <c r="AG274" s="3">
        <f>IF(ISERROR(VLOOKUP($A274,'SegEnds_NonXtal_BW#'!$A:$Z,23,FALSE)+VLOOKUP($A274,A:AL,34,FALSE)-50),"-",(VLOOKUP($A274,'SegEnds_NonXtal_BW#'!$A:$Z,23,FALSE)+VLOOKUP($A274,A:AL,34,FALSE)-50))</f>
        <v>270</v>
      </c>
      <c r="AH274" s="3">
        <v>289</v>
      </c>
      <c r="AI274" s="3">
        <f>IF(ISERROR((VLOOKUP($A274,'SegEnds_NonXtal_BW#'!$A:$Z,24,FALSE)+VLOOKUP($A274,A:AL,34,FALSE)-50)),"-",(VLOOKUP($A274,'SegEnds_NonXtal_BW#'!$A:$Z,24,FALSE)+VLOOKUP($A274,A:AL,34,FALSE)-50))</f>
        <v>295</v>
      </c>
      <c r="AJ274" s="3">
        <f>IF(ISERROR(VLOOKUP($A274,'SegEnds_NonXtal_BW#'!$A:$Z,25,FALSE)+VLOOKUP($A274,A:AL,37,FALSE)-50),"-",(VLOOKUP($A274,'SegEnds_NonXtal_BW#'!$A:$Z,25,FALSE)+VLOOKUP($A274,A:AL,37,FALSE)-50))</f>
        <v>296</v>
      </c>
      <c r="AK274" s="3">
        <v>299</v>
      </c>
      <c r="AL274" s="3">
        <f>IF(ISERROR((VLOOKUP($A274,'SegEnds_NonXtal_BW#'!$A:$Z,26,FALSE)+VLOOKUP($A274,A:AL,37,FALSE)-50)),"-",(VLOOKUP($A274,'SegEnds_NonXtal_BW#'!$A:$Z,26,FALSE)+VLOOKUP($A274,A:AL,37,FALSE)-50))</f>
        <v>310</v>
      </c>
      <c r="AM274" s="28" t="str">
        <f>VLOOKUP(A274,Classification!A:B,2,FALSE)</f>
        <v>A</v>
      </c>
      <c r="AN274" s="28" t="b">
        <f t="shared" si="211"/>
        <v>1</v>
      </c>
      <c r="AO274" s="3" t="str">
        <f>IF(ISERROR(MATCH(A274,'SegEnds_Xtal_Prot#'!B:B, 0)), "NoXtal", "Xtal")</f>
        <v>NoXtal</v>
      </c>
      <c r="AP274" s="3" t="str">
        <f t="shared" si="196"/>
        <v>-</v>
      </c>
      <c r="AQ274" s="3" t="str">
        <f t="shared" si="197"/>
        <v>-</v>
      </c>
      <c r="AR274" s="3" t="str">
        <f t="shared" si="198"/>
        <v>-</v>
      </c>
      <c r="AS274" s="3" t="str">
        <f t="shared" si="199"/>
        <v>-</v>
      </c>
      <c r="AT274" s="3" t="str">
        <f t="shared" si="200"/>
        <v>-</v>
      </c>
      <c r="AU274" s="3" t="str">
        <f t="shared" si="201"/>
        <v>-</v>
      </c>
      <c r="AV274" s="3">
        <f t="shared" si="202"/>
        <v>14</v>
      </c>
      <c r="AW274" s="3">
        <f t="shared" si="203"/>
        <v>5</v>
      </c>
      <c r="AX274" s="3">
        <f t="shared" si="204"/>
        <v>9</v>
      </c>
      <c r="AY274" s="3">
        <f t="shared" si="205"/>
        <v>5</v>
      </c>
      <c r="AZ274" s="3">
        <f t="shared" si="206"/>
        <v>1</v>
      </c>
      <c r="BA274" s="3">
        <f>IF(ISERROR(LEN(VLOOKUP(A274,Seqs!A:E,2,FALSE))-AL274),"-",LEN(VLOOKUP(A274,Seqs!A:E,2,FALSE))-AL274)</f>
        <v>28</v>
      </c>
      <c r="BB274" s="16">
        <f t="shared" si="207"/>
        <v>27</v>
      </c>
      <c r="BC274" s="9" t="str">
        <f t="shared" si="208"/>
        <v>-</v>
      </c>
      <c r="BD274" s="3">
        <f t="shared" si="209"/>
        <v>27</v>
      </c>
      <c r="BE274" s="3">
        <f t="shared" si="210"/>
        <v>58</v>
      </c>
    </row>
    <row r="275" spans="1:58" s="3" customFormat="1" x14ac:dyDescent="0.2">
      <c r="A275" s="3" t="s">
        <v>231</v>
      </c>
      <c r="B275" s="3" t="str">
        <f>LOWER(VLOOKUP(A275,Xtal_Templ!A:B,2,FALSE))</f>
        <v>ox1r_human</v>
      </c>
      <c r="C275" s="3">
        <f>VLOOKUP($A275,'SegEnds_NonXtal_BW#'!$A:$Z,3,FALSE)+D275-50</f>
        <v>41</v>
      </c>
      <c r="D275" s="3">
        <v>59</v>
      </c>
      <c r="E275" s="3">
        <f>IF(ISERROR(VLOOKUP($A275,'SegEnds_NonXtal_BW#'!$A:$Z,4,FALSE)+VLOOKUP($A275,A:AL,4,FALSE)-50),"-",(VLOOKUP($A275,'SegEnds_NonXtal_BW#'!$A:$Z,4,FALSE)+VLOOKUP($A275,A:AL,4,FALSE)-50))</f>
        <v>69</v>
      </c>
      <c r="F275" s="3">
        <f>G275-2</f>
        <v>70</v>
      </c>
      <c r="G275" s="3">
        <v>72</v>
      </c>
      <c r="H275" s="3">
        <f t="shared" ref="H275:I277" si="214">G275+1</f>
        <v>73</v>
      </c>
      <c r="I275" s="3">
        <f t="shared" si="214"/>
        <v>74</v>
      </c>
      <c r="J275" s="3">
        <v>87</v>
      </c>
      <c r="K275" s="3">
        <f>VLOOKUP($A275,'SegEnds_NonXtal_BW#'!$A:$Z,8,FALSE)+VLOOKUP($A275,A:AL,10,FALSE)-50</f>
        <v>105</v>
      </c>
      <c r="L275" s="3">
        <f>M275-1</f>
        <v>108</v>
      </c>
      <c r="M275" s="3">
        <v>109</v>
      </c>
      <c r="N275" s="3">
        <f>M275+2</f>
        <v>111</v>
      </c>
      <c r="O275" s="3">
        <f>N275+1</f>
        <v>112</v>
      </c>
      <c r="P275" s="3">
        <v>142</v>
      </c>
      <c r="Q275" s="3">
        <f>VLOOKUP($A275,'SegEnds_NonXtal_BW#'!$A:$Z,12,FALSE)+VLOOKUP($A275,A:AL,16,FALSE)-50</f>
        <v>148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155</v>
      </c>
      <c r="V275" s="3">
        <v>167</v>
      </c>
      <c r="W275" s="3">
        <f>IF(ISERROR(VLOOKUP($A275,'SegEnds_NonXtal_BW#'!$A:$Z,16,FALSE)+VLOOKUP($A275,A:AL,22,FALSE)-50),"-",(VLOOKUP($A275,'SegEnds_NonXtal_BW#'!$A:$Z,16,FALSE)+VLOOKUP($A275,A:AL,22,FALSE)-50))</f>
        <v>181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213"/>
        <v>194</v>
      </c>
      <c r="AA275" s="3">
        <f>IF(ISERROR(VLOOKUP($A275,'SegEnds_NonXtal_BW#'!$A:$Z,19,FALSE)+VLOOKUP($A275,A:AL,28,FALSE)-50),"-",(VLOOKUP($A275,'SegEnds_NonXtal_BW#'!$A:$Z,19,FALSE)+VLOOKUP($A275,A:AL,28,FALSE)-50))</f>
        <v>200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241</v>
      </c>
      <c r="AD275" s="3">
        <f>IF(ISERROR(VLOOKUP($A275,'SegEnds_NonXtal_BW#'!$A:$Z,21,FALSE)+VLOOKUP($A275,A:AL,31,FALSE)-50),"-",(VLOOKUP($A275,'SegEnds_NonXtal_BW#'!$A:$Z,21,FALSE)+VLOOKUP($A275,A:AL,31,FALSE)-50))</f>
        <v>252</v>
      </c>
      <c r="AE275" s="3">
        <v>281</v>
      </c>
      <c r="AF275" s="3">
        <f>IF(ISERROR((VLOOKUP($A275,'SegEnds_NonXtal_BW#'!$A:$Z,22,FALSE)+VLOOKUP($A275,A:AL,31,FALSE)-50)),"-",(VLOOKUP($A275,'SegEnds_NonXtal_BW#'!$A:$Z,22,FALSE)+VLOOKUP($A275,A:AL,31,FALSE)-50))</f>
        <v>292</v>
      </c>
      <c r="AG275" s="3">
        <f>IF(ISERROR(VLOOKUP($A275,'SegEnds_NonXtal_BW#'!$A:$Z,23,FALSE)+VLOOKUP($A275,A:AL,34,FALSE)-50),"-",(VLOOKUP($A275,'SegEnds_NonXtal_BW#'!$A:$Z,23,FALSE)+VLOOKUP($A275,A:AL,34,FALSE)-50))</f>
        <v>298</v>
      </c>
      <c r="AH275" s="3">
        <v>317</v>
      </c>
      <c r="AI275" s="3">
        <f>IF(ISERROR((VLOOKUP($A275,'SegEnds_NonXtal_BW#'!$A:$Z,24,FALSE)+VLOOKUP($A275,A:AL,34,FALSE)-50)),"-",(VLOOKUP($A275,'SegEnds_NonXtal_BW#'!$A:$Z,24,FALSE)+VLOOKUP($A275,A:AL,34,FALSE)-50))</f>
        <v>323</v>
      </c>
      <c r="AJ275" s="3">
        <f>IF(ISERROR(VLOOKUP($A275,'SegEnds_NonXtal_BW#'!$A:$Z,25,FALSE)+VLOOKUP($A275,A:AL,37,FALSE)-50),"-",(VLOOKUP($A275,'SegEnds_NonXtal_BW#'!$A:$Z,25,FALSE)+VLOOKUP($A275,A:AL,37,FALSE)-50))</f>
        <v>324</v>
      </c>
      <c r="AK275" s="3">
        <v>327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11"/>
        <v>1</v>
      </c>
      <c r="AO275" s="3" t="str">
        <f>IF(ISERROR(MATCH(A275,'SegEnds_Xtal_Prot#'!B:B, 0)), "NoXtal", "Xtal")</f>
        <v>NoXtal</v>
      </c>
      <c r="AP275" s="3">
        <f t="shared" si="196"/>
        <v>1</v>
      </c>
      <c r="AQ275" s="3">
        <f t="shared" si="197"/>
        <v>1</v>
      </c>
      <c r="AR275" s="3">
        <f t="shared" si="198"/>
        <v>3</v>
      </c>
      <c r="AS275" s="3">
        <f t="shared" si="199"/>
        <v>1</v>
      </c>
      <c r="AT275" s="3" t="str">
        <f t="shared" si="200"/>
        <v>-</v>
      </c>
      <c r="AU275" s="3" t="str">
        <f t="shared" si="201"/>
        <v>-</v>
      </c>
      <c r="AV275" s="3">
        <f t="shared" si="202"/>
        <v>11</v>
      </c>
      <c r="AW275" s="3">
        <f t="shared" si="203"/>
        <v>6</v>
      </c>
      <c r="AX275" s="3">
        <f t="shared" si="204"/>
        <v>11</v>
      </c>
      <c r="AY275" s="3">
        <f t="shared" si="205"/>
        <v>6</v>
      </c>
      <c r="AZ275" s="3">
        <f t="shared" si="206"/>
        <v>1</v>
      </c>
      <c r="BA275" s="3">
        <f>IF(ISERROR(LEN(VLOOKUP(A275,Seqs!A:E,2,FALSE))-AL275),"-",LEN(VLOOKUP(A275,Seqs!A:E,2,FALSE))-AL275)</f>
        <v>175</v>
      </c>
      <c r="BB275" s="16">
        <f t="shared" si="207"/>
        <v>28</v>
      </c>
      <c r="BC275" s="9" t="str">
        <f t="shared" si="208"/>
        <v>-</v>
      </c>
      <c r="BD275" s="3">
        <f t="shared" si="209"/>
        <v>28</v>
      </c>
      <c r="BE275" s="3">
        <f t="shared" si="210"/>
        <v>64</v>
      </c>
    </row>
    <row r="276" spans="1:58" s="3" customFormat="1" x14ac:dyDescent="0.2">
      <c r="A276" s="3" t="s">
        <v>234</v>
      </c>
      <c r="B276" s="3" t="str">
        <f>LOWER(VLOOKUP(A276,Xtal_Templ!A:B,2,FALSE))</f>
        <v>lpar1_human</v>
      </c>
      <c r="C276" s="3">
        <f>VLOOKUP($A276,'SegEnds_NonXtal_BW#'!$A:$Z,3,FALSE)+D276-50</f>
        <v>12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>
        <f>G276-2</f>
        <v>43</v>
      </c>
      <c r="G276" s="3">
        <v>45</v>
      </c>
      <c r="H276" s="3">
        <f t="shared" si="214"/>
        <v>46</v>
      </c>
      <c r="I276" s="3">
        <f t="shared" si="214"/>
        <v>47</v>
      </c>
      <c r="J276" s="3">
        <v>61</v>
      </c>
      <c r="K276" s="3">
        <f>VLOOKUP($A276,'SegEnds_NonXtal_BW#'!$A:$Z,8,FALSE)+VLOOKUP($A276,A:AL,10,FALSE)-50</f>
        <v>77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84</v>
      </c>
      <c r="P276" s="3">
        <v>110</v>
      </c>
      <c r="Q276" s="3">
        <f>VLOOKUP($A276,'SegEnds_NonXtal_BW#'!$A:$Z,12,FALSE)+VLOOKUP($A276,A:AL,16,FALSE)-50</f>
        <v>116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120</v>
      </c>
      <c r="V276" s="3">
        <v>132</v>
      </c>
      <c r="W276" s="3">
        <f>IF(ISERROR(VLOOKUP($A276,'SegEnds_NonXtal_BW#'!$A:$Z,16,FALSE)+VLOOKUP($A276,A:AL,22,FALSE)-50),"-",(VLOOKUP($A276,'SegEnds_NonXtal_BW#'!$A:$Z,16,FALSE)+VLOOKUP($A276,A:AL,22,FALSE)-50))</f>
        <v>145</v>
      </c>
      <c r="X276" s="3">
        <f>IF(ISERROR(VLOOKUP($A276,'SegEnds_NonXtal_BW#'!$A:$Z,17,FALSE)+VLOOKUP($A276,A:AL,25,FALSE)-50),"-",(VLOOKUP($A276,'SegEnds_NonXtal_BW#'!$A:$Z,17,FALSE)+VLOOKUP($A276,A:AL,25,FALSE)-50))</f>
        <v>155</v>
      </c>
      <c r="Y276" s="3">
        <v>155</v>
      </c>
      <c r="Z276" s="3">
        <f t="shared" si="213"/>
        <v>157</v>
      </c>
      <c r="AA276" s="3">
        <f>IF(ISERROR(VLOOKUP($A276,'SegEnds_NonXtal_BW#'!$A:$Z,19,FALSE)+VLOOKUP($A276,A:AL,28,FALSE)-50),"-",(VLOOKUP($A276,'SegEnds_NonXtal_BW#'!$A:$Z,19,FALSE)+VLOOKUP($A276,A:AL,28,FALSE)-50))</f>
        <v>161</v>
      </c>
      <c r="AB276" s="3">
        <v>176</v>
      </c>
      <c r="AC276" s="3">
        <f>IF(ISERROR((VLOOKUP($A276,'SegEnds_NonXtal_BW#'!$A:$Z,20,FALSE)+VLOOKUP($A276,A:AL,28,FALSE)-50)),"-",(VLOOKUP($A276,'SegEnds_NonXtal_BW#'!$A:$Z,20,FALSE)+VLOOKUP($A276,A:AL,28,FALSE)-50))</f>
        <v>200</v>
      </c>
      <c r="AD276" s="3">
        <f>IF(ISERROR(VLOOKUP($A276,'SegEnds_NonXtal_BW#'!$A:$Z,21,FALSE)+VLOOKUP($A276,A:AL,31,FALSE)-50),"-",(VLOOKUP($A276,'SegEnds_NonXtal_BW#'!$A:$Z,21,FALSE)+VLOOKUP($A276,A:AL,31,FALSE)-50))</f>
        <v>210</v>
      </c>
      <c r="AE276" s="3">
        <v>239</v>
      </c>
      <c r="AF276" s="3">
        <f>IF(ISERROR((VLOOKUP($A276,'SegEnds_NonXtal_BW#'!$A:$Z,22,FALSE)+VLOOKUP($A276,A:AL,31,FALSE)-50)),"-",(VLOOKUP($A276,'SegEnds_NonXtal_BW#'!$A:$Z,22,FALSE)+VLOOKUP($A276,A:AL,31,FALSE)-50))</f>
        <v>250</v>
      </c>
      <c r="AG276" s="3">
        <f>IF(ISERROR(VLOOKUP($A276,'SegEnds_NonXtal_BW#'!$A:$Z,23,FALSE)+VLOOKUP($A276,A:AL,34,FALSE)-50),"-",(VLOOKUP($A276,'SegEnds_NonXtal_BW#'!$A:$Z,23,FALSE)+VLOOKUP($A276,A:AL,34,FALSE)-50))</f>
        <v>257</v>
      </c>
      <c r="AH276" s="3">
        <v>277</v>
      </c>
      <c r="AI276" s="3">
        <f>IF(ISERROR((VLOOKUP($A276,'SegEnds_NonXtal_BW#'!$A:$Z,24,FALSE)+VLOOKUP($A276,A:AL,34,FALSE)-50)),"-",(VLOOKUP($A276,'SegEnds_NonXtal_BW#'!$A:$Z,24,FALSE)+VLOOKUP($A276,A:AL,34,FALSE)-50))</f>
        <v>283</v>
      </c>
      <c r="AJ276" s="3">
        <f>IF(ISERROR(VLOOKUP($A276,'SegEnds_NonXtal_BW#'!$A:$Z,25,FALSE)+VLOOKUP($A276,A:AL,37,FALSE)-50),"-",(VLOOKUP($A276,'SegEnds_NonXtal_BW#'!$A:$Z,25,FALSE)+VLOOKUP($A276,A:AL,37,FALSE)-50))</f>
        <v>284</v>
      </c>
      <c r="AK276" s="3">
        <v>287</v>
      </c>
      <c r="AL276" s="3">
        <f>IF(ISERROR((VLOOKUP($A276,'SegEnds_NonXtal_BW#'!$A:$Z,26,FALSE)+VLOOKUP($A276,A:AL,37,FALSE)-50)),"-",(VLOOKUP($A276,'SegEnds_NonXtal_BW#'!$A:$Z,26,FALSE)+VLOOKUP($A276,A:AL,37,FALSE)-50))</f>
        <v>296</v>
      </c>
      <c r="AM276" s="28" t="str">
        <f>VLOOKUP(A276,Classification!A:B,2,FALSE)</f>
        <v>A</v>
      </c>
      <c r="AN276" s="28" t="b">
        <f t="shared" si="211"/>
        <v>1</v>
      </c>
      <c r="AO276" s="3" t="str">
        <f>IF(ISERROR(MATCH(A276,'SegEnds_Xtal_Prot#'!B:B, 0)), "NoXtal", "Xtal")</f>
        <v>NoXtal</v>
      </c>
      <c r="AP276" s="3">
        <f t="shared" si="196"/>
        <v>1</v>
      </c>
      <c r="AQ276" s="3">
        <f t="shared" si="197"/>
        <v>1</v>
      </c>
      <c r="AR276" s="3" t="str">
        <f t="shared" si="198"/>
        <v>-</v>
      </c>
      <c r="AS276" s="3" t="str">
        <f t="shared" si="199"/>
        <v>-</v>
      </c>
      <c r="AT276" s="3" t="str">
        <f t="shared" si="200"/>
        <v>-</v>
      </c>
      <c r="AU276" s="3" t="str">
        <f t="shared" si="201"/>
        <v>-</v>
      </c>
      <c r="AV276" s="3">
        <f t="shared" si="202"/>
        <v>10</v>
      </c>
      <c r="AW276" s="3">
        <f t="shared" si="203"/>
        <v>4</v>
      </c>
      <c r="AX276" s="3">
        <f t="shared" si="204"/>
        <v>10</v>
      </c>
      <c r="AY276" s="3">
        <f t="shared" si="205"/>
        <v>7</v>
      </c>
      <c r="AZ276" s="3">
        <f t="shared" si="206"/>
        <v>1</v>
      </c>
      <c r="BA276" s="3">
        <f>IF(ISERROR(LEN(VLOOKUP(A276,Seqs!A:E,2,FALSE))-AL276),"-",LEN(VLOOKUP(A276,Seqs!A:E,2,FALSE))-AL276)</f>
        <v>34</v>
      </c>
      <c r="BB276" s="16">
        <f t="shared" si="207"/>
        <v>29</v>
      </c>
      <c r="BC276" s="9" t="str">
        <f t="shared" si="208"/>
        <v>-</v>
      </c>
      <c r="BD276" s="3">
        <f t="shared" si="209"/>
        <v>29</v>
      </c>
      <c r="BE276" s="3">
        <f t="shared" si="210"/>
        <v>63</v>
      </c>
    </row>
    <row r="277" spans="1:58" s="3" customFormat="1" x14ac:dyDescent="0.2">
      <c r="A277" s="3" t="s">
        <v>258</v>
      </c>
      <c r="B277" s="3" t="str">
        <f>LOWER(VLOOKUP(A277,Xtal_Templ!A:B,2,FALSE))</f>
        <v>drd2_human</v>
      </c>
      <c r="C277" s="3">
        <f>VLOOKUP($A277,'SegEnds_NonXtal_BW#'!$A:$Z,3,FALSE)+D277-50</f>
        <v>31</v>
      </c>
      <c r="D277" s="3">
        <v>52</v>
      </c>
      <c r="E277" s="3">
        <f>IF(ISERROR(VLOOKUP($A277,'SegEnds_NonXtal_BW#'!$A:$Z,4,FALSE)+VLOOKUP($A277,A:AL,4,FALSE)-50),"-",(VLOOKUP($A277,'SegEnds_NonXtal_BW#'!$A:$Z,4,FALSE)+VLOOKUP($A277,A:AL,4,FALSE)-50))</f>
        <v>62</v>
      </c>
      <c r="F277" s="3">
        <f>G277-2</f>
        <v>63</v>
      </c>
      <c r="G277" s="3">
        <v>65</v>
      </c>
      <c r="H277" s="3">
        <f t="shared" si="214"/>
        <v>66</v>
      </c>
      <c r="I277" s="3">
        <f t="shared" si="214"/>
        <v>67</v>
      </c>
      <c r="J277" s="3">
        <v>80</v>
      </c>
      <c r="K277" s="3">
        <f>VLOOKUP($A277,'SegEnds_NonXtal_BW#'!$A:$Z,8,FALSE)+VLOOKUP($A277,A:AL,10,FALSE)-50</f>
        <v>98</v>
      </c>
      <c r="L277" s="3">
        <f>M277-1</f>
        <v>99</v>
      </c>
      <c r="M277" s="3">
        <v>100</v>
      </c>
      <c r="N277" s="3">
        <f>M277+2</f>
        <v>102</v>
      </c>
      <c r="O277" s="3">
        <f>N277+1</f>
        <v>103</v>
      </c>
      <c r="P277" s="3">
        <v>132</v>
      </c>
      <c r="Q277" s="3">
        <f>VLOOKUP($A277,'SegEnds_NonXtal_BW#'!$A:$Z,12,FALSE)+VLOOKUP($A277,A:AL,16,FALSE)-50</f>
        <v>138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168</v>
      </c>
      <c r="X277" s="3">
        <f>IF(ISERROR(VLOOKUP($A277,'SegEnds_NonXtal_BW#'!$A:$Z,17,FALSE)+VLOOKUP($A277,A:AL,25,FALSE)-50),"-",(VLOOKUP($A277,'SegEnds_NonXtal_BW#'!$A:$Z,17,FALSE)+VLOOKUP($A277,A:AL,25,FALSE)-50))</f>
        <v>182</v>
      </c>
      <c r="Y277" s="3">
        <v>182</v>
      </c>
      <c r="Z277" s="3">
        <f t="shared" si="213"/>
        <v>184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207</v>
      </c>
      <c r="AC277" s="3">
        <f>IF(ISERROR((VLOOKUP($A277,'SegEnds_NonXtal_BW#'!$A:$Z,20,FALSE)+VLOOKUP($A277,A:AL,28,FALSE)-50)),"-",(VLOOKUP($A277,'SegEnds_NonXtal_BW#'!$A:$Z,20,FALSE)+VLOOKUP($A277,A:AL,28,FALSE)-50))</f>
        <v>233</v>
      </c>
      <c r="AD277" s="3">
        <f>IF(ISERROR(VLOOKUP($A277,'SegEnds_NonXtal_BW#'!$A:$Z,21,FALSE)+VLOOKUP($A277,A:AL,31,FALSE)-50),"-",(VLOOKUP($A277,'SegEnds_NonXtal_BW#'!$A:$Z,21,FALSE)+VLOOKUP($A277,A:AL,31,FALSE)-50))</f>
        <v>256</v>
      </c>
      <c r="AE277" s="3">
        <v>282</v>
      </c>
      <c r="AF277" s="3">
        <f>IF(ISERROR((VLOOKUP($A277,'SegEnds_NonXtal_BW#'!$A:$Z,22,FALSE)+VLOOKUP($A277,A:AL,31,FALSE)-50)),"-",(VLOOKUP($A277,'SegEnds_NonXtal_BW#'!$A:$Z,22,FALSE)+VLOOKUP($A277,A:AL,31,FALSE)-50))</f>
        <v>293</v>
      </c>
      <c r="AG277" s="3">
        <f>IF(ISERROR(VLOOKUP($A277,'SegEnds_NonXtal_BW#'!$A:$Z,23,FALSE)+VLOOKUP($A277,A:AL,34,FALSE)-50),"-",(VLOOKUP($A277,'SegEnds_NonXtal_BW#'!$A:$Z,23,FALSE)+VLOOKUP($A277,A:AL,34,FALSE)-50))</f>
        <v>302</v>
      </c>
      <c r="AH277" s="3">
        <v>321</v>
      </c>
      <c r="AI277" s="3">
        <v>327</v>
      </c>
      <c r="AJ277" s="3">
        <f>IF(ISERROR(VLOOKUP($A277,'SegEnds_NonXtal_BW#'!$A:$Z,25,FALSE)+VLOOKUP($A277,A:AL,37,FALSE)-50),"-",(VLOOKUP($A277,'SegEnds_NonXtal_BW#'!$A:$Z,25,FALSE)+VLOOKUP($A277,A:AL,37,FALSE)-50))</f>
        <v>328</v>
      </c>
      <c r="AK277" s="3">
        <v>331</v>
      </c>
      <c r="AL277" s="3">
        <f>IF(ISERROR((VLOOKUP($A277,'SegEnds_NonXtal_BW#'!$A:$Z,26,FALSE)+VLOOKUP($A277,A:AL,37,FALSE)-50)),"-",(VLOOKUP($A277,'SegEnds_NonXtal_BW#'!$A:$Z,26,FALSE)+VLOOKUP($A277,A:AL,37,FALSE)-50))</f>
        <v>340</v>
      </c>
      <c r="AM277" s="28" t="str">
        <f>VLOOKUP(A277,Classification!A:B,2,FALSE)</f>
        <v>A</v>
      </c>
      <c r="AN277" s="28" t="b">
        <f t="shared" si="211"/>
        <v>1</v>
      </c>
      <c r="AO277" s="3" t="str">
        <f>IF(ISERROR(MATCH(A277,'SegEnds_Xtal_Prot#'!B:B, 0)), "NoXtal", "Xtal")</f>
        <v>NoXtal</v>
      </c>
      <c r="AP277" s="3">
        <f t="shared" si="196"/>
        <v>1</v>
      </c>
      <c r="AQ277" s="3">
        <f t="shared" si="197"/>
        <v>1</v>
      </c>
      <c r="AR277" s="3">
        <f t="shared" si="198"/>
        <v>1</v>
      </c>
      <c r="AS277" s="3">
        <f t="shared" si="199"/>
        <v>1</v>
      </c>
      <c r="AT277" s="3" t="str">
        <f t="shared" si="200"/>
        <v>-</v>
      </c>
      <c r="AU277" s="3" t="str">
        <f t="shared" si="201"/>
        <v>-</v>
      </c>
      <c r="AV277" s="3">
        <f t="shared" si="202"/>
        <v>14</v>
      </c>
      <c r="AW277" s="3">
        <f t="shared" si="203"/>
        <v>8</v>
      </c>
      <c r="AX277" s="3">
        <f t="shared" si="204"/>
        <v>23</v>
      </c>
      <c r="AY277" s="3">
        <f t="shared" si="205"/>
        <v>9</v>
      </c>
      <c r="AZ277" s="3">
        <f t="shared" si="206"/>
        <v>1</v>
      </c>
      <c r="BA277" s="3">
        <f>IF(ISERROR(LEN(VLOOKUP(A277,Seqs!A:E,2,FALSE))-AL277),"-",LEN(VLOOKUP(A277,Seqs!A:E,2,FALSE))-AL277)</f>
        <v>32</v>
      </c>
      <c r="BB277" s="16">
        <f t="shared" si="207"/>
        <v>28</v>
      </c>
      <c r="BC277" s="9" t="str">
        <f t="shared" si="208"/>
        <v>-</v>
      </c>
      <c r="BD277" s="3">
        <f t="shared" si="209"/>
        <v>28</v>
      </c>
      <c r="BE277" s="3">
        <f t="shared" si="210"/>
        <v>75</v>
      </c>
    </row>
    <row r="278" spans="1:58" s="3" customFormat="1" x14ac:dyDescent="0.2">
      <c r="A278" s="3" t="s">
        <v>263</v>
      </c>
      <c r="B278" s="3" t="str">
        <f>LOWER(VLOOKUP(A278,Xtal_Templ!A:B,2,FALSE))</f>
        <v>drd3_human</v>
      </c>
      <c r="C278" s="3">
        <f>VLOOKUP($A278,'SegEnds_NonXtal_BW#'!$A:$Z,3,FALSE)+D278-50</f>
        <v>11</v>
      </c>
      <c r="D278" s="3">
        <v>32</v>
      </c>
      <c r="E278" s="3">
        <f>IF(ISERROR(VLOOKUP($A278,'SegEnds_NonXtal_BW#'!$A:$Z,4,FALSE)+VLOOKUP($A278,A:AL,4,FALSE)-50),"-",(VLOOKUP($A278,'SegEnds_NonXtal_BW#'!$A:$Z,4,FALSE)+VLOOKUP($A278,A:AL,4,FALSE)-50))</f>
        <v>42</v>
      </c>
      <c r="F278" s="3" t="str">
        <f>IF(ISERROR(VLOOKUP($A278,'SegEnds_NonXtal_BW#'!$A:$Z,5,FALSE)+VLOOKUP($A278,A:AL,7,FALSE)-50),"-",(VLOOKUP($A278,'SegEnds_NonXtal_BW#'!$A:$Z,5,FALSE)+VLOOKUP($A278,A:AL,7,FALSE)-50))</f>
        <v>-</v>
      </c>
      <c r="G278" s="3" t="s">
        <v>23</v>
      </c>
      <c r="H278" s="3" t="str">
        <f>IF(ISERROR(VLOOKUP($A278,'SegEnds_NonXtal_BW#'!$A:$Z,6,FALSE)+VLOOKUP($A278,A:AL,7,FALSE)-50),"-",(VLOOKUP($A278,'SegEnds_NonXtal_BW#'!$A:$Z,6,FALSE)+VLOOKUP($A278,A:AL,7,FALSE)-50))</f>
        <v>-</v>
      </c>
      <c r="I278" s="3">
        <f>VLOOKUP($A278,'SegEnds_NonXtal_BW#'!$A:$Z,7,FALSE)+J278-50</f>
        <v>45</v>
      </c>
      <c r="J278" s="3">
        <v>58</v>
      </c>
      <c r="K278" s="3">
        <f>VLOOKUP($A278,'SegEnds_NonXtal_BW#'!$A:$Z,8,FALSE)+VLOOKUP($A278,A:AL,10,FALSE)-50</f>
        <v>75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81</v>
      </c>
      <c r="P278" s="3">
        <v>113</v>
      </c>
      <c r="Q278" s="3">
        <f>VLOOKUP($A278,'SegEnds_NonXtal_BW#'!$A:$Z,12,FALSE)+VLOOKUP($A278,A:AL,16,FALSE)-50</f>
        <v>119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125</v>
      </c>
      <c r="V278" s="3">
        <v>137</v>
      </c>
      <c r="W278" s="3">
        <f>IF(ISERROR(VLOOKUP($A278,'SegEnds_NonXtal_BW#'!$A:$Z,16,FALSE)+VLOOKUP($A278,A:AL,22,FALSE)-50),"-",(VLOOKUP($A278,'SegEnds_NonXtal_BW#'!$A:$Z,16,FALSE)+VLOOKUP($A278,A:AL,22,FALSE)-50))</f>
        <v>150</v>
      </c>
      <c r="X278" s="3">
        <f>IF(ISERROR(VLOOKUP($A278,'SegEnds_NonXtal_BW#'!$A:$Z,17,FALSE)+VLOOKUP($A278,A:AL,25,FALSE)-50),"-",(VLOOKUP($A278,'SegEnds_NonXtal_BW#'!$A:$Z,17,FALSE)+VLOOKUP($A278,A:AL,25,FALSE)-50))</f>
        <v>162</v>
      </c>
      <c r="Y278" s="3">
        <v>162</v>
      </c>
      <c r="Z278" s="3">
        <f t="shared" si="213"/>
        <v>164</v>
      </c>
      <c r="AA278" s="3">
        <f>IF(ISERROR(VLOOKUP($A278,'SegEnds_NonXtal_BW#'!$A:$Z,19,FALSE)+VLOOKUP($A278,A:AL,28,FALSE)-50),"-",(VLOOKUP($A278,'SegEnds_NonXtal_BW#'!$A:$Z,19,FALSE)+VLOOKUP($A278,A:AL,28,FALSE)-50))</f>
        <v>169</v>
      </c>
      <c r="AB278" s="3">
        <v>184</v>
      </c>
      <c r="AC278" s="3">
        <f>IF(ISERROR((VLOOKUP($A278,'SegEnds_NonXtal_BW#'!$A:$Z,20,FALSE)+VLOOKUP($A278,A:AL,28,FALSE)-50)),"-",(VLOOKUP($A278,'SegEnds_NonXtal_BW#'!$A:$Z,20,FALSE)+VLOOKUP($A278,A:AL,28,FALSE)-50))</f>
        <v>210</v>
      </c>
      <c r="AD278" s="3">
        <f>IF(ISERROR(VLOOKUP($A278,'SegEnds_NonXtal_BW#'!$A:$Z,21,FALSE)+VLOOKUP($A278,A:AL,31,FALSE)-50),"-",(VLOOKUP($A278,'SegEnds_NonXtal_BW#'!$A:$Z,21,FALSE)+VLOOKUP($A278,A:AL,31,FALSE)-50))</f>
        <v>230</v>
      </c>
      <c r="AE278" s="3">
        <v>256</v>
      </c>
      <c r="AF278" s="3">
        <f>IF(ISERROR((VLOOKUP($A278,'SegEnds_NonXtal_BW#'!$A:$Z,22,FALSE)+VLOOKUP($A278,A:AL,31,FALSE)-50)),"-",(VLOOKUP($A278,'SegEnds_NonXtal_BW#'!$A:$Z,22,FALSE)+VLOOKUP($A278,A:AL,31,FALSE)-50))</f>
        <v>264</v>
      </c>
      <c r="AG278" s="3">
        <f>IF(ISERROR(VLOOKUP($A278,'SegEnds_NonXtal_BW#'!$A:$Z,23,FALSE)+VLOOKUP($A278,A:AL,34,FALSE)-50),"-",(VLOOKUP($A278,'SegEnds_NonXtal_BW#'!$A:$Z,23,FALSE)+VLOOKUP($A278,A:AL,34,FALSE)-50))</f>
        <v>272</v>
      </c>
      <c r="AH278" s="3">
        <v>287</v>
      </c>
      <c r="AI278" s="3">
        <f>IF(ISERROR((VLOOKUP($A278,'SegEnds_NonXtal_BW#'!$A:$Z,24,FALSE)+VLOOKUP($A278,A:AL,34,FALSE)-50)),"-",(VLOOKUP($A278,'SegEnds_NonXtal_BW#'!$A:$Z,24,FALSE)+VLOOKUP($A278,A:AL,34,FALSE)-50))</f>
        <v>293</v>
      </c>
      <c r="AJ278" s="3">
        <f>IF(ISERROR(VLOOKUP($A278,'SegEnds_NonXtal_BW#'!$A:$Z,25,FALSE)+VLOOKUP($A278,A:AL,37,FALSE)-50),"-",(VLOOKUP($A278,'SegEnds_NonXtal_BW#'!$A:$Z,25,FALSE)+VLOOKUP($A278,A:AL,37,FALSE)-50))</f>
        <v>294</v>
      </c>
      <c r="AK278" s="3">
        <v>297</v>
      </c>
      <c r="AL278" s="3">
        <f>IF(ISERROR((VLOOKUP($A278,'SegEnds_NonXtal_BW#'!$A:$Z,26,FALSE)+VLOOKUP($A278,A:AL,37,FALSE)-50)),"-",(VLOOKUP($A278,'SegEnds_NonXtal_BW#'!$A:$Z,26,FALSE)+VLOOKUP($A278,A:AL,37,FALSE)-50))</f>
        <v>306</v>
      </c>
      <c r="AM278" s="28" t="str">
        <f>VLOOKUP(A278,Classification!A:B,2,FALSE)</f>
        <v>A</v>
      </c>
      <c r="AN278" s="28" t="b">
        <f t="shared" si="211"/>
        <v>1</v>
      </c>
      <c r="AO278" s="3" t="str">
        <f>IF(ISERROR(MATCH(A278,'SegEnds_Xtal_Prot#'!B:B, 0)), "NoXtal", "Xtal")</f>
        <v>NoXtal</v>
      </c>
      <c r="AP278" s="3" t="str">
        <f t="shared" si="196"/>
        <v>-</v>
      </c>
      <c r="AQ278" s="3" t="str">
        <f t="shared" si="197"/>
        <v>-</v>
      </c>
      <c r="AR278" s="3" t="str">
        <f t="shared" si="198"/>
        <v>-</v>
      </c>
      <c r="AS278" s="3" t="str">
        <f t="shared" si="199"/>
        <v>-</v>
      </c>
      <c r="AT278" s="3" t="str">
        <f t="shared" si="200"/>
        <v>-</v>
      </c>
      <c r="AU278" s="3" t="str">
        <f t="shared" si="201"/>
        <v>-</v>
      </c>
      <c r="AV278" s="3">
        <f t="shared" si="202"/>
        <v>12</v>
      </c>
      <c r="AW278" s="3">
        <f t="shared" si="203"/>
        <v>5</v>
      </c>
      <c r="AX278" s="3">
        <f t="shared" si="204"/>
        <v>20</v>
      </c>
      <c r="AY278" s="3">
        <f t="shared" si="205"/>
        <v>8</v>
      </c>
      <c r="AZ278" s="3">
        <f t="shared" si="206"/>
        <v>1</v>
      </c>
      <c r="BA278" s="3">
        <f>IF(ISERROR(LEN(VLOOKUP(A278,Seqs!A:E,2,FALSE))-AL278),"-",LEN(VLOOKUP(A278,Seqs!A:E,2,FALSE))-AL278)</f>
        <v>62</v>
      </c>
      <c r="BB278" s="16">
        <f t="shared" si="207"/>
        <v>26</v>
      </c>
      <c r="BC278" s="9" t="str">
        <f t="shared" si="208"/>
        <v>-</v>
      </c>
      <c r="BD278" s="3">
        <f t="shared" si="209"/>
        <v>26</v>
      </c>
      <c r="BE278" s="3">
        <f t="shared" si="210"/>
        <v>72</v>
      </c>
    </row>
    <row r="279" spans="1:58" s="3" customFormat="1" x14ac:dyDescent="0.2">
      <c r="A279" s="3" t="s">
        <v>264</v>
      </c>
      <c r="B279" s="3" t="str">
        <f>LOWER(VLOOKUP(A279,Xtal_Templ!A:B,2,FALSE))</f>
        <v>5ht2c_human</v>
      </c>
      <c r="C279" s="3">
        <f>VLOOKUP($A279,'SegEnds_NonXtal_BW#'!$A:$Z,3,FALSE)+D279-50</f>
        <v>82</v>
      </c>
      <c r="D279" s="3">
        <v>99</v>
      </c>
      <c r="E279" s="3">
        <f>IF(ISERROR(VLOOKUP($A279,'SegEnds_NonXtal_BW#'!$A:$Z,4,FALSE)+VLOOKUP($A279,A:AL,4,FALSE)-50),"-",(VLOOKUP($A279,'SegEnds_NonXtal_BW#'!$A:$Z,4,FALSE)+VLOOKUP($A279,A:AL,4,FALSE)-50))</f>
        <v>109</v>
      </c>
      <c r="F279" s="3">
        <f t="shared" ref="F279:F319" si="215">G279-2</f>
        <v>110</v>
      </c>
      <c r="G279" s="3">
        <v>112</v>
      </c>
      <c r="H279" s="3">
        <f t="shared" ref="H279:I298" si="216">G279+1</f>
        <v>113</v>
      </c>
      <c r="I279" s="3">
        <f t="shared" si="216"/>
        <v>114</v>
      </c>
      <c r="J279" s="3">
        <v>127</v>
      </c>
      <c r="K279" s="3">
        <f>VLOOKUP($A279,'SegEnds_NonXtal_BW#'!$A:$Z,8,FALSE)+VLOOKUP($A279,A:AL,10,FALSE)-50</f>
        <v>145</v>
      </c>
      <c r="L279" s="3">
        <f>M279-1</f>
        <v>146</v>
      </c>
      <c r="M279" s="3">
        <v>147</v>
      </c>
      <c r="N279" s="3">
        <f>M279+2</f>
        <v>149</v>
      </c>
      <c r="O279" s="3">
        <f>N279+1</f>
        <v>150</v>
      </c>
      <c r="P279" s="3">
        <v>179</v>
      </c>
      <c r="Q279" s="3">
        <f>VLOOKUP($A279,'SegEnds_NonXtal_BW#'!$A:$Z,12,FALSE)+VLOOKUP($A279,A:AL,16,FALSE)-50</f>
        <v>185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191</v>
      </c>
      <c r="V279" s="3">
        <v>203</v>
      </c>
      <c r="W279" s="3">
        <f>IF(ISERROR(VLOOKUP($A279,'SegEnds_NonXtal_BW#'!$A:$Z,16,FALSE)+VLOOKUP($A279,A:AL,22,FALSE)-50),"-",(VLOOKUP($A279,'SegEnds_NonXtal_BW#'!$A:$Z,16,FALSE)+VLOOKUP($A279,A:AL,22,FALSE)-50))</f>
        <v>220</v>
      </c>
      <c r="X279" s="3">
        <f>IF(ISERROR(VLOOKUP($A279,'SegEnds_NonXtal_BW#'!$A:$Z,17,FALSE)+VLOOKUP($A279,A:AL,25,FALSE)-50),"-",(VLOOKUP($A279,'SegEnds_NonXtal_BW#'!$A:$Z,17,FALSE)+VLOOKUP($A279,A:AL,25,FALSE)-50))</f>
        <v>229</v>
      </c>
      <c r="Y279" s="3">
        <v>229</v>
      </c>
      <c r="Z279" s="3">
        <f t="shared" si="213"/>
        <v>231</v>
      </c>
      <c r="AA279" s="3">
        <f>IF(ISERROR(VLOOKUP($A279,'SegEnds_NonXtal_BW#'!$A:$Z,19,FALSE)+VLOOKUP($A279,A:AL,28,FALSE)-50),"-",(VLOOKUP($A279,'SegEnds_NonXtal_BW#'!$A:$Z,19,FALSE)+VLOOKUP($A279,A:AL,28,FALSE)-50))</f>
        <v>239</v>
      </c>
      <c r="AB279" s="3">
        <v>254</v>
      </c>
      <c r="AC279" s="3">
        <f>IF(ISERROR((VLOOKUP($A279,'SegEnds_NonXtal_BW#'!$A:$Z,20,FALSE)+VLOOKUP($A279,A:AL,28,FALSE)-50)),"-",(VLOOKUP($A279,'SegEnds_NonXtal_BW#'!$A:$Z,20,FALSE)+VLOOKUP($A279,A:AL,28,FALSE)-50))</f>
        <v>280</v>
      </c>
      <c r="AD279" s="3">
        <f>IF(ISERROR(VLOOKUP($A279,'SegEnds_NonXtal_BW#'!$A:$Z,21,FALSE)+VLOOKUP($A279,A:AL,31,FALSE)-50),"-",(VLOOKUP($A279,'SegEnds_NonXtal_BW#'!$A:$Z,21,FALSE)+VLOOKUP($A279,A:AL,31,FALSE)-50))</f>
        <v>303</v>
      </c>
      <c r="AE279" s="3">
        <v>329</v>
      </c>
      <c r="AF279" s="3">
        <f>IF(ISERROR((VLOOKUP($A279,'SegEnds_NonXtal_BW#'!$A:$Z,22,FALSE)+VLOOKUP($A279,A:AL,31,FALSE)-50)),"-",(VLOOKUP($A279,'SegEnds_NonXtal_BW#'!$A:$Z,22,FALSE)+VLOOKUP($A279,A:AL,31,FALSE)-50))</f>
        <v>340</v>
      </c>
      <c r="AG279" s="3">
        <f>IF(ISERROR(VLOOKUP($A279,'SegEnds_NonXtal_BW#'!$A:$Z,23,FALSE)+VLOOKUP($A279,A:AL,34,FALSE)-50),"-",(VLOOKUP($A279,'SegEnds_NonXtal_BW#'!$A:$Z,23,FALSE)+VLOOKUP($A279,A:AL,34,FALSE)-50))</f>
        <v>345</v>
      </c>
      <c r="AH279" s="3">
        <v>368</v>
      </c>
      <c r="AI279" s="3">
        <f>IF(ISERROR((VLOOKUP($A279,'SegEnds_NonXtal_BW#'!$A:$Z,24,FALSE)+VLOOKUP($A279,A:AL,34,FALSE)-50)),"-",(VLOOKUP($A279,'SegEnds_NonXtal_BW#'!$A:$Z,24,FALSE)+VLOOKUP($A279,A:AL,34,FALSE)-50))</f>
        <v>374</v>
      </c>
      <c r="AJ279" s="3">
        <f>IF(ISERROR(VLOOKUP($A279,'SegEnds_NonXtal_BW#'!$A:$Z,25,FALSE)+VLOOKUP($A279,A:AL,37,FALSE)-50),"-",(VLOOKUP($A279,'SegEnds_NonXtal_BW#'!$A:$Z,25,FALSE)+VLOOKUP($A279,A:AL,37,FALSE)-50))</f>
        <v>375</v>
      </c>
      <c r="AK279" s="3">
        <v>378</v>
      </c>
      <c r="AL279" s="3">
        <f>IF(ISERROR((VLOOKUP($A279,'SegEnds_NonXtal_BW#'!$A:$Z,26,FALSE)+VLOOKUP($A279,A:AL,37,FALSE)-50)),"-",(VLOOKUP($A279,'SegEnds_NonXtal_BW#'!$A:$Z,26,FALSE)+VLOOKUP($A279,A:AL,37,FALSE)-50))</f>
        <v>388</v>
      </c>
      <c r="AM279" s="28" t="str">
        <f>VLOOKUP(A279,Classification!A:B,2,FALSE)</f>
        <v>A</v>
      </c>
      <c r="AN279" s="28" t="b">
        <f t="shared" si="211"/>
        <v>1</v>
      </c>
      <c r="AO279" s="3" t="str">
        <f>IF(ISERROR(MATCH(A279,'SegEnds_Xtal_Prot#'!B:B, 0)), "NoXtal", "Xtal")</f>
        <v>NoXtal</v>
      </c>
      <c r="AP279" s="3">
        <f t="shared" si="196"/>
        <v>1</v>
      </c>
      <c r="AQ279" s="3">
        <f t="shared" si="197"/>
        <v>1</v>
      </c>
      <c r="AR279" s="3">
        <f t="shared" si="198"/>
        <v>1</v>
      </c>
      <c r="AS279" s="3">
        <f t="shared" si="199"/>
        <v>1</v>
      </c>
      <c r="AT279" s="3" t="str">
        <f t="shared" si="200"/>
        <v>-</v>
      </c>
      <c r="AU279" s="3" t="str">
        <f t="shared" si="201"/>
        <v>-</v>
      </c>
      <c r="AV279" s="3">
        <f t="shared" si="202"/>
        <v>9</v>
      </c>
      <c r="AW279" s="3">
        <f t="shared" si="203"/>
        <v>8</v>
      </c>
      <c r="AX279" s="3">
        <f t="shared" si="204"/>
        <v>23</v>
      </c>
      <c r="AY279" s="3">
        <f t="shared" si="205"/>
        <v>5</v>
      </c>
      <c r="AZ279" s="3">
        <f t="shared" si="206"/>
        <v>1</v>
      </c>
      <c r="BA279" s="3">
        <f>IF(ISERROR(LEN(VLOOKUP(A279,Seqs!A:E,2,FALSE))-AL279),"-",LEN(VLOOKUP(A279,Seqs!A:E,2,FALSE))-AL279)</f>
        <v>31</v>
      </c>
      <c r="BB279" s="16">
        <f t="shared" si="207"/>
        <v>28</v>
      </c>
      <c r="BC279" s="9" t="str">
        <f t="shared" si="208"/>
        <v>-</v>
      </c>
      <c r="BD279" s="3">
        <f t="shared" si="209"/>
        <v>28</v>
      </c>
      <c r="BE279" s="3">
        <f t="shared" si="210"/>
        <v>75</v>
      </c>
    </row>
    <row r="280" spans="1:58" s="3" customFormat="1" x14ac:dyDescent="0.2">
      <c r="A280" s="3" t="s">
        <v>265</v>
      </c>
      <c r="B280" s="3" t="str">
        <f>LOWER(VLOOKUP(A280,Xtal_Templ!A:B,2,FALSE))</f>
        <v>ccr6_human</v>
      </c>
      <c r="C280" s="3">
        <f>VLOOKUP($A280,'SegEnds_NonXtal_BW#'!$A:$Z,3,FALSE)+D280-50</f>
        <v>35</v>
      </c>
      <c r="D280" s="3">
        <v>60</v>
      </c>
      <c r="E280" s="3">
        <f>IF(ISERROR(VLOOKUP($A280,'SegEnds_NonXtal_BW#'!$A:$Z,4,FALSE)+VLOOKUP($A280,A:AL,4,FALSE)-50),"-",(VLOOKUP($A280,'SegEnds_NonXtal_BW#'!$A:$Z,4,FALSE)+VLOOKUP($A280,A:AL,4,FALSE)-50))</f>
        <v>70</v>
      </c>
      <c r="F280" s="3">
        <f t="shared" si="215"/>
        <v>73</v>
      </c>
      <c r="G280" s="3">
        <v>75</v>
      </c>
      <c r="H280" s="3">
        <f t="shared" si="216"/>
        <v>76</v>
      </c>
      <c r="I280" s="3">
        <f t="shared" si="216"/>
        <v>77</v>
      </c>
      <c r="J280" s="3">
        <v>90</v>
      </c>
      <c r="K280" s="3">
        <f>VLOOKUP($A280,'SegEnds_NonXtal_BW#'!$A:$Z,8,FALSE)+VLOOKUP($A280,A:AL,10,FALSE)-50</f>
        <v>107</v>
      </c>
      <c r="L280" s="3" t="str">
        <f>IF(ISERROR(VLOOKUP($A280,'SegEnds_NonXtal_BW#'!$A:$Z,9,FALSE)+VLOOKUP($A280,A:AL,13,FALSE)-50),"-",(VLOOKUP($A280,'SegEnds_NonXtal_BW#'!$A:$Z,9,FALSE)+VLOOKUP($A280,A:AL,13,FALSE)-50))</f>
        <v>-</v>
      </c>
      <c r="M280" s="3" t="s">
        <v>23</v>
      </c>
      <c r="N280" s="3" t="str">
        <f>IF(ISERROR(VLOOKUP($A280,'SegEnds_NonXtal_BW#'!$A:$Z,10,FALSE)+VLOOKUP($A280,A:AL,13,FALSE)-50),"-",(VLOOKUP($A280,'SegEnds_NonXtal_BW#'!$A:$Z,10,FALSE)+VLOOKUP($A280,A:AL,13,FALSE)-50))</f>
        <v>-</v>
      </c>
      <c r="O280" s="3">
        <f>VLOOKUP($A280,'SegEnds_NonXtal_BW#'!$A:$Z,11,FALSE)+VLOOKUP($A280,A:AL,16,FALSE)-50</f>
        <v>111</v>
      </c>
      <c r="P280" s="3">
        <v>143</v>
      </c>
      <c r="Q280" s="3">
        <f>VLOOKUP($A280,'SegEnds_NonXtal_BW#'!$A:$Z,12,FALSE)+VLOOKUP($A280,A:AL,16,FALSE)-50</f>
        <v>149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157</v>
      </c>
      <c r="V280" s="3">
        <v>169</v>
      </c>
      <c r="W280" s="3">
        <f>IF(ISERROR(VLOOKUP($A280,'SegEnds_NonXtal_BW#'!$A:$Z,16,FALSE)+VLOOKUP($A280,A:AL,22,FALSE)-50),"-",(VLOOKUP($A280,'SegEnds_NonXtal_BW#'!$A:$Z,16,FALSE)+VLOOKUP($A280,A:AL,22,FALSE)-50))</f>
        <v>183</v>
      </c>
      <c r="X280" s="3">
        <f>IF(ISERROR(VLOOKUP($A280,'SegEnds_NonXtal_BW#'!$A:$Z,17,FALSE)+VLOOKUP($A280,A:AL,25,FALSE)-50),"-",(VLOOKUP($A280,'SegEnds_NonXtal_BW#'!$A:$Z,17,FALSE)+VLOOKUP($A280,A:AL,25,FALSE)-50))</f>
        <v>189</v>
      </c>
      <c r="Y280" s="3">
        <v>189</v>
      </c>
      <c r="Z280" s="3">
        <f t="shared" si="213"/>
        <v>191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214</v>
      </c>
      <c r="AC280" s="3">
        <f>IF(ISERROR((VLOOKUP($A280,'SegEnds_NonXtal_BW#'!$A:$Z,20,FALSE)+VLOOKUP($A280,A:AL,28,FALSE)-50)),"-",(VLOOKUP($A280,'SegEnds_NonXtal_BW#'!$A:$Z,20,FALSE)+VLOOKUP($A280,A:AL,28,FALSE)-50))</f>
        <v>240</v>
      </c>
      <c r="AD280" s="3">
        <f>IF(ISERROR(VLOOKUP($A280,'SegEnds_NonXtal_BW#'!$A:$Z,21,FALSE)+VLOOKUP($A280,A:AL,31,FALSE)-50),"-",(VLOOKUP($A280,'SegEnds_NonXtal_BW#'!$A:$Z,21,FALSE)+VLOOKUP($A280,A:AL,31,FALSE)-50))</f>
        <v>310</v>
      </c>
      <c r="AE280" s="3">
        <v>336</v>
      </c>
      <c r="AF280" s="3">
        <f>IF(ISERROR((VLOOKUP($A280,'SegEnds_NonXtal_BW#'!$A:$Z,22,FALSE)+VLOOKUP($A280,A:AL,31,FALSE)-50)),"-",(VLOOKUP($A280,'SegEnds_NonXtal_BW#'!$A:$Z,22,FALSE)+VLOOKUP($A280,A:AL,31,FALSE)-50))</f>
        <v>347</v>
      </c>
      <c r="AG280" s="3">
        <f>IF(ISERROR(VLOOKUP($A280,'SegEnds_NonXtal_BW#'!$A:$Z,23,FALSE)+VLOOKUP($A280,A:AL,34,FALSE)-50),"-",(VLOOKUP($A280,'SegEnds_NonXtal_BW#'!$A:$Z,23,FALSE)+VLOOKUP($A280,A:AL,34,FALSE)-50))</f>
        <v>354</v>
      </c>
      <c r="AH280" s="3">
        <v>373</v>
      </c>
      <c r="AI280" s="3">
        <f>IF(ISERROR((VLOOKUP($A280,'SegEnds_NonXtal_BW#'!$A:$Z,24,FALSE)+VLOOKUP($A280,A:AL,34,FALSE)-50)),"-",(VLOOKUP($A280,'SegEnds_NonXtal_BW#'!$A:$Z,24,FALSE)+VLOOKUP($A280,A:AL,34,FALSE)-50))</f>
        <v>379</v>
      </c>
      <c r="AJ280" s="3">
        <f>IF(ISERROR(VLOOKUP($A280,'SegEnds_NonXtal_BW#'!$A:$Z,25,FALSE)+VLOOKUP($A280,A:AL,37,FALSE)-50),"-",(VLOOKUP($A280,'SegEnds_NonXtal_BW#'!$A:$Z,25,FALSE)+VLOOKUP($A280,A:AL,37,FALSE)-50))</f>
        <v>380</v>
      </c>
      <c r="AK280" s="3">
        <v>383</v>
      </c>
      <c r="AL280" s="3">
        <f>IF(ISERROR((VLOOKUP($A280,'SegEnds_NonXtal_BW#'!$A:$Z,26,FALSE)+VLOOKUP($A280,A:AL,37,FALSE)-50)),"-",(VLOOKUP($A280,'SegEnds_NonXtal_BW#'!$A:$Z,26,FALSE)+VLOOKUP($A280,A:AL,37,FALSE)-50))</f>
        <v>395</v>
      </c>
      <c r="AM280" s="28" t="str">
        <f>VLOOKUP(A280,Classification!A:B,2,FALSE)</f>
        <v>A</v>
      </c>
      <c r="AN280" s="28" t="b">
        <f t="shared" si="211"/>
        <v>1</v>
      </c>
      <c r="AO280" s="3" t="str">
        <f>IF(ISERROR(MATCH(A280,'SegEnds_Xtal_Prot#'!B:B, 0)), "NoXtal", "Xtal")</f>
        <v>NoXtal</v>
      </c>
      <c r="AP280" s="3">
        <f t="shared" si="196"/>
        <v>3</v>
      </c>
      <c r="AQ280" s="3">
        <f t="shared" si="197"/>
        <v>1</v>
      </c>
      <c r="AR280" s="3" t="str">
        <f t="shared" si="198"/>
        <v>-</v>
      </c>
      <c r="AS280" s="3" t="str">
        <f t="shared" si="199"/>
        <v>-</v>
      </c>
      <c r="AT280" s="3" t="str">
        <f t="shared" si="200"/>
        <v>-</v>
      </c>
      <c r="AU280" s="3" t="str">
        <f t="shared" si="201"/>
        <v>-</v>
      </c>
      <c r="AV280" s="3">
        <f t="shared" si="202"/>
        <v>6</v>
      </c>
      <c r="AW280" s="3">
        <f t="shared" si="203"/>
        <v>4</v>
      </c>
      <c r="AX280" s="3">
        <f t="shared" si="204"/>
        <v>70</v>
      </c>
      <c r="AY280" s="3">
        <f t="shared" si="205"/>
        <v>7</v>
      </c>
      <c r="AZ280" s="3">
        <f t="shared" si="206"/>
        <v>1</v>
      </c>
      <c r="BA280" s="3">
        <f>IF(ISERROR(LEN(VLOOKUP(A280,Seqs!A:E,2,FALSE))-AL280),"-",LEN(VLOOKUP(A280,Seqs!A:E,2,FALSE))-AL280)</f>
        <v>145</v>
      </c>
      <c r="BB280" s="16">
        <f t="shared" si="207"/>
        <v>30</v>
      </c>
      <c r="BC280" s="9" t="str">
        <f t="shared" si="208"/>
        <v>-</v>
      </c>
      <c r="BD280" s="3">
        <f t="shared" si="209"/>
        <v>30</v>
      </c>
      <c r="BE280" s="3">
        <f t="shared" si="210"/>
        <v>122</v>
      </c>
    </row>
    <row r="281" spans="1:58" s="3" customFormat="1" x14ac:dyDescent="0.2">
      <c r="A281" s="3" t="s">
        <v>268</v>
      </c>
      <c r="B281" s="3" t="str">
        <f>LOWER(VLOOKUP(A281,Xtal_Templ!A:B,2,FALSE))</f>
        <v>ox2r_human</v>
      </c>
      <c r="C281" s="3">
        <f>VLOOKUP($A281,'SegEnds_NonXtal_BW#'!$A:$Z,3,FALSE)+D281-50</f>
        <v>70</v>
      </c>
      <c r="D281" s="3">
        <v>89</v>
      </c>
      <c r="E281" s="3">
        <f>IF(ISERROR(VLOOKUP($A281,'SegEnds_NonXtal_BW#'!$A:$Z,4,FALSE)+VLOOKUP($A281,A:AL,4,FALSE)-50),"-",(VLOOKUP($A281,'SegEnds_NonXtal_BW#'!$A:$Z,4,FALSE)+VLOOKUP($A281,A:AL,4,FALSE)-50))</f>
        <v>99</v>
      </c>
      <c r="F281" s="3">
        <f t="shared" si="215"/>
        <v>100</v>
      </c>
      <c r="G281" s="3">
        <v>102</v>
      </c>
      <c r="H281" s="3">
        <f t="shared" si="216"/>
        <v>103</v>
      </c>
      <c r="I281" s="3">
        <f t="shared" si="216"/>
        <v>104</v>
      </c>
      <c r="J281" s="3">
        <v>117</v>
      </c>
      <c r="K281" s="3">
        <f>VLOOKUP($A281,'SegEnds_NonXtal_BW#'!$A:$Z,8,FALSE)+VLOOKUP($A281,A:AL,10,FALSE)-50</f>
        <v>135</v>
      </c>
      <c r="L281" s="3">
        <f t="shared" ref="L281:L298" si="217">M281-1</f>
        <v>136</v>
      </c>
      <c r="M281" s="3">
        <v>137</v>
      </c>
      <c r="N281" s="3">
        <f t="shared" ref="N281:N298" si="218">M281+2</f>
        <v>139</v>
      </c>
      <c r="O281" s="3">
        <f t="shared" ref="O281:O298" si="219">N281+1</f>
        <v>140</v>
      </c>
      <c r="P281" s="3">
        <v>169</v>
      </c>
      <c r="Q281" s="3">
        <f>VLOOKUP($A281,'SegEnds_NonXtal_BW#'!$A:$Z,12,FALSE)+VLOOKUP($A281,A:AL,16,FALSE)-50</f>
        <v>175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182</v>
      </c>
      <c r="V281" s="3">
        <v>194</v>
      </c>
      <c r="W281" s="3">
        <f>IF(ISERROR(VLOOKUP($A281,'SegEnds_NonXtal_BW#'!$A:$Z,16,FALSE)+VLOOKUP($A281,A:AL,22,FALSE)-50),"-",(VLOOKUP($A281,'SegEnds_NonXtal_BW#'!$A:$Z,16,FALSE)+VLOOKUP($A281,A:AL,22,FALSE)-50))</f>
        <v>208</v>
      </c>
      <c r="X281" s="3">
        <f>IF(ISERROR(VLOOKUP($A281,'SegEnds_NonXtal_BW#'!$A:$Z,17,FALSE)+VLOOKUP($A281,A:AL,25,FALSE)-50),"-",(VLOOKUP($A281,'SegEnds_NonXtal_BW#'!$A:$Z,17,FALSE)+VLOOKUP($A281,A:AL,25,FALSE)-50))</f>
        <v>224</v>
      </c>
      <c r="Y281" s="3">
        <v>224</v>
      </c>
      <c r="Z281" s="3">
        <f t="shared" si="213"/>
        <v>226</v>
      </c>
      <c r="AA281" s="3">
        <f>IF(ISERROR(VLOOKUP($A281,'SegEnds_NonXtal_BW#'!$A:$Z,19,FALSE)+VLOOKUP($A281,A:AL,28,FALSE)-50),"-",(VLOOKUP($A281,'SegEnds_NonXtal_BW#'!$A:$Z,19,FALSE)+VLOOKUP($A281,A:AL,28,FALSE)-50))</f>
        <v>234</v>
      </c>
      <c r="AB281" s="3">
        <v>251</v>
      </c>
      <c r="AC281" s="3">
        <f>IF(ISERROR((VLOOKUP($A281,'SegEnds_NonXtal_BW#'!$A:$Z,20,FALSE)+VLOOKUP($A281,A:AL,28,FALSE)-50)),"-",(VLOOKUP($A281,'SegEnds_NonXtal_BW#'!$A:$Z,20,FALSE)+VLOOKUP($A281,A:AL,28,FALSE)-50))</f>
        <v>274</v>
      </c>
      <c r="AD281" s="3">
        <f>IF(ISERROR(VLOOKUP($A281,'SegEnds_NonXtal_BW#'!$A:$Z,21,FALSE)+VLOOKUP($A281,A:AL,31,FALSE)-50),"-",(VLOOKUP($A281,'SegEnds_NonXtal_BW#'!$A:$Z,21,FALSE)+VLOOKUP($A281,A:AL,31,FALSE)-50))</f>
        <v>279</v>
      </c>
      <c r="AE281" s="3">
        <v>307</v>
      </c>
      <c r="AF281" s="3">
        <f>IF(ISERROR((VLOOKUP($A281,'SegEnds_NonXtal_BW#'!$A:$Z,22,FALSE)+VLOOKUP($A281,A:AL,31,FALSE)-50)),"-",(VLOOKUP($A281,'SegEnds_NonXtal_BW#'!$A:$Z,22,FALSE)+VLOOKUP($A281,A:AL,31,FALSE)-50))</f>
        <v>318</v>
      </c>
      <c r="AG281" s="3">
        <f>IF(ISERROR(VLOOKUP($A281,'SegEnds_NonXtal_BW#'!$A:$Z,23,FALSE)+VLOOKUP($A281,A:AL,34,FALSE)-50),"-",(VLOOKUP($A281,'SegEnds_NonXtal_BW#'!$A:$Z,23,FALSE)+VLOOKUP($A281,A:AL,34,FALSE)-50))</f>
        <v>323</v>
      </c>
      <c r="AH281" s="3">
        <v>342</v>
      </c>
      <c r="AI281" s="3">
        <f>IF(ISERROR((VLOOKUP($A281,'SegEnds_NonXtal_BW#'!$A:$Z,24,FALSE)+VLOOKUP($A281,A:AL,34,FALSE)-50)),"-",(VLOOKUP($A281,'SegEnds_NonXtal_BW#'!$A:$Z,24,FALSE)+VLOOKUP($A281,A:AL,34,FALSE)-50))</f>
        <v>348</v>
      </c>
      <c r="AJ281" s="3">
        <f>IF(ISERROR(VLOOKUP($A281,'SegEnds_NonXtal_BW#'!$A:$Z,25,FALSE)+VLOOKUP($A281,A:AL,37,FALSE)-50),"-",(VLOOKUP($A281,'SegEnds_NonXtal_BW#'!$A:$Z,25,FALSE)+VLOOKUP($A281,A:AL,37,FALSE)-50))</f>
        <v>349</v>
      </c>
      <c r="AK281" s="3">
        <v>352</v>
      </c>
      <c r="AL281" s="3">
        <f>IF(ISERROR((VLOOKUP($A281,'SegEnds_NonXtal_BW#'!$A:$Z,26,FALSE)+VLOOKUP($A281,A:AL,37,FALSE)-50)),"-",(VLOOKUP($A281,'SegEnds_NonXtal_BW#'!$A:$Z,26,FALSE)+VLOOKUP($A281,A:AL,37,FALSE)-50))</f>
        <v>365</v>
      </c>
      <c r="AM281" s="28" t="str">
        <f>VLOOKUP(A281,Classification!A:B,2,FALSE)</f>
        <v>A</v>
      </c>
      <c r="AN281" s="28" t="b">
        <f t="shared" si="211"/>
        <v>1</v>
      </c>
      <c r="AO281" s="3" t="str">
        <f>IF(ISERROR(MATCH(A281,'SegEnds_Xtal_Prot#'!B:B, 0)), "NoXtal", "Xtal")</f>
        <v>NoXtal</v>
      </c>
      <c r="AP281" s="3">
        <f t="shared" si="196"/>
        <v>1</v>
      </c>
      <c r="AQ281" s="3">
        <f t="shared" si="197"/>
        <v>1</v>
      </c>
      <c r="AR281" s="3">
        <f t="shared" si="198"/>
        <v>1</v>
      </c>
      <c r="AS281" s="3">
        <f t="shared" si="199"/>
        <v>1</v>
      </c>
      <c r="AT281" s="3" t="str">
        <f t="shared" si="200"/>
        <v>-</v>
      </c>
      <c r="AU281" s="3" t="str">
        <f t="shared" si="201"/>
        <v>-</v>
      </c>
      <c r="AV281" s="3">
        <f t="shared" si="202"/>
        <v>16</v>
      </c>
      <c r="AW281" s="3">
        <f t="shared" si="203"/>
        <v>8</v>
      </c>
      <c r="AX281" s="3">
        <f t="shared" si="204"/>
        <v>5</v>
      </c>
      <c r="AY281" s="3">
        <f t="shared" si="205"/>
        <v>5</v>
      </c>
      <c r="AZ281" s="3">
        <f t="shared" si="206"/>
        <v>1</v>
      </c>
      <c r="BA281" s="3">
        <f>IF(ISERROR(LEN(VLOOKUP(A281,Seqs!A:E,2,FALSE))-AL281),"-",LEN(VLOOKUP(A281,Seqs!A:E,2,FALSE))-AL281)</f>
        <v>58</v>
      </c>
      <c r="BB281" s="16">
        <f t="shared" si="207"/>
        <v>28</v>
      </c>
      <c r="BC281" s="9" t="str">
        <f t="shared" si="208"/>
        <v>-</v>
      </c>
      <c r="BD281" s="3">
        <f t="shared" si="209"/>
        <v>28</v>
      </c>
      <c r="BE281" s="3">
        <f t="shared" si="210"/>
        <v>56</v>
      </c>
    </row>
    <row r="282" spans="1:58" s="3" customFormat="1" x14ac:dyDescent="0.2">
      <c r="A282" s="3" t="s">
        <v>313</v>
      </c>
      <c r="B282" s="3" t="str">
        <f>LOWER(VLOOKUP(A282,Xtal_Templ!A:B,2,FALSE))</f>
        <v>nk1r_human</v>
      </c>
      <c r="C282" s="3">
        <f>VLOOKUP($A282,'SegEnds_NonXtal_BW#'!$A:$Z,3,FALSE)+D282-50</f>
        <v>28</v>
      </c>
      <c r="D282" s="3">
        <v>50</v>
      </c>
      <c r="E282" s="3">
        <f>IF(ISERROR(VLOOKUP($A282,'SegEnds_NonXtal_BW#'!$A:$Z,4,FALSE)+VLOOKUP($A282,A:AL,4,FALSE)-50),"-",(VLOOKUP($A282,'SegEnds_NonXtal_BW#'!$A:$Z,4,FALSE)+VLOOKUP($A282,A:AL,4,FALSE)-50))</f>
        <v>60</v>
      </c>
      <c r="F282" s="3">
        <f t="shared" si="215"/>
        <v>61</v>
      </c>
      <c r="G282" s="3">
        <v>63</v>
      </c>
      <c r="H282" s="3">
        <f t="shared" si="216"/>
        <v>64</v>
      </c>
      <c r="I282" s="3">
        <f t="shared" si="216"/>
        <v>65</v>
      </c>
      <c r="J282" s="3">
        <v>78</v>
      </c>
      <c r="K282" s="3">
        <f>VLOOKUP($A282,'SegEnds_NonXtal_BW#'!$A:$Z,8,FALSE)+VLOOKUP($A282,A:AL,10,FALSE)-50</f>
        <v>96</v>
      </c>
      <c r="L282" s="3">
        <f t="shared" si="217"/>
        <v>97</v>
      </c>
      <c r="M282" s="3">
        <v>98</v>
      </c>
      <c r="N282" s="3">
        <f t="shared" si="218"/>
        <v>100</v>
      </c>
      <c r="O282" s="3">
        <f t="shared" si="219"/>
        <v>101</v>
      </c>
      <c r="P282" s="3">
        <v>130</v>
      </c>
      <c r="Q282" s="3">
        <f>VLOOKUP($A282,'SegEnds_NonXtal_BW#'!$A:$Z,12,FALSE)+VLOOKUP($A282,A:AL,16,FALSE)-50</f>
        <v>136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143</v>
      </c>
      <c r="V282" s="3">
        <v>155</v>
      </c>
      <c r="W282" s="3">
        <f>IF(ISERROR(VLOOKUP($A282,'SegEnds_NonXtal_BW#'!$A:$Z,16,FALSE)+VLOOKUP($A282,A:AL,22,FALSE)-50),"-",(VLOOKUP($A282,'SegEnds_NonXtal_BW#'!$A:$Z,16,FALSE)+VLOOKUP($A282,A:AL,22,FALSE)-50))</f>
        <v>169</v>
      </c>
      <c r="X282" s="3">
        <f>IF(ISERROR(VLOOKUP($A282,'SegEnds_NonXtal_BW#'!$A:$Z,17,FALSE)+VLOOKUP($A282,A:AL,25,FALSE)-50),"-",(VLOOKUP($A282,'SegEnds_NonXtal_BW#'!$A:$Z,17,FALSE)+VLOOKUP($A282,A:AL,25,FALSE)-50))</f>
        <v>180</v>
      </c>
      <c r="Y282" s="3">
        <v>180</v>
      </c>
      <c r="Z282" s="3">
        <f t="shared" si="213"/>
        <v>182</v>
      </c>
      <c r="AA282" s="3">
        <f>IF(ISERROR(VLOOKUP($A282,'SegEnds_NonXtal_BW#'!$A:$Z,19,FALSE)+VLOOKUP($A282,A:AL,28,FALSE)-50),"-",(VLOOKUP($A282,'SegEnds_NonXtal_BW#'!$A:$Z,19,FALSE)+VLOOKUP($A282,A:AL,28,FALSE)-50))</f>
        <v>188</v>
      </c>
      <c r="AB282" s="3">
        <v>208</v>
      </c>
      <c r="AC282" s="3">
        <f>IF(ISERROR((VLOOKUP($A282,'SegEnds_NonXtal_BW#'!$A:$Z,20,FALSE)+VLOOKUP($A282,A:AL,28,FALSE)-50)),"-",(VLOOKUP($A282,'SegEnds_NonXtal_BW#'!$A:$Z,20,FALSE)+VLOOKUP($A282,A:AL,28,FALSE)-50))</f>
        <v>231</v>
      </c>
      <c r="AD282" s="3">
        <f>IF(ISERROR(VLOOKUP($A282,'SegEnds_NonXtal_BW#'!$A:$Z,21,FALSE)+VLOOKUP($A282,A:AL,31,FALSE)-50),"-",(VLOOKUP($A282,'SegEnds_NonXtal_BW#'!$A:$Z,21,FALSE)+VLOOKUP($A282,A:AL,31,FALSE)-50))</f>
        <v>235</v>
      </c>
      <c r="AE282" s="3">
        <v>263</v>
      </c>
      <c r="AF282" s="3">
        <f>IF(ISERROR((VLOOKUP($A282,'SegEnds_NonXtal_BW#'!$A:$Z,22,FALSE)+VLOOKUP($A282,A:AL,31,FALSE)-50)),"-",(VLOOKUP($A282,'SegEnds_NonXtal_BW#'!$A:$Z,22,FALSE)+VLOOKUP($A282,A:AL,31,FALSE)-50))</f>
        <v>274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302</v>
      </c>
      <c r="AI282" s="3">
        <f>IF(ISERROR((VLOOKUP($A282,'SegEnds_NonXtal_BW#'!$A:$Z,24,FALSE)+VLOOKUP($A282,A:AL,34,FALSE)-50)),"-",(VLOOKUP($A282,'SegEnds_NonXtal_BW#'!$A:$Z,24,FALSE)+VLOOKUP($A282,A:AL,34,FALSE)-50))</f>
        <v>308</v>
      </c>
      <c r="AJ282" s="3">
        <f>IF(ISERROR(VLOOKUP($A282,'SegEnds_NonXtal_BW#'!$A:$Z,25,FALSE)+VLOOKUP($A282,A:AL,37,FALSE)-50),"-",(VLOOKUP($A282,'SegEnds_NonXtal_BW#'!$A:$Z,25,FALSE)+VLOOKUP($A282,A:AL,37,FALSE)-50))</f>
        <v>309</v>
      </c>
      <c r="AK282" s="3">
        <v>312</v>
      </c>
      <c r="AL282" s="3">
        <f>IF(ISERROR((VLOOKUP($A282,'SegEnds_NonXtal_BW#'!$A:$Z,26,FALSE)+VLOOKUP($A282,A:AL,37,FALSE)-50)),"-",(VLOOKUP($A282,'SegEnds_NonXtal_BW#'!$A:$Z,26,FALSE)+VLOOKUP($A282,A:AL,37,FALSE)-50))</f>
        <v>320</v>
      </c>
      <c r="AM282" s="28" t="str">
        <f>VLOOKUP(A282,Classification!A:B,2,FALSE)</f>
        <v>A</v>
      </c>
      <c r="AN282" s="28" t="b">
        <f t="shared" si="211"/>
        <v>1</v>
      </c>
      <c r="AO282" s="3" t="str">
        <f>IF(ISERROR(MATCH(A282,'SegEnds_Xtal_Prot#'!B:B, 0)), "NoXtal", "Xtal")</f>
        <v>Xtal</v>
      </c>
      <c r="AP282" s="3">
        <f t="shared" si="196"/>
        <v>1</v>
      </c>
      <c r="AQ282" s="3">
        <f t="shared" si="197"/>
        <v>1</v>
      </c>
      <c r="AR282" s="3">
        <f t="shared" si="198"/>
        <v>1</v>
      </c>
      <c r="AS282" s="3">
        <f t="shared" si="199"/>
        <v>1</v>
      </c>
      <c r="AT282" s="3" t="str">
        <f t="shared" si="200"/>
        <v>-</v>
      </c>
      <c r="AU282" s="3" t="str">
        <f t="shared" si="201"/>
        <v>-</v>
      </c>
      <c r="AV282" s="3">
        <f t="shared" si="202"/>
        <v>11</v>
      </c>
      <c r="AW282" s="3">
        <f t="shared" si="203"/>
        <v>6</v>
      </c>
      <c r="AX282" s="3">
        <f t="shared" si="204"/>
        <v>4</v>
      </c>
      <c r="AY282" s="3">
        <f t="shared" si="205"/>
        <v>8</v>
      </c>
      <c r="AZ282" s="3">
        <f t="shared" si="206"/>
        <v>1</v>
      </c>
      <c r="BA282" s="3">
        <f>IF(ISERROR(LEN(VLOOKUP(A282,Seqs!A:E,2,FALSE))-AL282),"-",LEN(VLOOKUP(A282,Seqs!A:E,2,FALSE))-AL282)</f>
        <v>87</v>
      </c>
      <c r="BB282" s="16">
        <f t="shared" si="207"/>
        <v>28</v>
      </c>
      <c r="BC282" s="9" t="str">
        <f t="shared" si="208"/>
        <v>-</v>
      </c>
      <c r="BD282" s="3">
        <f t="shared" si="209"/>
        <v>28</v>
      </c>
      <c r="BE282" s="3">
        <f t="shared" si="210"/>
        <v>55</v>
      </c>
    </row>
    <row r="283" spans="1:58" s="3" customFormat="1" x14ac:dyDescent="0.2">
      <c r="A283" s="3" t="s">
        <v>314</v>
      </c>
      <c r="B283" s="3" t="str">
        <f>LOWER(VLOOKUP(A283,Xtal_Templ!A:B,2,FALSE))</f>
        <v>nk1r_human</v>
      </c>
      <c r="C283" s="3">
        <f>VLOOKUP($A283,'SegEnds_NonXtal_BW#'!$A:$Z,3,FALSE)+D283-50</f>
        <v>29</v>
      </c>
      <c r="D283" s="3">
        <v>51</v>
      </c>
      <c r="E283" s="3">
        <f>IF(ISERROR(VLOOKUP($A283,'SegEnds_NonXtal_BW#'!$A:$Z,4,FALSE)+VLOOKUP($A283,A:AL,4,FALSE)-50),"-",(VLOOKUP($A283,'SegEnds_NonXtal_BW#'!$A:$Z,4,FALSE)+VLOOKUP($A283,A:AL,4,FALSE)-50))</f>
        <v>61</v>
      </c>
      <c r="F283" s="3">
        <f t="shared" si="215"/>
        <v>62</v>
      </c>
      <c r="G283" s="3">
        <v>64</v>
      </c>
      <c r="H283" s="3">
        <f t="shared" si="216"/>
        <v>65</v>
      </c>
      <c r="I283" s="3">
        <f t="shared" si="216"/>
        <v>66</v>
      </c>
      <c r="J283" s="3">
        <v>79</v>
      </c>
      <c r="K283" s="3">
        <f>VLOOKUP($A283,'SegEnds_NonXtal_BW#'!$A:$Z,8,FALSE)+VLOOKUP($A283,A:AL,10,FALSE)-50</f>
        <v>97</v>
      </c>
      <c r="L283" s="3">
        <f t="shared" si="217"/>
        <v>98</v>
      </c>
      <c r="M283" s="3">
        <v>99</v>
      </c>
      <c r="N283" s="3">
        <f t="shared" si="218"/>
        <v>101</v>
      </c>
      <c r="O283" s="3">
        <f t="shared" si="219"/>
        <v>102</v>
      </c>
      <c r="P283" s="3">
        <v>131</v>
      </c>
      <c r="Q283" s="3">
        <f>VLOOKUP($A283,'SegEnds_NonXtal_BW#'!$A:$Z,12,FALSE)+VLOOKUP($A283,A:AL,16,FALSE)-50</f>
        <v>137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144</v>
      </c>
      <c r="V283" s="3">
        <v>156</v>
      </c>
      <c r="W283" s="3">
        <f>IF(ISERROR(VLOOKUP($A283,'SegEnds_NonXtal_BW#'!$A:$Z,16,FALSE)+VLOOKUP($A283,A:AL,22,FALSE)-50),"-",(VLOOKUP($A283,'SegEnds_NonXtal_BW#'!$A:$Z,16,FALSE)+VLOOKUP($A283,A:AL,22,FALSE)-50))</f>
        <v>170</v>
      </c>
      <c r="X283" s="3">
        <f>IF(ISERROR(VLOOKUP($A283,'SegEnds_NonXtal_BW#'!$A:$Z,17,FALSE)+VLOOKUP($A283,A:AL,25,FALSE)-50),"-",(VLOOKUP($A283,'SegEnds_NonXtal_BW#'!$A:$Z,17,FALSE)+VLOOKUP($A283,A:AL,25,FALSE)-50))</f>
        <v>181</v>
      </c>
      <c r="Y283" s="3">
        <v>181</v>
      </c>
      <c r="Z283" s="3">
        <f t="shared" si="213"/>
        <v>183</v>
      </c>
      <c r="AA283" s="3">
        <f>IF(ISERROR(VLOOKUP($A283,'SegEnds_NonXtal_BW#'!$A:$Z,19,FALSE)+VLOOKUP($A283,A:AL,28,FALSE)-50),"-",(VLOOKUP($A283,'SegEnds_NonXtal_BW#'!$A:$Z,19,FALSE)+VLOOKUP($A283,A:AL,28,FALSE)-50))</f>
        <v>189</v>
      </c>
      <c r="AB283" s="3">
        <v>209</v>
      </c>
      <c r="AC283" s="3">
        <f>IF(ISERROR((VLOOKUP($A283,'SegEnds_NonXtal_BW#'!$A:$Z,20,FALSE)+VLOOKUP($A283,A:AL,28,FALSE)-50)),"-",(VLOOKUP($A283,'SegEnds_NonXtal_BW#'!$A:$Z,20,FALSE)+VLOOKUP($A283,A:AL,28,FALSE)-50))</f>
        <v>232</v>
      </c>
      <c r="AD283" s="3">
        <f>IF(ISERROR(VLOOKUP($A283,'SegEnds_NonXtal_BW#'!$A:$Z,21,FALSE)+VLOOKUP($A283,A:AL,31,FALSE)-50),"-",(VLOOKUP($A283,'SegEnds_NonXtal_BW#'!$A:$Z,21,FALSE)+VLOOKUP($A283,A:AL,31,FALSE)-50))</f>
        <v>237</v>
      </c>
      <c r="AE283" s="3">
        <v>265</v>
      </c>
      <c r="AF283" s="3">
        <f>IF(ISERROR((VLOOKUP($A283,'SegEnds_NonXtal_BW#'!$A:$Z,22,FALSE)+VLOOKUP($A283,A:AL,31,FALSE)-50)),"-",(VLOOKUP($A283,'SegEnds_NonXtal_BW#'!$A:$Z,22,FALSE)+VLOOKUP($A283,A:AL,31,FALSE)-50))</f>
        <v>276</v>
      </c>
      <c r="AG283" s="3">
        <f>IF(ISERROR(VLOOKUP($A283,'SegEnds_NonXtal_BW#'!$A:$Z,23,FALSE)+VLOOKUP($A283,A:AL,34,FALSE)-50),"-",(VLOOKUP($A283,'SegEnds_NonXtal_BW#'!$A:$Z,23,FALSE)+VLOOKUP($A283,A:AL,34,FALSE)-50))</f>
        <v>284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322</v>
      </c>
      <c r="AM283" s="28" t="str">
        <f>VLOOKUP(A283,Classification!A:B,2,FALSE)</f>
        <v>A</v>
      </c>
      <c r="AN283" s="28" t="b">
        <f t="shared" si="211"/>
        <v>1</v>
      </c>
      <c r="AO283" s="3" t="str">
        <f>IF(ISERROR(MATCH(A283,'SegEnds_Xtal_Prot#'!B:B, 0)), "NoXtal", "Xtal")</f>
        <v>NoXtal</v>
      </c>
      <c r="AP283" s="3">
        <f t="shared" si="196"/>
        <v>1</v>
      </c>
      <c r="AQ283" s="3">
        <f t="shared" si="197"/>
        <v>1</v>
      </c>
      <c r="AR283" s="3">
        <f t="shared" si="198"/>
        <v>1</v>
      </c>
      <c r="AS283" s="3">
        <f t="shared" si="199"/>
        <v>1</v>
      </c>
      <c r="AT283" s="3" t="str">
        <f t="shared" si="200"/>
        <v>-</v>
      </c>
      <c r="AU283" s="3" t="str">
        <f t="shared" si="201"/>
        <v>-</v>
      </c>
      <c r="AV283" s="3">
        <f t="shared" si="202"/>
        <v>11</v>
      </c>
      <c r="AW283" s="3">
        <f t="shared" si="203"/>
        <v>6</v>
      </c>
      <c r="AX283" s="3">
        <f t="shared" si="204"/>
        <v>5</v>
      </c>
      <c r="AY283" s="3">
        <f t="shared" si="205"/>
        <v>8</v>
      </c>
      <c r="AZ283" s="3">
        <f t="shared" si="206"/>
        <v>1</v>
      </c>
      <c r="BA283" s="3">
        <f>IF(ISERROR(LEN(VLOOKUP(A283,Seqs!A:E,2,FALSE))-AL283),"-",LEN(VLOOKUP(A283,Seqs!A:E,2,FALSE))-AL283)</f>
        <v>76</v>
      </c>
      <c r="BB283" s="16">
        <f t="shared" si="207"/>
        <v>28</v>
      </c>
      <c r="BC283" s="9" t="str">
        <f t="shared" si="208"/>
        <v>-</v>
      </c>
      <c r="BD283" s="3">
        <f t="shared" si="209"/>
        <v>28</v>
      </c>
      <c r="BE283" s="3">
        <f t="shared" si="210"/>
        <v>56</v>
      </c>
    </row>
    <row r="284" spans="1:58" s="3" customFormat="1" x14ac:dyDescent="0.2">
      <c r="A284" s="3" t="s">
        <v>315</v>
      </c>
      <c r="B284" s="3" t="str">
        <f>LOWER(VLOOKUP(A284,Xtal_Templ!A:B,2,FALSE))</f>
        <v>nk1r_human</v>
      </c>
      <c r="C284" s="3">
        <f>VLOOKUP($A284,'SegEnds_NonXtal_BW#'!$A:$Z,3,FALSE)+D284-50</f>
        <v>81</v>
      </c>
      <c r="D284" s="3">
        <v>103</v>
      </c>
      <c r="E284" s="3">
        <f>IF(ISERROR(VLOOKUP($A284,'SegEnds_NonXtal_BW#'!$A:$Z,4,FALSE)+VLOOKUP($A284,A:AL,4,FALSE)-50),"-",(VLOOKUP($A284,'SegEnds_NonXtal_BW#'!$A:$Z,4,FALSE)+VLOOKUP($A284,A:AL,4,FALSE)-50))</f>
        <v>113</v>
      </c>
      <c r="F284" s="3">
        <f t="shared" si="215"/>
        <v>114</v>
      </c>
      <c r="G284" s="3">
        <v>116</v>
      </c>
      <c r="H284" s="3">
        <f t="shared" si="216"/>
        <v>117</v>
      </c>
      <c r="I284" s="3">
        <f t="shared" si="216"/>
        <v>118</v>
      </c>
      <c r="J284" s="3">
        <v>131</v>
      </c>
      <c r="K284" s="3">
        <f>VLOOKUP($A284,'SegEnds_NonXtal_BW#'!$A:$Z,8,FALSE)+VLOOKUP($A284,A:AL,10,FALSE)-50</f>
        <v>149</v>
      </c>
      <c r="L284" s="3">
        <f t="shared" si="217"/>
        <v>150</v>
      </c>
      <c r="M284" s="3">
        <v>151</v>
      </c>
      <c r="N284" s="3">
        <f t="shared" si="218"/>
        <v>153</v>
      </c>
      <c r="O284" s="3">
        <f t="shared" si="219"/>
        <v>154</v>
      </c>
      <c r="P284" s="3">
        <v>183</v>
      </c>
      <c r="Q284" s="3">
        <f>VLOOKUP($A284,'SegEnds_NonXtal_BW#'!$A:$Z,12,FALSE)+VLOOKUP($A284,A:AL,16,FALSE)-50</f>
        <v>189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196</v>
      </c>
      <c r="V284" s="3">
        <v>208</v>
      </c>
      <c r="W284" s="3">
        <f>IF(ISERROR(VLOOKUP($A284,'SegEnds_NonXtal_BW#'!$A:$Z,16,FALSE)+VLOOKUP($A284,A:AL,22,FALSE)-50),"-",(VLOOKUP($A284,'SegEnds_NonXtal_BW#'!$A:$Z,16,FALSE)+VLOOKUP($A284,A:AL,22,FALSE)-50))</f>
        <v>222</v>
      </c>
      <c r="X284" s="3">
        <f>IF(ISERROR(VLOOKUP($A284,'SegEnds_NonXtal_BW#'!$A:$Z,17,FALSE)+VLOOKUP($A284,A:AL,25,FALSE)-50),"-",(VLOOKUP($A284,'SegEnds_NonXtal_BW#'!$A:$Z,17,FALSE)+VLOOKUP($A284,A:AL,25,FALSE)-50))</f>
        <v>233</v>
      </c>
      <c r="Y284" s="3">
        <v>233</v>
      </c>
      <c r="Z284" s="3">
        <f t="shared" si="213"/>
        <v>235</v>
      </c>
      <c r="AA284" s="3">
        <f>IF(ISERROR(VLOOKUP($A284,'SegEnds_NonXtal_BW#'!$A:$Z,19,FALSE)+VLOOKUP($A284,A:AL,28,FALSE)-50),"-",(VLOOKUP($A284,'SegEnds_NonXtal_BW#'!$A:$Z,19,FALSE)+VLOOKUP($A284,A:AL,28,FALSE)-50))</f>
        <v>239</v>
      </c>
      <c r="AB284" s="3">
        <v>259</v>
      </c>
      <c r="AC284" s="3">
        <f>IF(ISERROR((VLOOKUP($A284,'SegEnds_NonXtal_BW#'!$A:$Z,20,FALSE)+VLOOKUP($A284,A:AL,28,FALSE)-50)),"-",(VLOOKUP($A284,'SegEnds_NonXtal_BW#'!$A:$Z,20,FALSE)+VLOOKUP($A284,A:AL,28,FALSE)-50))</f>
        <v>282</v>
      </c>
      <c r="AD284" s="3">
        <f>IF(ISERROR(VLOOKUP($A284,'SegEnds_NonXtal_BW#'!$A:$Z,21,FALSE)+VLOOKUP($A284,A:AL,31,FALSE)-50),"-",(VLOOKUP($A284,'SegEnds_NonXtal_BW#'!$A:$Z,21,FALSE)+VLOOKUP($A284,A:AL,31,FALSE)-50))</f>
        <v>286</v>
      </c>
      <c r="AE284" s="3">
        <v>314</v>
      </c>
      <c r="AF284" s="3">
        <f>IF(ISERROR((VLOOKUP($A284,'SegEnds_NonXtal_BW#'!$A:$Z,22,FALSE)+VLOOKUP($A284,A:AL,31,FALSE)-50)),"-",(VLOOKUP($A284,'SegEnds_NonXtal_BW#'!$A:$Z,22,FALSE)+VLOOKUP($A284,A:AL,31,FALSE)-50))</f>
        <v>325</v>
      </c>
      <c r="AG284" s="3">
        <f>IF(ISERROR(VLOOKUP($A284,'SegEnds_NonXtal_BW#'!$A:$Z,23,FALSE)+VLOOKUP($A284,A:AL,34,FALSE)-50),"-",(VLOOKUP($A284,'SegEnds_NonXtal_BW#'!$A:$Z,23,FALSE)+VLOOKUP($A284,A:AL,34,FALSE)-50))</f>
        <v>333</v>
      </c>
      <c r="AH284" s="3">
        <v>353</v>
      </c>
      <c r="AI284" s="3">
        <f>IF(ISERROR((VLOOKUP($A284,'SegEnds_NonXtal_BW#'!$A:$Z,24,FALSE)+VLOOKUP($A284,A:AL,34,FALSE)-50)),"-",(VLOOKUP($A284,'SegEnds_NonXtal_BW#'!$A:$Z,24,FALSE)+VLOOKUP($A284,A:AL,34,FALSE)-50))</f>
        <v>359</v>
      </c>
      <c r="AJ284" s="3">
        <f>IF(ISERROR(VLOOKUP($A284,'SegEnds_NonXtal_BW#'!$A:$Z,25,FALSE)+VLOOKUP($A284,A:AL,37,FALSE)-50),"-",(VLOOKUP($A284,'SegEnds_NonXtal_BW#'!$A:$Z,25,FALSE)+VLOOKUP($A284,A:AL,37,FALSE)-50))</f>
        <v>360</v>
      </c>
      <c r="AK284" s="3">
        <v>363</v>
      </c>
      <c r="AL284" s="3">
        <f>IF(ISERROR((VLOOKUP($A284,'SegEnds_NonXtal_BW#'!$A:$Z,26,FALSE)+VLOOKUP($A284,A:AL,37,FALSE)-50)),"-",(VLOOKUP($A284,'SegEnds_NonXtal_BW#'!$A:$Z,26,FALSE)+VLOOKUP($A284,A:AL,37,FALSE)-50))</f>
        <v>371</v>
      </c>
      <c r="AM284" s="28" t="str">
        <f>VLOOKUP(A284,Classification!A:B,2,FALSE)</f>
        <v>A</v>
      </c>
      <c r="AN284" s="28" t="b">
        <f t="shared" si="211"/>
        <v>1</v>
      </c>
      <c r="AO284" s="3" t="str">
        <f>IF(ISERROR(MATCH(A284,'SegEnds_Xtal_Prot#'!B:B, 0)), "NoXtal", "Xtal")</f>
        <v>NoXtal</v>
      </c>
      <c r="AP284" s="3">
        <f t="shared" si="196"/>
        <v>1</v>
      </c>
      <c r="AQ284" s="3">
        <f t="shared" si="197"/>
        <v>1</v>
      </c>
      <c r="AR284" s="3">
        <f t="shared" si="198"/>
        <v>1</v>
      </c>
      <c r="AS284" s="3">
        <f t="shared" si="199"/>
        <v>1</v>
      </c>
      <c r="AT284" s="3" t="str">
        <f t="shared" si="200"/>
        <v>-</v>
      </c>
      <c r="AU284" s="3" t="str">
        <f t="shared" si="201"/>
        <v>-</v>
      </c>
      <c r="AV284" s="3">
        <f t="shared" si="202"/>
        <v>11</v>
      </c>
      <c r="AW284" s="3">
        <f t="shared" si="203"/>
        <v>4</v>
      </c>
      <c r="AX284" s="3">
        <f t="shared" si="204"/>
        <v>4</v>
      </c>
      <c r="AY284" s="3">
        <f t="shared" si="205"/>
        <v>8</v>
      </c>
      <c r="AZ284" s="3">
        <f t="shared" si="206"/>
        <v>1</v>
      </c>
      <c r="BA284" s="3">
        <f>IF(ISERROR(LEN(VLOOKUP(A284,Seqs!A:E,2,FALSE))-AL284),"-",LEN(VLOOKUP(A284,Seqs!A:E,2,FALSE))-AL284)</f>
        <v>94</v>
      </c>
      <c r="BB284" s="16">
        <f t="shared" si="207"/>
        <v>28</v>
      </c>
      <c r="BC284" s="9" t="str">
        <f t="shared" si="208"/>
        <v>-</v>
      </c>
      <c r="BD284" s="3">
        <f t="shared" si="209"/>
        <v>28</v>
      </c>
      <c r="BE284" s="3">
        <f t="shared" si="210"/>
        <v>55</v>
      </c>
    </row>
    <row r="285" spans="1:58" s="3" customFormat="1" x14ac:dyDescent="0.2">
      <c r="A285" s="3" t="s">
        <v>319</v>
      </c>
      <c r="B285" s="3" t="str">
        <f>LOWER(VLOOKUP(A285,Xtal_Templ!A:B,2,FALSE))</f>
        <v>oprk_human</v>
      </c>
      <c r="C285" s="3">
        <f>VLOOKUP($A285,'SegEnds_NonXtal_BW#'!$A:$Z,3,FALSE)+D285-50</f>
        <v>35</v>
      </c>
      <c r="D285" s="3">
        <v>55</v>
      </c>
      <c r="E285" s="3">
        <f>IF(ISERROR(VLOOKUP($A285,'SegEnds_NonXtal_BW#'!$A:$Z,4,FALSE)+VLOOKUP($A285,A:AL,4,FALSE)-50),"-",(VLOOKUP($A285,'SegEnds_NonXtal_BW#'!$A:$Z,4,FALSE)+VLOOKUP($A285,A:AL,4,FALSE)-50))</f>
        <v>65</v>
      </c>
      <c r="F285" s="3">
        <f t="shared" si="215"/>
        <v>66</v>
      </c>
      <c r="G285" s="3">
        <v>68</v>
      </c>
      <c r="H285" s="3">
        <f t="shared" si="216"/>
        <v>69</v>
      </c>
      <c r="I285" s="3">
        <f t="shared" si="216"/>
        <v>70</v>
      </c>
      <c r="J285" s="3">
        <v>83</v>
      </c>
      <c r="K285" s="3">
        <f>VLOOKUP($A285,'SegEnds_NonXtal_BW#'!$A:$Z,8,FALSE)+VLOOKUP($A285,A:AL,10,FALSE)-50</f>
        <v>99</v>
      </c>
      <c r="L285" s="3">
        <f t="shared" si="217"/>
        <v>101</v>
      </c>
      <c r="M285" s="3">
        <v>102</v>
      </c>
      <c r="N285" s="3">
        <f t="shared" si="218"/>
        <v>104</v>
      </c>
      <c r="O285" s="3">
        <f t="shared" si="219"/>
        <v>105</v>
      </c>
      <c r="P285" s="3">
        <v>134</v>
      </c>
      <c r="Q285" s="3">
        <f>VLOOKUP($A285,'SegEnds_NonXtal_BW#'!$A:$Z,12,FALSE)+VLOOKUP($A285,A:AL,16,FALSE)-50</f>
        <v>140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188</v>
      </c>
      <c r="Y285" s="3">
        <v>188</v>
      </c>
      <c r="Z285" s="3">
        <f t="shared" si="213"/>
        <v>190</v>
      </c>
      <c r="AA285" s="3">
        <f>IF(ISERROR(VLOOKUP($A285,'SegEnds_NonXtal_BW#'!$A:$Z,19,FALSE)+VLOOKUP($A285,A:AL,28,FALSE)-50),"-",(VLOOKUP($A285,'SegEnds_NonXtal_BW#'!$A:$Z,19,FALSE)+VLOOKUP($A285,A:AL,28,FALSE)-50))</f>
        <v>195</v>
      </c>
      <c r="AB285" s="3">
        <v>215</v>
      </c>
      <c r="AC285" s="3">
        <f>IF(ISERROR((VLOOKUP($A285,'SegEnds_NonXtal_BW#'!$A:$Z,20,FALSE)+VLOOKUP($A285,A:AL,28,FALSE)-50)),"-",(VLOOKUP($A285,'SegEnds_NonXtal_BW#'!$A:$Z,20,FALSE)+VLOOKUP($A285,A:AL,28,FALSE)-50))</f>
        <v>233</v>
      </c>
      <c r="AD285" s="3">
        <f>IF(ISERROR(VLOOKUP($A285,'SegEnds_NonXtal_BW#'!$A:$Z,21,FALSE)+VLOOKUP($A285,A:AL,31,FALSE)-50),"-",(VLOOKUP($A285,'SegEnds_NonXtal_BW#'!$A:$Z,21,FALSE)+VLOOKUP($A285,A:AL,31,FALSE)-50))</f>
        <v>239</v>
      </c>
      <c r="AE285" s="3">
        <v>266</v>
      </c>
      <c r="AF285" s="3">
        <f>IF(ISERROR((VLOOKUP($A285,'SegEnds_NonXtal_BW#'!$A:$Z,22,FALSE)+VLOOKUP($A285,A:AL,31,FALSE)-50)),"-",(VLOOKUP($A285,'SegEnds_NonXtal_BW#'!$A:$Z,22,FALSE)+VLOOKUP($A285,A:AL,31,FALSE)-50))</f>
        <v>277</v>
      </c>
      <c r="AG285" s="3">
        <f>IF(ISERROR(VLOOKUP($A285,'SegEnds_NonXtal_BW#'!$A:$Z,23,FALSE)+VLOOKUP($A285,A:AL,34,FALSE)-50),"-",(VLOOKUP($A285,'SegEnds_NonXtal_BW#'!$A:$Z,23,FALSE)+VLOOKUP($A285,A:AL,34,FALSE)-50))</f>
        <v>282</v>
      </c>
      <c r="AH285" s="3">
        <v>304</v>
      </c>
      <c r="AI285" s="3">
        <f>IF(ISERROR((VLOOKUP($A285,'SegEnds_NonXtal_BW#'!$A:$Z,24,FALSE)+VLOOKUP($A285,A:AL,34,FALSE)-50)),"-",(VLOOKUP($A285,'SegEnds_NonXtal_BW#'!$A:$Z,24,FALSE)+VLOOKUP($A285,A:AL,34,FALSE)-50))</f>
        <v>310</v>
      </c>
      <c r="AJ285" s="3">
        <f>IF(ISERROR(VLOOKUP($A285,'SegEnds_NonXtal_BW#'!$A:$Z,25,FALSE)+VLOOKUP($A285,A:AL,37,FALSE)-50),"-",(VLOOKUP($A285,'SegEnds_NonXtal_BW#'!$A:$Z,25,FALSE)+VLOOKUP($A285,A:AL,37,FALSE)-50))</f>
        <v>311</v>
      </c>
      <c r="AK285" s="3">
        <v>314</v>
      </c>
      <c r="AL285" s="3">
        <f>IF(ISERROR((VLOOKUP($A285,'SegEnds_NonXtal_BW#'!$A:$Z,26,FALSE)+VLOOKUP($A285,A:AL,37,FALSE)-50)),"-",(VLOOKUP($A285,'SegEnds_NonXtal_BW#'!$A:$Z,26,FALSE)+VLOOKUP($A285,A:AL,37,FALSE)-50))</f>
        <v>323</v>
      </c>
      <c r="AM285" s="28" t="str">
        <f>VLOOKUP(A285,Classification!A:B,2,FALSE)</f>
        <v>A</v>
      </c>
      <c r="AN285" s="28" t="b">
        <f t="shared" si="211"/>
        <v>1</v>
      </c>
      <c r="AO285" s="3" t="str">
        <f>IF(ISERROR(MATCH(A285,'SegEnds_Xtal_Prot#'!B:B, 0)), "NoXtal", "Xtal")</f>
        <v>NoXtal</v>
      </c>
      <c r="AP285" s="3">
        <f t="shared" si="196"/>
        <v>1</v>
      </c>
      <c r="AQ285" s="3">
        <f t="shared" si="197"/>
        <v>1</v>
      </c>
      <c r="AR285" s="3">
        <f t="shared" si="198"/>
        <v>2</v>
      </c>
      <c r="AS285" s="3">
        <f t="shared" si="199"/>
        <v>1</v>
      </c>
      <c r="AT285" s="3" t="str">
        <f t="shared" si="200"/>
        <v>-</v>
      </c>
      <c r="AU285" s="3" t="str">
        <f t="shared" si="201"/>
        <v>-</v>
      </c>
      <c r="AV285" s="3">
        <f t="shared" si="202"/>
        <v>11</v>
      </c>
      <c r="AW285" s="3">
        <f t="shared" si="203"/>
        <v>5</v>
      </c>
      <c r="AX285" s="3">
        <f t="shared" si="204"/>
        <v>6</v>
      </c>
      <c r="AY285" s="3">
        <f t="shared" si="205"/>
        <v>5</v>
      </c>
      <c r="AZ285" s="3">
        <f t="shared" si="206"/>
        <v>1</v>
      </c>
      <c r="BA285" s="3">
        <f>IF(ISERROR(LEN(VLOOKUP(A285,Seqs!A:E,2,FALSE))-AL285),"-",LEN(VLOOKUP(A285,Seqs!A:E,2,FALSE))-AL285)</f>
        <v>5</v>
      </c>
      <c r="BB285" s="16">
        <f t="shared" si="207"/>
        <v>28</v>
      </c>
      <c r="BC285" s="9" t="str">
        <f t="shared" si="208"/>
        <v>-</v>
      </c>
      <c r="BD285" s="3">
        <f t="shared" si="209"/>
        <v>28</v>
      </c>
      <c r="BE285" s="3">
        <f t="shared" si="210"/>
        <v>51</v>
      </c>
      <c r="BF285" s="3">
        <f>AH285-AE285</f>
        <v>38</v>
      </c>
    </row>
    <row r="286" spans="1:58" s="3" customFormat="1" x14ac:dyDescent="0.2">
      <c r="A286" s="3" t="s">
        <v>320</v>
      </c>
      <c r="B286" s="3" t="str">
        <f>LOWER(VLOOKUP(A286,Xtal_Templ!A:B,2,FALSE))</f>
        <v>oprd_human</v>
      </c>
      <c r="C286" s="3">
        <f>VLOOKUP($A286,'SegEnds_NonXtal_BW#'!$A:$Z,3,FALSE)+D286-50</f>
        <v>35</v>
      </c>
      <c r="D286" s="3">
        <v>63</v>
      </c>
      <c r="E286" s="3">
        <f>IF(ISERROR(VLOOKUP($A286,'SegEnds_NonXtal_BW#'!$A:$Z,4,FALSE)+VLOOKUP($A286,A:AL,4,FALSE)-50),"-",(VLOOKUP($A286,'SegEnds_NonXtal_BW#'!$A:$Z,4,FALSE)+VLOOKUP($A286,A:AL,4,FALSE)-50))</f>
        <v>73</v>
      </c>
      <c r="F286" s="3">
        <f t="shared" si="215"/>
        <v>74</v>
      </c>
      <c r="G286" s="3">
        <v>76</v>
      </c>
      <c r="H286" s="3">
        <f t="shared" si="216"/>
        <v>77</v>
      </c>
      <c r="I286" s="3">
        <f t="shared" si="216"/>
        <v>78</v>
      </c>
      <c r="J286" s="3">
        <v>91</v>
      </c>
      <c r="K286" s="3">
        <f>VLOOKUP($A286,'SegEnds_NonXtal_BW#'!$A:$Z,8,FALSE)+VLOOKUP($A286,A:AL,10,FALSE)-50</f>
        <v>107</v>
      </c>
      <c r="L286" s="3">
        <f t="shared" si="217"/>
        <v>109</v>
      </c>
      <c r="M286" s="3">
        <v>110</v>
      </c>
      <c r="N286" s="3">
        <f t="shared" si="218"/>
        <v>112</v>
      </c>
      <c r="O286" s="3">
        <f t="shared" si="219"/>
        <v>113</v>
      </c>
      <c r="P286" s="3">
        <v>142</v>
      </c>
      <c r="Q286" s="3">
        <f>VLOOKUP($A286,'SegEnds_NonXtal_BW#'!$A:$Z,12,FALSE)+VLOOKUP($A286,A:AL,16,FALSE)-50</f>
        <v>148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159</v>
      </c>
      <c r="V286" s="3">
        <v>171</v>
      </c>
      <c r="W286" s="3">
        <f>IF(ISERROR(VLOOKUP($A286,'SegEnds_NonXtal_BW#'!$A:$Z,16,FALSE)+VLOOKUP($A286,A:AL,22,FALSE)-50),"-",(VLOOKUP($A286,'SegEnds_NonXtal_BW#'!$A:$Z,16,FALSE)+VLOOKUP($A286,A:AL,22,FALSE)-50))</f>
        <v>185</v>
      </c>
      <c r="X286" s="3">
        <f>IF(ISERROR(VLOOKUP($A286,'SegEnds_NonXtal_BW#'!$A:$Z,17,FALSE)+VLOOKUP($A286,A:AL,25,FALSE)-50),"-",(VLOOKUP($A286,'SegEnds_NonXtal_BW#'!$A:$Z,17,FALSE)+VLOOKUP($A286,A:AL,25,FALSE)-50))</f>
        <v>197</v>
      </c>
      <c r="Y286" s="3">
        <v>197</v>
      </c>
      <c r="Z286" s="3">
        <f t="shared" si="213"/>
        <v>199</v>
      </c>
      <c r="AA286" s="3">
        <f>IF(ISERROR(VLOOKUP($A286,'SegEnds_NonXtal_BW#'!$A:$Z,19,FALSE)+VLOOKUP($A286,A:AL,28,FALSE)-50),"-",(VLOOKUP($A286,'SegEnds_NonXtal_BW#'!$A:$Z,19,FALSE)+VLOOKUP($A286,A:AL,28,FALSE)-50))</f>
        <v>205</v>
      </c>
      <c r="AB286" s="3">
        <v>224</v>
      </c>
      <c r="AC286" s="3">
        <f>IF(ISERROR((VLOOKUP($A286,'SegEnds_NonXtal_BW#'!$A:$Z,20,FALSE)+VLOOKUP($A286,A:AL,28,FALSE)-50)),"-",(VLOOKUP($A286,'SegEnds_NonXtal_BW#'!$A:$Z,20,FALSE)+VLOOKUP($A286,A:AL,28,FALSE)-50))</f>
        <v>242</v>
      </c>
      <c r="AD286" s="3">
        <f>IF(ISERROR(VLOOKUP($A286,'SegEnds_NonXtal_BW#'!$A:$Z,21,FALSE)+VLOOKUP($A286,A:AL,31,FALSE)-50),"-",(VLOOKUP($A286,'SegEnds_NonXtal_BW#'!$A:$Z,21,FALSE)+VLOOKUP($A286,A:AL,31,FALSE)-50))</f>
        <v>248</v>
      </c>
      <c r="AE286" s="3">
        <v>275</v>
      </c>
      <c r="AF286" s="3">
        <f>IF(ISERROR((VLOOKUP($A286,'SegEnds_NonXtal_BW#'!$A:$Z,22,FALSE)+VLOOKUP($A286,A:AL,31,FALSE)-50)),"-",(VLOOKUP($A286,'SegEnds_NonXtal_BW#'!$A:$Z,22,FALSE)+VLOOKUP($A286,A:AL,31,FALSE)-50))</f>
        <v>286</v>
      </c>
      <c r="AG286" s="3">
        <f>IF(ISERROR(VLOOKUP($A286,'SegEnds_NonXtal_BW#'!$A:$Z,23,FALSE)+VLOOKUP($A286,A:AL,34,FALSE)-50),"-",(VLOOKUP($A286,'SegEnds_NonXtal_BW#'!$A:$Z,23,FALSE)+VLOOKUP($A286,A:AL,34,FALSE)-50))</f>
        <v>291</v>
      </c>
      <c r="AH286" s="3">
        <v>313</v>
      </c>
      <c r="AI286" s="3">
        <f>IF(ISERROR((VLOOKUP($A286,'SegEnds_NonXtal_BW#'!$A:$Z,24,FALSE)+VLOOKUP($A286,A:AL,34,FALSE)-50)),"-",(VLOOKUP($A286,'SegEnds_NonXtal_BW#'!$A:$Z,24,FALSE)+VLOOKUP($A286,A:AL,34,FALSE)-50))</f>
        <v>319</v>
      </c>
      <c r="AJ286" s="3">
        <f>IF(ISERROR(VLOOKUP($A286,'SegEnds_NonXtal_BW#'!$A:$Z,25,FALSE)+VLOOKUP($A286,A:AL,37,FALSE)-50),"-",(VLOOKUP($A286,'SegEnds_NonXtal_BW#'!$A:$Z,25,FALSE)+VLOOKUP($A286,A:AL,37,FALSE)-50))</f>
        <v>320</v>
      </c>
      <c r="AK286" s="3">
        <v>323</v>
      </c>
      <c r="AL286" s="3">
        <f>IF(ISERROR((VLOOKUP($A286,'SegEnds_NonXtal_BW#'!$A:$Z,26,FALSE)+VLOOKUP($A286,A:AL,37,FALSE)-50)),"-",(VLOOKUP($A286,'SegEnds_NonXtal_BW#'!$A:$Z,26,FALSE)+VLOOKUP($A286,A:AL,37,FALSE)-50))</f>
        <v>333</v>
      </c>
      <c r="AM286" s="28" t="str">
        <f>VLOOKUP(A286,Classification!A:B,2,FALSE)</f>
        <v>A</v>
      </c>
      <c r="AN286" s="28" t="b">
        <f t="shared" si="211"/>
        <v>1</v>
      </c>
      <c r="AO286" s="3" t="str">
        <f>IF(ISERROR(MATCH(A286,'SegEnds_Xtal_Prot#'!B:B, 0)), "NoXtal", "Xtal")</f>
        <v>NoXtal</v>
      </c>
      <c r="AP286" s="3">
        <f t="shared" si="196"/>
        <v>1</v>
      </c>
      <c r="AQ286" s="3">
        <f t="shared" si="197"/>
        <v>1</v>
      </c>
      <c r="AR286" s="3">
        <f t="shared" si="198"/>
        <v>2</v>
      </c>
      <c r="AS286" s="3">
        <f t="shared" si="199"/>
        <v>1</v>
      </c>
      <c r="AT286" s="3" t="str">
        <f t="shared" si="200"/>
        <v>-</v>
      </c>
      <c r="AU286" s="3" t="str">
        <f t="shared" si="201"/>
        <v>-</v>
      </c>
      <c r="AV286" s="3">
        <f t="shared" si="202"/>
        <v>12</v>
      </c>
      <c r="AW286" s="3">
        <f t="shared" si="203"/>
        <v>6</v>
      </c>
      <c r="AX286" s="3">
        <f t="shared" si="204"/>
        <v>6</v>
      </c>
      <c r="AY286" s="3">
        <f t="shared" si="205"/>
        <v>5</v>
      </c>
      <c r="AZ286" s="3">
        <f t="shared" si="206"/>
        <v>1</v>
      </c>
      <c r="BA286" s="3">
        <f>IF(ISERROR(LEN(VLOOKUP(A286,Seqs!A:E,2,FALSE))-AL286),"-",LEN(VLOOKUP(A286,Seqs!A:E,2,FALSE))-AL286)</f>
        <v>0</v>
      </c>
      <c r="BB286" s="16">
        <f t="shared" si="207"/>
        <v>28</v>
      </c>
      <c r="BC286" s="9" t="str">
        <f t="shared" si="208"/>
        <v>-</v>
      </c>
      <c r="BD286" s="3">
        <f t="shared" si="209"/>
        <v>28</v>
      </c>
      <c r="BE286" s="3">
        <f t="shared" si="210"/>
        <v>51</v>
      </c>
      <c r="BF286" s="3">
        <f>AH286-AE286</f>
        <v>38</v>
      </c>
    </row>
    <row r="287" spans="1:58" s="3" customFormat="1" x14ac:dyDescent="0.2">
      <c r="A287" s="3" t="s">
        <v>321</v>
      </c>
      <c r="B287" s="3" t="str">
        <f>LOWER(VLOOKUP(A287,Xtal_Templ!A:B,2,FALSE))</f>
        <v>ox1r_human</v>
      </c>
      <c r="C287" s="3">
        <f>VLOOKUP($A287,'SegEnds_NonXtal_BW#'!$A:$Z,3,FALSE)+D287-50</f>
        <v>43</v>
      </c>
      <c r="D287" s="3">
        <v>61</v>
      </c>
      <c r="E287" s="3">
        <f>IF(ISERROR(VLOOKUP($A287,'SegEnds_NonXtal_BW#'!$A:$Z,4,FALSE)+VLOOKUP($A287,A:AL,4,FALSE)-50),"-",(VLOOKUP($A287,'SegEnds_NonXtal_BW#'!$A:$Z,4,FALSE)+VLOOKUP($A287,A:AL,4,FALSE)-50))</f>
        <v>71</v>
      </c>
      <c r="F287" s="3">
        <f t="shared" si="215"/>
        <v>72</v>
      </c>
      <c r="G287" s="3">
        <v>74</v>
      </c>
      <c r="H287" s="3">
        <f t="shared" si="216"/>
        <v>75</v>
      </c>
      <c r="I287" s="3">
        <f t="shared" si="216"/>
        <v>76</v>
      </c>
      <c r="J287" s="3">
        <v>89</v>
      </c>
      <c r="K287" s="3">
        <f>VLOOKUP($A287,'SegEnds_NonXtal_BW#'!$A:$Z,8,FALSE)+VLOOKUP($A287,A:AL,10,FALSE)-50</f>
        <v>107</v>
      </c>
      <c r="L287" s="3">
        <f t="shared" si="217"/>
        <v>108</v>
      </c>
      <c r="M287" s="3">
        <v>109</v>
      </c>
      <c r="N287" s="3">
        <f t="shared" si="218"/>
        <v>111</v>
      </c>
      <c r="O287" s="3">
        <f t="shared" si="219"/>
        <v>112</v>
      </c>
      <c r="P287" s="3">
        <v>141</v>
      </c>
      <c r="Q287" s="3">
        <f>VLOOKUP($A287,'SegEnds_NonXtal_BW#'!$A:$Z,12,FALSE)+VLOOKUP($A287,A:AL,16,FALSE)-50</f>
        <v>147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154</v>
      </c>
      <c r="V287" s="3">
        <v>166</v>
      </c>
      <c r="W287" s="3">
        <f>IF(ISERROR(VLOOKUP($A287,'SegEnds_NonXtal_BW#'!$A:$Z,16,FALSE)+VLOOKUP($A287,A:AL,22,FALSE)-50),"-",(VLOOKUP($A287,'SegEnds_NonXtal_BW#'!$A:$Z,16,FALSE)+VLOOKUP($A287,A:AL,22,FALSE)-50))</f>
        <v>180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213"/>
        <v>205</v>
      </c>
      <c r="AA287" s="3">
        <f>IF(ISERROR(VLOOKUP($A287,'SegEnds_NonXtal_BW#'!$A:$Z,19,FALSE)+VLOOKUP($A287,A:AL,28,FALSE)-50),"-",(VLOOKUP($A287,'SegEnds_NonXtal_BW#'!$A:$Z,19,FALSE)+VLOOKUP($A287,A:AL,28,FALSE)-50))</f>
        <v>211</v>
      </c>
      <c r="AB287" s="3">
        <v>228</v>
      </c>
      <c r="AC287" s="3">
        <f>IF(ISERROR((VLOOKUP($A287,'SegEnds_NonXtal_BW#'!$A:$Z,20,FALSE)+VLOOKUP($A287,A:AL,28,FALSE)-50)),"-",(VLOOKUP($A287,'SegEnds_NonXtal_BW#'!$A:$Z,20,FALSE)+VLOOKUP($A287,A:AL,28,FALSE)-50))</f>
        <v>251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285</v>
      </c>
      <c r="AF287" s="3">
        <f>IF(ISERROR((VLOOKUP($A287,'SegEnds_NonXtal_BW#'!$A:$Z,22,FALSE)+VLOOKUP($A287,A:AL,31,FALSE)-50)),"-",(VLOOKUP($A287,'SegEnds_NonXtal_BW#'!$A:$Z,22,FALSE)+VLOOKUP($A287,A:AL,31,FALSE)-50))</f>
        <v>296</v>
      </c>
      <c r="AG287" s="3">
        <f>IF(ISERROR(VLOOKUP($A287,'SegEnds_NonXtal_BW#'!$A:$Z,23,FALSE)+VLOOKUP($A287,A:AL,34,FALSE)-50),"-",(VLOOKUP($A287,'SegEnds_NonXtal_BW#'!$A:$Z,23,FALSE)+VLOOKUP($A287,A:AL,34,FALSE)-50))</f>
        <v>304</v>
      </c>
      <c r="AH287" s="3">
        <v>326</v>
      </c>
      <c r="AI287" s="3">
        <f>IF(ISERROR((VLOOKUP($A287,'SegEnds_NonXtal_BW#'!$A:$Z,24,FALSE)+VLOOKUP($A287,A:AL,34,FALSE)-50)),"-",(VLOOKUP($A287,'SegEnds_NonXtal_BW#'!$A:$Z,24,FALSE)+VLOOKUP($A287,A:AL,34,FALSE)-50))</f>
        <v>332</v>
      </c>
      <c r="AJ287" s="3">
        <f>IF(ISERROR(VLOOKUP($A287,'SegEnds_NonXtal_BW#'!$A:$Z,25,FALSE)+VLOOKUP($A287,A:AL,37,FALSE)-50),"-",(VLOOKUP($A287,'SegEnds_NonXtal_BW#'!$A:$Z,25,FALSE)+VLOOKUP($A287,A:AL,37,FALSE)-50))</f>
        <v>333</v>
      </c>
      <c r="AK287" s="3">
        <v>336</v>
      </c>
      <c r="AL287" s="3">
        <f>IF(ISERROR((VLOOKUP($A287,'SegEnds_NonXtal_BW#'!$A:$Z,26,FALSE)+VLOOKUP($A287,A:AL,37,FALSE)-50)),"-",(VLOOKUP($A287,'SegEnds_NonXtal_BW#'!$A:$Z,26,FALSE)+VLOOKUP($A287,A:AL,37,FALSE)-50))</f>
        <v>349</v>
      </c>
      <c r="AM287" s="28" t="str">
        <f>VLOOKUP(A287,Classification!A:B,2,FALSE)</f>
        <v>A</v>
      </c>
      <c r="AN287" s="28" t="b">
        <f t="shared" si="211"/>
        <v>1</v>
      </c>
      <c r="AO287" s="3" t="str">
        <f>IF(ISERROR(MATCH(A287,'SegEnds_Xtal_Prot#'!B:B, 0)), "NoXtal", "Xtal")</f>
        <v>NoXtal</v>
      </c>
      <c r="AP287" s="3">
        <f t="shared" si="196"/>
        <v>1</v>
      </c>
      <c r="AQ287" s="3">
        <f t="shared" si="197"/>
        <v>1</v>
      </c>
      <c r="AR287" s="3">
        <f t="shared" si="198"/>
        <v>1</v>
      </c>
      <c r="AS287" s="3">
        <f t="shared" si="199"/>
        <v>1</v>
      </c>
      <c r="AT287" s="3" t="str">
        <f t="shared" si="200"/>
        <v>-</v>
      </c>
      <c r="AU287" s="3" t="str">
        <f t="shared" si="201"/>
        <v>-</v>
      </c>
      <c r="AV287" s="3">
        <f t="shared" si="202"/>
        <v>23</v>
      </c>
      <c r="AW287" s="3">
        <f t="shared" si="203"/>
        <v>6</v>
      </c>
      <c r="AX287" s="3">
        <f t="shared" si="204"/>
        <v>6</v>
      </c>
      <c r="AY287" s="3">
        <f t="shared" si="205"/>
        <v>8</v>
      </c>
      <c r="AZ287" s="3">
        <f t="shared" si="206"/>
        <v>1</v>
      </c>
      <c r="BA287" s="3">
        <f>IF(ISERROR(LEN(VLOOKUP(A287,Seqs!A:E,2,FALSE))-AL287),"-",LEN(VLOOKUP(A287,Seqs!A:E,2,FALSE))-AL287)</f>
        <v>81</v>
      </c>
      <c r="BB287" s="16">
        <f t="shared" si="207"/>
        <v>28</v>
      </c>
      <c r="BC287" s="9" t="str">
        <f t="shared" si="208"/>
        <v>-</v>
      </c>
      <c r="BD287" s="3">
        <f t="shared" si="209"/>
        <v>28</v>
      </c>
      <c r="BE287" s="3">
        <f t="shared" si="210"/>
        <v>57</v>
      </c>
    </row>
    <row r="288" spans="1:58" s="3" customFormat="1" x14ac:dyDescent="0.2">
      <c r="A288" s="3" t="s">
        <v>322</v>
      </c>
      <c r="B288" s="3" t="str">
        <f>LOWER(VLOOKUP(A288,Xtal_Templ!A:B,2,FALSE))</f>
        <v>ox1r_human</v>
      </c>
      <c r="C288" s="3">
        <f>VLOOKUP($A288,'SegEnds_NonXtal_BW#'!$A:$Z,3,FALSE)+D288-50</f>
        <v>147</v>
      </c>
      <c r="D288" s="3">
        <v>165</v>
      </c>
      <c r="E288" s="3">
        <f>IF(ISERROR(VLOOKUP($A288,'SegEnds_NonXtal_BW#'!$A:$Z,4,FALSE)+VLOOKUP($A288,A:AL,4,FALSE)-50),"-",(VLOOKUP($A288,'SegEnds_NonXtal_BW#'!$A:$Z,4,FALSE)+VLOOKUP($A288,A:AL,4,FALSE)-50))</f>
        <v>175</v>
      </c>
      <c r="F288" s="3">
        <f t="shared" si="215"/>
        <v>176</v>
      </c>
      <c r="G288" s="3">
        <v>178</v>
      </c>
      <c r="H288" s="3">
        <f t="shared" si="216"/>
        <v>179</v>
      </c>
      <c r="I288" s="3">
        <f t="shared" si="216"/>
        <v>180</v>
      </c>
      <c r="J288" s="3">
        <v>193</v>
      </c>
      <c r="K288" s="3">
        <f>VLOOKUP($A288,'SegEnds_NonXtal_BW#'!$A:$Z,8,FALSE)+VLOOKUP($A288,A:AL,10,FALSE)-50</f>
        <v>211</v>
      </c>
      <c r="L288" s="3">
        <f t="shared" si="217"/>
        <v>212</v>
      </c>
      <c r="M288" s="3">
        <v>213</v>
      </c>
      <c r="N288" s="3">
        <f t="shared" si="218"/>
        <v>215</v>
      </c>
      <c r="O288" s="3">
        <f t="shared" si="219"/>
        <v>216</v>
      </c>
      <c r="P288" s="3">
        <v>245</v>
      </c>
      <c r="Q288" s="3">
        <f>VLOOKUP($A288,'SegEnds_NonXtal_BW#'!$A:$Z,12,FALSE)+VLOOKUP($A288,A:AL,16,FALSE)-50</f>
        <v>251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258</v>
      </c>
      <c r="V288" s="3">
        <v>270</v>
      </c>
      <c r="W288" s="3">
        <f>IF(ISERROR(VLOOKUP($A288,'SegEnds_NonXtal_BW#'!$A:$Z,16,FALSE)+VLOOKUP($A288,A:AL,22,FALSE)-50),"-",(VLOOKUP($A288,'SegEnds_NonXtal_BW#'!$A:$Z,16,FALSE)+VLOOKUP($A288,A:AL,22,FALSE)-50))</f>
        <v>284</v>
      </c>
      <c r="X288" s="3">
        <f>IF(ISERROR(VLOOKUP($A288,'SegEnds_NonXtal_BW#'!$A:$Z,17,FALSE)+VLOOKUP($A288,A:AL,25,FALSE)-50),"-",(VLOOKUP($A288,'SegEnds_NonXtal_BW#'!$A:$Z,17,FALSE)+VLOOKUP($A288,A:AL,25,FALSE)-50))</f>
        <v>308</v>
      </c>
      <c r="Y288" s="3">
        <v>308</v>
      </c>
      <c r="Z288" s="3">
        <f t="shared" si="213"/>
        <v>310</v>
      </c>
      <c r="AA288" s="3">
        <f>IF(ISERROR(VLOOKUP($A288,'SegEnds_NonXtal_BW#'!$A:$Z,19,FALSE)+VLOOKUP($A288,A:AL,28,FALSE)-50),"-",(VLOOKUP($A288,'SegEnds_NonXtal_BW#'!$A:$Z,19,FALSE)+VLOOKUP($A288,A:AL,28,FALSE)-50))</f>
        <v>316</v>
      </c>
      <c r="AB288" s="3">
        <v>333</v>
      </c>
      <c r="AC288" s="3">
        <f>IF(ISERROR((VLOOKUP($A288,'SegEnds_NonXtal_BW#'!$A:$Z,20,FALSE)+VLOOKUP($A288,A:AL,28,FALSE)-50)),"-",(VLOOKUP($A288,'SegEnds_NonXtal_BW#'!$A:$Z,20,FALSE)+VLOOKUP($A288,A:AL,28,FALSE)-50))</f>
        <v>356</v>
      </c>
      <c r="AD288" s="3">
        <f>IF(ISERROR(VLOOKUP($A288,'SegEnds_NonXtal_BW#'!$A:$Z,21,FALSE)+VLOOKUP($A288,A:AL,31,FALSE)-50),"-",(VLOOKUP($A288,'SegEnds_NonXtal_BW#'!$A:$Z,21,FALSE)+VLOOKUP($A288,A:AL,31,FALSE)-50))</f>
        <v>365</v>
      </c>
      <c r="AE288" s="3">
        <v>391</v>
      </c>
      <c r="AF288" s="3">
        <f>IF(ISERROR((VLOOKUP($A288,'SegEnds_NonXtal_BW#'!$A:$Z,22,FALSE)+VLOOKUP($A288,A:AL,31,FALSE)-50)),"-",(VLOOKUP($A288,'SegEnds_NonXtal_BW#'!$A:$Z,22,FALSE)+VLOOKUP($A288,A:AL,31,FALSE)-50))</f>
        <v>402</v>
      </c>
      <c r="AG288" s="3">
        <f>IF(ISERROR(VLOOKUP($A288,'SegEnds_NonXtal_BW#'!$A:$Z,23,FALSE)+VLOOKUP($A288,A:AL,34,FALSE)-50),"-",(VLOOKUP($A288,'SegEnds_NonXtal_BW#'!$A:$Z,23,FALSE)+VLOOKUP($A288,A:AL,34,FALSE)-50))</f>
        <v>410</v>
      </c>
      <c r="AH288" s="3">
        <v>432</v>
      </c>
      <c r="AI288" s="3">
        <f>IF(ISERROR((VLOOKUP($A288,'SegEnds_NonXtal_BW#'!$A:$Z,24,FALSE)+VLOOKUP($A288,A:AL,34,FALSE)-50)),"-",(VLOOKUP($A288,'SegEnds_NonXtal_BW#'!$A:$Z,24,FALSE)+VLOOKUP($A288,A:AL,34,FALSE)-50))</f>
        <v>438</v>
      </c>
      <c r="AJ288" s="3">
        <f>IF(ISERROR(VLOOKUP($A288,'SegEnds_NonXtal_BW#'!$A:$Z,25,FALSE)+VLOOKUP($A288,A:AL,37,FALSE)-50),"-",(VLOOKUP($A288,'SegEnds_NonXtal_BW#'!$A:$Z,25,FALSE)+VLOOKUP($A288,A:AL,37,FALSE)-50))</f>
        <v>439</v>
      </c>
      <c r="AK288" s="3">
        <v>442</v>
      </c>
      <c r="AL288" s="3">
        <f>IF(ISERROR((VLOOKUP($A288,'SegEnds_NonXtal_BW#'!$A:$Z,26,FALSE)+VLOOKUP($A288,A:AL,37,FALSE)-50)),"-",(VLOOKUP($A288,'SegEnds_NonXtal_BW#'!$A:$Z,26,FALSE)+VLOOKUP($A288,A:AL,37,FALSE)-50))</f>
        <v>455</v>
      </c>
      <c r="AM288" s="28" t="str">
        <f>VLOOKUP(A288,Classification!A:B,2,FALSE)</f>
        <v>A</v>
      </c>
      <c r="AN288" s="28" t="b">
        <f t="shared" si="211"/>
        <v>1</v>
      </c>
      <c r="AO288" s="3" t="str">
        <f>IF(ISERROR(MATCH(A288,'SegEnds_Xtal_Prot#'!B:B, 0)), "NoXtal", "Xtal")</f>
        <v>NoXtal</v>
      </c>
      <c r="AP288" s="3">
        <f t="shared" si="196"/>
        <v>1</v>
      </c>
      <c r="AQ288" s="3">
        <f t="shared" si="197"/>
        <v>1</v>
      </c>
      <c r="AR288" s="3">
        <f t="shared" si="198"/>
        <v>1</v>
      </c>
      <c r="AS288" s="3">
        <f t="shared" si="199"/>
        <v>1</v>
      </c>
      <c r="AT288" s="3" t="str">
        <f t="shared" si="200"/>
        <v>-</v>
      </c>
      <c r="AU288" s="3" t="str">
        <f t="shared" si="201"/>
        <v>-</v>
      </c>
      <c r="AV288" s="3">
        <f t="shared" si="202"/>
        <v>24</v>
      </c>
      <c r="AW288" s="3">
        <f t="shared" si="203"/>
        <v>6</v>
      </c>
      <c r="AX288" s="3">
        <f t="shared" si="204"/>
        <v>9</v>
      </c>
      <c r="AY288" s="3">
        <f t="shared" si="205"/>
        <v>8</v>
      </c>
      <c r="AZ288" s="3">
        <f t="shared" si="206"/>
        <v>1</v>
      </c>
      <c r="BA288" s="3">
        <f>IF(ISERROR(LEN(VLOOKUP(A288,Seqs!A:E,2,FALSE))-AL288),"-",LEN(VLOOKUP(A288,Seqs!A:E,2,FALSE))-AL288)</f>
        <v>67</v>
      </c>
      <c r="BB288" s="16">
        <f t="shared" si="207"/>
        <v>28</v>
      </c>
      <c r="BC288" s="9" t="str">
        <f t="shared" si="208"/>
        <v>-</v>
      </c>
      <c r="BD288" s="3">
        <f t="shared" si="209"/>
        <v>28</v>
      </c>
      <c r="BE288" s="3">
        <f t="shared" si="210"/>
        <v>58</v>
      </c>
    </row>
    <row r="289" spans="1:59" s="3" customFormat="1" x14ac:dyDescent="0.2">
      <c r="A289" s="3" t="s">
        <v>324</v>
      </c>
      <c r="B289" s="3" t="str">
        <f>LOWER(VLOOKUP(A289,Xtal_Templ!A:B,2,FALSE))</f>
        <v>npy1r_human</v>
      </c>
      <c r="C289" s="3">
        <f>VLOOKUP($A289,'SegEnds_NonXtal_BW#'!$A:$Z,3,FALSE)+D289-50</f>
        <v>36</v>
      </c>
      <c r="D289" s="3">
        <v>58</v>
      </c>
      <c r="E289" s="3">
        <f>IF(ISERROR(VLOOKUP($A289,'SegEnds_NonXtal_BW#'!$A:$Z,4,FALSE)+VLOOKUP($A289,A:AL,4,FALSE)-50),"-",(VLOOKUP($A289,'SegEnds_NonXtal_BW#'!$A:$Z,4,FALSE)+VLOOKUP($A289,A:AL,4,FALSE)-50))</f>
        <v>68</v>
      </c>
      <c r="F289" s="3">
        <f t="shared" si="215"/>
        <v>69</v>
      </c>
      <c r="G289" s="3">
        <v>71</v>
      </c>
      <c r="H289" s="3">
        <f t="shared" si="216"/>
        <v>72</v>
      </c>
      <c r="I289" s="3">
        <f t="shared" si="216"/>
        <v>73</v>
      </c>
      <c r="J289" s="3">
        <v>86</v>
      </c>
      <c r="K289" s="3">
        <f>VLOOKUP($A289,'SegEnds_NonXtal_BW#'!$A:$Z,8,FALSE)+VLOOKUP($A289,A:AL,10,FALSE)-50</f>
        <v>104</v>
      </c>
      <c r="L289" s="3">
        <f t="shared" si="217"/>
        <v>105</v>
      </c>
      <c r="M289" s="3">
        <v>106</v>
      </c>
      <c r="N289" s="3">
        <f t="shared" si="218"/>
        <v>108</v>
      </c>
      <c r="O289" s="3">
        <f t="shared" si="219"/>
        <v>109</v>
      </c>
      <c r="P289" s="3">
        <v>138</v>
      </c>
      <c r="Q289" s="3">
        <f>VLOOKUP($A289,'SegEnds_NonXtal_BW#'!$A:$Z,12,FALSE)+VLOOKUP($A289,A:AL,16,FALSE)-50</f>
        <v>144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151</v>
      </c>
      <c r="V289" s="3">
        <v>163</v>
      </c>
      <c r="W289" s="3">
        <f>IF(ISERROR(VLOOKUP($A289,'SegEnds_NonXtal_BW#'!$A:$Z,16,FALSE)+VLOOKUP($A289,A:AL,22,FALSE)-50),"-",(VLOOKUP($A289,'SegEnds_NonXtal_BW#'!$A:$Z,16,FALSE)+VLOOKUP($A289,A:AL,22,FALSE)-50))</f>
        <v>177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213"/>
        <v>200</v>
      </c>
      <c r="AA289" s="3">
        <f>IF(ISERROR(VLOOKUP($A289,'SegEnds_NonXtal_BW#'!$A:$Z,19,FALSE)+VLOOKUP($A289,A:AL,28,FALSE)-50),"-",(VLOOKUP($A289,'SegEnds_NonXtal_BW#'!$A:$Z,19,FALSE)+VLOOKUP($A289,A:AL,28,FALSE)-50))</f>
        <v>204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246</v>
      </c>
      <c r="AD289" s="3">
        <f>IF(ISERROR(VLOOKUP($A289,'SegEnds_NonXtal_BW#'!$A:$Z,21,FALSE)+VLOOKUP($A289,A:AL,31,FALSE)-50),"-",(VLOOKUP($A289,'SegEnds_NonXtal_BW#'!$A:$Z,21,FALSE)+VLOOKUP($A289,A:AL,31,FALSE)-50))</f>
        <v>250</v>
      </c>
      <c r="AE289" s="3">
        <v>278</v>
      </c>
      <c r="AF289" s="3">
        <f>IF(ISERROR((VLOOKUP($A289,'SegEnds_NonXtal_BW#'!$A:$Z,22,FALSE)+VLOOKUP($A289,A:AL,31,FALSE)-50)),"-",(VLOOKUP($A289,'SegEnds_NonXtal_BW#'!$A:$Z,22,FALSE)+VLOOKUP($A289,A:AL,31,FALSE)-50))</f>
        <v>289</v>
      </c>
      <c r="AG289" s="3">
        <f>IF(ISERROR(VLOOKUP($A289,'SegEnds_NonXtal_BW#'!$A:$Z,23,FALSE)+VLOOKUP($A289,A:AL,34,FALSE)-50),"-",(VLOOKUP($A289,'SegEnds_NonXtal_BW#'!$A:$Z,23,FALSE)+VLOOKUP($A289,A:AL,34,FALSE)-50))</f>
        <v>295</v>
      </c>
      <c r="AH289" s="3">
        <v>317</v>
      </c>
      <c r="AI289" s="3">
        <f>IF(ISERROR((VLOOKUP($A289,'SegEnds_NonXtal_BW#'!$A:$Z,24,FALSE)+VLOOKUP($A289,A:AL,34,FALSE)-50)),"-",(VLOOKUP($A289,'SegEnds_NonXtal_BW#'!$A:$Z,24,FALSE)+VLOOKUP($A289,A:AL,34,FALSE)-50))</f>
        <v>323</v>
      </c>
      <c r="AJ289" s="3">
        <f>IF(ISERROR(VLOOKUP($A289,'SegEnds_NonXtal_BW#'!$A:$Z,25,FALSE)+VLOOKUP($A289,A:AL,37,FALSE)-50),"-",(VLOOKUP($A289,'SegEnds_NonXtal_BW#'!$A:$Z,25,FALSE)+VLOOKUP($A289,A:AL,37,FALSE)-50))</f>
        <v>324</v>
      </c>
      <c r="AK289" s="3">
        <v>327</v>
      </c>
      <c r="AL289" s="3">
        <f>IF(ISERROR((VLOOKUP($A289,'SegEnds_NonXtal_BW#'!$A:$Z,26,FALSE)+VLOOKUP($A289,A:AL,37,FALSE)-50)),"-",(VLOOKUP($A289,'SegEnds_NonXtal_BW#'!$A:$Z,26,FALSE)+VLOOKUP($A289,A:AL,37,FALSE)-50))</f>
        <v>335</v>
      </c>
      <c r="AM289" s="28" t="str">
        <f>VLOOKUP(A289,Classification!A:B,2,FALSE)</f>
        <v>A</v>
      </c>
      <c r="AN289" s="28" t="b">
        <f t="shared" si="211"/>
        <v>1</v>
      </c>
      <c r="AO289" s="3" t="str">
        <f>IF(ISERROR(MATCH(A289,'SegEnds_Xtal_Prot#'!B:B, 0)), "NoXtal", "Xtal")</f>
        <v>Xtal</v>
      </c>
      <c r="AP289" s="3">
        <f t="shared" si="196"/>
        <v>1</v>
      </c>
      <c r="AQ289" s="3">
        <f t="shared" si="197"/>
        <v>1</v>
      </c>
      <c r="AR289" s="3">
        <f t="shared" si="198"/>
        <v>1</v>
      </c>
      <c r="AS289" s="3">
        <f t="shared" si="199"/>
        <v>1</v>
      </c>
      <c r="AT289" s="3" t="str">
        <f t="shared" si="200"/>
        <v>-</v>
      </c>
      <c r="AU289" s="3" t="str">
        <f t="shared" si="201"/>
        <v>-</v>
      </c>
      <c r="AV289" s="3">
        <f t="shared" si="202"/>
        <v>21</v>
      </c>
      <c r="AW289" s="3">
        <f t="shared" si="203"/>
        <v>4</v>
      </c>
      <c r="AX289" s="3">
        <f t="shared" si="204"/>
        <v>4</v>
      </c>
      <c r="AY289" s="3">
        <f t="shared" si="205"/>
        <v>6</v>
      </c>
      <c r="AZ289" s="3">
        <f t="shared" si="206"/>
        <v>1</v>
      </c>
      <c r="BA289" s="3">
        <f>IF(ISERROR(LEN(VLOOKUP(A289,Seqs!A:E,2,FALSE))-AL289),"-",LEN(VLOOKUP(A289,Seqs!A:E,2,FALSE))-AL289)</f>
        <v>49</v>
      </c>
      <c r="BB289" s="16">
        <f t="shared" si="207"/>
        <v>28</v>
      </c>
      <c r="BC289" s="9" t="str">
        <f t="shared" si="208"/>
        <v>-</v>
      </c>
      <c r="BD289" s="3">
        <f t="shared" si="209"/>
        <v>28</v>
      </c>
      <c r="BE289" s="3">
        <f t="shared" si="210"/>
        <v>55</v>
      </c>
    </row>
    <row r="290" spans="1:59" s="3" customFormat="1" x14ac:dyDescent="0.2">
      <c r="A290" s="3" t="s">
        <v>325</v>
      </c>
      <c r="B290" s="3" t="str">
        <f>LOWER(VLOOKUP(A290,Xtal_Templ!A:B,2,FALSE))</f>
        <v>npy1r_human</v>
      </c>
      <c r="C290" s="3">
        <f>VLOOKUP($A290,'SegEnds_NonXtal_BW#'!$A:$Z,3,FALSE)+D290-50</f>
        <v>46</v>
      </c>
      <c r="D290" s="3">
        <v>68</v>
      </c>
      <c r="E290" s="3">
        <f>IF(ISERROR(VLOOKUP($A290,'SegEnds_NonXtal_BW#'!$A:$Z,4,FALSE)+VLOOKUP($A290,A:AL,4,FALSE)-50),"-",(VLOOKUP($A290,'SegEnds_NonXtal_BW#'!$A:$Z,4,FALSE)+VLOOKUP($A290,A:AL,4,FALSE)-50))</f>
        <v>78</v>
      </c>
      <c r="F290" s="3">
        <f t="shared" si="215"/>
        <v>79</v>
      </c>
      <c r="G290" s="3">
        <v>81</v>
      </c>
      <c r="H290" s="3">
        <f t="shared" si="216"/>
        <v>82</v>
      </c>
      <c r="I290" s="3">
        <f t="shared" si="216"/>
        <v>83</v>
      </c>
      <c r="J290" s="3">
        <v>96</v>
      </c>
      <c r="K290" s="3">
        <f>VLOOKUP($A290,'SegEnds_NonXtal_BW#'!$A:$Z,8,FALSE)+VLOOKUP($A290,A:AL,10,FALSE)-50</f>
        <v>114</v>
      </c>
      <c r="L290" s="3">
        <f t="shared" si="217"/>
        <v>115</v>
      </c>
      <c r="M290" s="3">
        <v>116</v>
      </c>
      <c r="N290" s="3">
        <f t="shared" si="218"/>
        <v>118</v>
      </c>
      <c r="O290" s="3">
        <f t="shared" si="219"/>
        <v>119</v>
      </c>
      <c r="P290" s="3">
        <v>148</v>
      </c>
      <c r="Q290" s="3">
        <f>VLOOKUP($A290,'SegEnds_NonXtal_BW#'!$A:$Z,12,FALSE)+VLOOKUP($A290,A:AL,16,FALSE)-50</f>
        <v>154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161</v>
      </c>
      <c r="V290" s="3">
        <v>173</v>
      </c>
      <c r="W290" s="3">
        <f>IF(ISERROR(VLOOKUP($A290,'SegEnds_NonXtal_BW#'!$A:$Z,16,FALSE)+VLOOKUP($A290,A:AL,22,FALSE)-50),"-",(VLOOKUP($A290,'SegEnds_NonXtal_BW#'!$A:$Z,16,FALSE)+VLOOKUP($A290,A:AL,22,FALSE)-50))</f>
        <v>187</v>
      </c>
      <c r="X290" s="3">
        <f>IF(ISERROR(VLOOKUP($A290,'SegEnds_NonXtal_BW#'!$A:$Z,17,FALSE)+VLOOKUP($A290,A:AL,25,FALSE)-50),"-",(VLOOKUP($A290,'SegEnds_NonXtal_BW#'!$A:$Z,17,FALSE)+VLOOKUP($A290,A:AL,25,FALSE)-50))</f>
        <v>203</v>
      </c>
      <c r="Y290" s="3">
        <v>203</v>
      </c>
      <c r="Z290" s="3">
        <f t="shared" si="213"/>
        <v>205</v>
      </c>
      <c r="AA290" s="3">
        <f>IF(ISERROR(VLOOKUP($A290,'SegEnds_NonXtal_BW#'!$A:$Z,19,FALSE)+VLOOKUP($A290,A:AL,28,FALSE)-50),"-",(VLOOKUP($A290,'SegEnds_NonXtal_BW#'!$A:$Z,19,FALSE)+VLOOKUP($A290,A:AL,28,FALSE)-50))</f>
        <v>212</v>
      </c>
      <c r="AB290" s="3">
        <v>231</v>
      </c>
      <c r="AC290" s="3">
        <f>IF(ISERROR((VLOOKUP($A290,'SegEnds_NonXtal_BW#'!$A:$Z,20,FALSE)+VLOOKUP($A290,A:AL,28,FALSE)-50)),"-",(VLOOKUP($A290,'SegEnds_NonXtal_BW#'!$A:$Z,20,FALSE)+VLOOKUP($A290,A:AL,28,FALSE)-50))</f>
        <v>253</v>
      </c>
      <c r="AD290" s="3">
        <f>IF(ISERROR(VLOOKUP($A290,'SegEnds_NonXtal_BW#'!$A:$Z,21,FALSE)+VLOOKUP($A290,A:AL,31,FALSE)-50),"-",(VLOOKUP($A290,'SegEnds_NonXtal_BW#'!$A:$Z,21,FALSE)+VLOOKUP($A290,A:AL,31,FALSE)-50))</f>
        <v>256</v>
      </c>
      <c r="AE290" s="3">
        <v>283</v>
      </c>
      <c r="AF290" s="3">
        <f>IF(ISERROR((VLOOKUP($A290,'SegEnds_NonXtal_BW#'!$A:$Z,22,FALSE)+VLOOKUP($A290,A:AL,31,FALSE)-50)),"-",(VLOOKUP($A290,'SegEnds_NonXtal_BW#'!$A:$Z,22,FALSE)+VLOOKUP($A290,A:AL,31,FALSE)-50))</f>
        <v>294</v>
      </c>
      <c r="AG290" s="3">
        <f>IF(ISERROR(VLOOKUP($A290,'SegEnds_NonXtal_BW#'!$A:$Z,23,FALSE)+VLOOKUP($A290,A:AL,34,FALSE)-50),"-",(VLOOKUP($A290,'SegEnds_NonXtal_BW#'!$A:$Z,23,FALSE)+VLOOKUP($A290,A:AL,34,FALSE)-50))</f>
        <v>300</v>
      </c>
      <c r="AH290" s="3">
        <v>322</v>
      </c>
      <c r="AI290" s="3">
        <f>IF(ISERROR((VLOOKUP($A290,'SegEnds_NonXtal_BW#'!$A:$Z,24,FALSE)+VLOOKUP($A290,A:AL,34,FALSE)-50)),"-",(VLOOKUP($A290,'SegEnds_NonXtal_BW#'!$A:$Z,24,FALSE)+VLOOKUP($A290,A:AL,34,FALSE)-50))</f>
        <v>328</v>
      </c>
      <c r="AJ290" s="3">
        <f>IF(ISERROR(VLOOKUP($A290,'SegEnds_NonXtal_BW#'!$A:$Z,25,FALSE)+VLOOKUP($A290,A:AL,37,FALSE)-50),"-",(VLOOKUP($A290,'SegEnds_NonXtal_BW#'!$A:$Z,25,FALSE)+VLOOKUP($A290,A:AL,37,FALSE)-50))</f>
        <v>329</v>
      </c>
      <c r="AK290" s="3">
        <v>332</v>
      </c>
      <c r="AL290" s="3">
        <f>IF(ISERROR((VLOOKUP($A290,'SegEnds_NonXtal_BW#'!$A:$Z,26,FALSE)+VLOOKUP($A290,A:AL,37,FALSE)-50)),"-",(VLOOKUP($A290,'SegEnds_NonXtal_BW#'!$A:$Z,26,FALSE)+VLOOKUP($A290,A:AL,37,FALSE)-50))</f>
        <v>340</v>
      </c>
      <c r="AM290" s="28" t="str">
        <f>VLOOKUP(A290,Classification!A:B,2,FALSE)</f>
        <v>A</v>
      </c>
      <c r="AN290" s="28" t="b">
        <f t="shared" si="211"/>
        <v>1</v>
      </c>
      <c r="AO290" s="3" t="str">
        <f>IF(ISERROR(MATCH(A290,'SegEnds_Xtal_Prot#'!B:B, 0)), "NoXtal", "Xtal")</f>
        <v>NoXtal</v>
      </c>
      <c r="AP290" s="3">
        <f t="shared" si="196"/>
        <v>1</v>
      </c>
      <c r="AQ290" s="3">
        <f t="shared" si="197"/>
        <v>1</v>
      </c>
      <c r="AR290" s="3">
        <f t="shared" si="198"/>
        <v>1</v>
      </c>
      <c r="AS290" s="3">
        <f t="shared" si="199"/>
        <v>1</v>
      </c>
      <c r="AT290" s="3" t="str">
        <f t="shared" si="200"/>
        <v>-</v>
      </c>
      <c r="AU290" s="3" t="str">
        <f t="shared" si="201"/>
        <v>-</v>
      </c>
      <c r="AV290" s="3">
        <f t="shared" si="202"/>
        <v>16</v>
      </c>
      <c r="AW290" s="3">
        <f t="shared" si="203"/>
        <v>7</v>
      </c>
      <c r="AX290" s="3">
        <f t="shared" si="204"/>
        <v>3</v>
      </c>
      <c r="AY290" s="3">
        <f t="shared" si="205"/>
        <v>6</v>
      </c>
      <c r="AZ290" s="3">
        <f t="shared" si="206"/>
        <v>1</v>
      </c>
      <c r="BA290" s="3">
        <f>IF(ISERROR(LEN(VLOOKUP(A290,Seqs!A:E,2,FALSE))-AL290),"-",LEN(VLOOKUP(A290,Seqs!A:E,2,FALSE))-AL290)</f>
        <v>41</v>
      </c>
      <c r="BB290" s="16">
        <f t="shared" si="207"/>
        <v>28</v>
      </c>
      <c r="BC290" s="9" t="str">
        <f t="shared" si="208"/>
        <v>-</v>
      </c>
      <c r="BD290" s="3">
        <f t="shared" si="209"/>
        <v>28</v>
      </c>
      <c r="BE290" s="3">
        <f t="shared" si="210"/>
        <v>52</v>
      </c>
    </row>
    <row r="291" spans="1:59" s="3" customFormat="1" x14ac:dyDescent="0.2">
      <c r="A291" s="3" t="s">
        <v>326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215"/>
        <v>70</v>
      </c>
      <c r="G291" s="3">
        <v>72</v>
      </c>
      <c r="H291" s="3">
        <f t="shared" si="216"/>
        <v>73</v>
      </c>
      <c r="I291" s="3">
        <f t="shared" si="216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217"/>
        <v>106</v>
      </c>
      <c r="M291" s="3">
        <v>107</v>
      </c>
      <c r="N291" s="3">
        <f t="shared" si="218"/>
        <v>109</v>
      </c>
      <c r="O291" s="3">
        <f t="shared" si="219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201</v>
      </c>
      <c r="Y291" s="3">
        <v>201</v>
      </c>
      <c r="Z291" s="3">
        <f t="shared" si="213"/>
        <v>203</v>
      </c>
      <c r="AA291" s="3">
        <f>IF(ISERROR(VLOOKUP($A291,'SegEnds_NonXtal_BW#'!$A:$Z,19,FALSE)+VLOOKUP($A291,A:AL,28,FALSE)-50),"-",(VLOOKUP($A291,'SegEnds_NonXtal_BW#'!$A:$Z,19,FALSE)+VLOOKUP($A291,A:AL,28,FALSE)-50))</f>
        <v>207</v>
      </c>
      <c r="AB291" s="3">
        <v>226</v>
      </c>
      <c r="AC291" s="3">
        <f>IF(ISERROR((VLOOKUP($A291,'SegEnds_NonXtal_BW#'!$A:$Z,20,FALSE)+VLOOKUP($A291,A:AL,28,FALSE)-50)),"-",(VLOOKUP($A291,'SegEnds_NonXtal_BW#'!$A:$Z,20,FALSE)+VLOOKUP($A291,A:AL,28,FALSE)-50))</f>
        <v>248</v>
      </c>
      <c r="AD291" s="3">
        <f>IF(ISERROR(VLOOKUP($A291,'SegEnds_NonXtal_BW#'!$A:$Z,21,FALSE)+VLOOKUP($A291,A:AL,31,FALSE)-50),"-",(VLOOKUP($A291,'SegEnds_NonXtal_BW#'!$A:$Z,21,FALSE)+VLOOKUP($A291,A:AL,31,FALSE)-50))</f>
        <v>254</v>
      </c>
      <c r="AE291" s="3">
        <v>280</v>
      </c>
      <c r="AF291" s="3">
        <f>IF(ISERROR((VLOOKUP($A291,'SegEnds_NonXtal_BW#'!$A:$Z,22,FALSE)+VLOOKUP($A291,A:AL,31,FALSE)-50)),"-",(VLOOKUP($A291,'SegEnds_NonXtal_BW#'!$A:$Z,22,FALSE)+VLOOKUP($A291,A:AL,31,FALSE)-50))</f>
        <v>291</v>
      </c>
      <c r="AG291" s="3">
        <f>IF(ISERROR(VLOOKUP($A291,'SegEnds_NonXtal_BW#'!$A:$Z,23,FALSE)+VLOOKUP($A291,A:AL,34,FALSE)-50),"-",(VLOOKUP($A291,'SegEnds_NonXtal_BW#'!$A:$Z,23,FALSE)+VLOOKUP($A291,A:AL,34,FALSE)-50))</f>
        <v>297</v>
      </c>
      <c r="AH291" s="3">
        <v>319</v>
      </c>
      <c r="AI291" s="3">
        <f>IF(ISERROR((VLOOKUP($A291,'SegEnds_NonXtal_BW#'!$A:$Z,24,FALSE)+VLOOKUP($A291,A:AL,34,FALSE)-50)),"-",(VLOOKUP($A291,'SegEnds_NonXtal_BW#'!$A:$Z,24,FALSE)+VLOOKUP($A291,A:AL,34,FALSE)-50))</f>
        <v>325</v>
      </c>
      <c r="AJ291" s="3">
        <f>IF(ISERROR(VLOOKUP($A291,'SegEnds_NonXtal_BW#'!$A:$Z,25,FALSE)+VLOOKUP($A291,A:AL,37,FALSE)-50),"-",(VLOOKUP($A291,'SegEnds_NonXtal_BW#'!$A:$Z,25,FALSE)+VLOOKUP($A291,A:AL,37,FALSE)-50))</f>
        <v>326</v>
      </c>
      <c r="AK291" s="3">
        <v>329</v>
      </c>
      <c r="AL291" s="3">
        <f>IF(ISERROR((VLOOKUP($A291,'SegEnds_NonXtal_BW#'!$A:$Z,26,FALSE)+VLOOKUP($A291,A:AL,37,FALSE)-50)),"-",(VLOOKUP($A291,'SegEnds_NonXtal_BW#'!$A:$Z,26,FALSE)+VLOOKUP($A291,A:AL,37,FALSE)-50))</f>
        <v>337</v>
      </c>
      <c r="AM291" s="28" t="str">
        <f>VLOOKUP(A291,Classification!A:B,2,FALSE)</f>
        <v>A</v>
      </c>
      <c r="AN291" s="28" t="b">
        <f t="shared" si="211"/>
        <v>1</v>
      </c>
      <c r="AO291" s="3" t="str">
        <f>IF(ISERROR(MATCH(A291,'SegEnds_Xtal_Prot#'!B:B, 0)), "NoXtal", "Xtal")</f>
        <v>NoXtal</v>
      </c>
      <c r="AP291" s="3">
        <f t="shared" si="196"/>
        <v>1</v>
      </c>
      <c r="AQ291" s="3">
        <f t="shared" si="197"/>
        <v>1</v>
      </c>
      <c r="AR291" s="3">
        <f t="shared" si="198"/>
        <v>1</v>
      </c>
      <c r="AS291" s="3">
        <f t="shared" si="199"/>
        <v>1</v>
      </c>
      <c r="AT291" s="3" t="str">
        <f t="shared" si="200"/>
        <v>-</v>
      </c>
      <c r="AU291" s="3" t="str">
        <f t="shared" si="201"/>
        <v>-</v>
      </c>
      <c r="AV291" s="3">
        <f t="shared" si="202"/>
        <v>23</v>
      </c>
      <c r="AW291" s="3">
        <f t="shared" si="203"/>
        <v>4</v>
      </c>
      <c r="AX291" s="3">
        <f t="shared" si="204"/>
        <v>6</v>
      </c>
      <c r="AY291" s="3">
        <f t="shared" si="205"/>
        <v>6</v>
      </c>
      <c r="AZ291" s="3">
        <f t="shared" si="206"/>
        <v>1</v>
      </c>
      <c r="BA291" s="3">
        <f>IF(ISERROR(LEN(VLOOKUP(A291,Seqs!A:E,2,FALSE))-AL291),"-",LEN(VLOOKUP(A291,Seqs!A:E,2,FALSE))-AL291)</f>
        <v>38</v>
      </c>
      <c r="BB291" s="16">
        <f t="shared" si="207"/>
        <v>28</v>
      </c>
      <c r="BC291" s="9" t="str">
        <f t="shared" si="208"/>
        <v>-</v>
      </c>
      <c r="BD291" s="3">
        <f t="shared" si="209"/>
        <v>28</v>
      </c>
      <c r="BE291" s="3">
        <f t="shared" si="210"/>
        <v>54</v>
      </c>
    </row>
    <row r="292" spans="1:59" s="3" customFormat="1" x14ac:dyDescent="0.2">
      <c r="A292" s="3" t="s">
        <v>327</v>
      </c>
      <c r="B292" s="3" t="str">
        <f>LOWER(VLOOKUP(A292,Xtal_Templ!A:B,2,FALSE))</f>
        <v>npy1r_human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5"/>
        <v>70</v>
      </c>
      <c r="G292" s="3">
        <v>72</v>
      </c>
      <c r="H292" s="3">
        <f t="shared" si="216"/>
        <v>73</v>
      </c>
      <c r="I292" s="3">
        <f t="shared" si="216"/>
        <v>74</v>
      </c>
      <c r="J292" s="3">
        <v>87</v>
      </c>
      <c r="K292" s="3">
        <f>VLOOKUP($A292,'SegEnds_NonXtal_BW#'!$A:$Z,8,FALSE)+VLOOKUP($A292,A:AL,10,FALSE)-50</f>
        <v>105</v>
      </c>
      <c r="L292" s="3">
        <f t="shared" si="217"/>
        <v>106</v>
      </c>
      <c r="M292" s="3">
        <v>107</v>
      </c>
      <c r="N292" s="3">
        <f t="shared" si="218"/>
        <v>109</v>
      </c>
      <c r="O292" s="3">
        <f t="shared" si="219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152</v>
      </c>
      <c r="V292" s="3">
        <v>164</v>
      </c>
      <c r="W292" s="3">
        <f>IF(ISERROR(VLOOKUP($A292,'SegEnds_NonXtal_BW#'!$A:$Z,16,FALSE)+VLOOKUP($A292,A:AL,22,FALSE)-50),"-",(VLOOKUP($A292,'SegEnds_NonXtal_BW#'!$A:$Z,16,FALSE)+VLOOKUP($A292,A:AL,22,FALSE)-50))</f>
        <v>178</v>
      </c>
      <c r="X292" s="3">
        <f>IF(ISERROR(VLOOKUP($A292,'SegEnds_NonXtal_BW#'!$A:$Z,17,FALSE)+VLOOKUP($A292,A:AL,25,FALSE)-50),"-",(VLOOKUP($A292,'SegEnds_NonXtal_BW#'!$A:$Z,17,FALSE)+VLOOKUP($A292,A:AL,25,FALSE)-50))</f>
        <v>198</v>
      </c>
      <c r="Y292" s="3">
        <v>198</v>
      </c>
      <c r="Z292" s="3">
        <f t="shared" si="213"/>
        <v>200</v>
      </c>
      <c r="AA292" s="3">
        <f>IF(ISERROR(VLOOKUP($A292,'SegEnds_NonXtal_BW#'!$A:$Z,19,FALSE)+VLOOKUP($A292,A:AL,28,FALSE)-50),"-",(VLOOKUP($A292,'SegEnds_NonXtal_BW#'!$A:$Z,19,FALSE)+VLOOKUP($A292,A:AL,28,FALSE)-50))</f>
        <v>204</v>
      </c>
      <c r="AB292" s="3">
        <v>223</v>
      </c>
      <c r="AC292" s="3">
        <f>IF(ISERROR((VLOOKUP($A292,'SegEnds_NonXtal_BW#'!$A:$Z,20,FALSE)+VLOOKUP($A292,A:AL,28,FALSE)-50)),"-",(VLOOKUP($A292,'SegEnds_NonXtal_BW#'!$A:$Z,20,FALSE)+VLOOKUP($A292,A:AL,28,FALSE)-50))</f>
        <v>249</v>
      </c>
      <c r="AD292" s="3">
        <f>IF(ISERROR(VLOOKUP($A292,'SegEnds_NonXtal_BW#'!$A:$Z,21,FALSE)+VLOOKUP($A292,A:AL,31,FALSE)-50),"-",(VLOOKUP($A292,'SegEnds_NonXtal_BW#'!$A:$Z,21,FALSE)+VLOOKUP($A292,A:AL,31,FALSE)-50))</f>
        <v>357</v>
      </c>
      <c r="AE292" s="3">
        <v>383</v>
      </c>
      <c r="AF292" s="3">
        <f>IF(ISERROR((VLOOKUP($A292,'SegEnds_NonXtal_BW#'!$A:$Z,22,FALSE)+VLOOKUP($A292,A:AL,31,FALSE)-50)),"-",(VLOOKUP($A292,'SegEnds_NonXtal_BW#'!$A:$Z,22,FALSE)+VLOOKUP($A292,A:AL,31,FALSE)-50))</f>
        <v>394</v>
      </c>
      <c r="AG292" s="3">
        <f>IF(ISERROR(VLOOKUP($A292,'SegEnds_NonXtal_BW#'!$A:$Z,23,FALSE)+VLOOKUP($A292,A:AL,34,FALSE)-50),"-",(VLOOKUP($A292,'SegEnds_NonXtal_BW#'!$A:$Z,23,FALSE)+VLOOKUP($A292,A:AL,34,FALSE)-50))</f>
        <v>400</v>
      </c>
      <c r="AH292" s="3">
        <v>422</v>
      </c>
      <c r="AI292" s="3">
        <f>IF(ISERROR((VLOOKUP($A292,'SegEnds_NonXtal_BW#'!$A:$Z,24,FALSE)+VLOOKUP($A292,A:AL,34,FALSE)-50)),"-",(VLOOKUP($A292,'SegEnds_NonXtal_BW#'!$A:$Z,24,FALSE)+VLOOKUP($A292,A:AL,34,FALSE)-50))</f>
        <v>428</v>
      </c>
      <c r="AJ292" s="3">
        <f>IF(ISERROR(VLOOKUP($A292,'SegEnds_NonXtal_BW#'!$A:$Z,25,FALSE)+VLOOKUP($A292,A:AL,37,FALSE)-50),"-",(VLOOKUP($A292,'SegEnds_NonXtal_BW#'!$A:$Z,25,FALSE)+VLOOKUP($A292,A:AL,37,FALSE)-50))</f>
        <v>429</v>
      </c>
      <c r="AK292" s="3">
        <v>432</v>
      </c>
      <c r="AL292" s="3">
        <f>IF(ISERROR((VLOOKUP($A292,'SegEnds_NonXtal_BW#'!$A:$Z,26,FALSE)+VLOOKUP($A292,A:AL,37,FALSE)-50)),"-",(VLOOKUP($A292,'SegEnds_NonXtal_BW#'!$A:$Z,26,FALSE)+VLOOKUP($A292,A:AL,37,FALSE)-50))</f>
        <v>440</v>
      </c>
      <c r="AM292" s="28" t="str">
        <f>VLOOKUP(A292,Classification!A:B,2,FALSE)</f>
        <v>A</v>
      </c>
      <c r="AN292" s="28" t="b">
        <f t="shared" si="211"/>
        <v>1</v>
      </c>
      <c r="AO292" s="3" t="str">
        <f>IF(ISERROR(MATCH(A292,'SegEnds_Xtal_Prot#'!B:B, 0)), "NoXtal", "Xtal")</f>
        <v>NoXtal</v>
      </c>
      <c r="AP292" s="3">
        <f t="shared" si="196"/>
        <v>1</v>
      </c>
      <c r="AQ292" s="3">
        <f t="shared" si="197"/>
        <v>1</v>
      </c>
      <c r="AR292" s="3">
        <f t="shared" si="198"/>
        <v>1</v>
      </c>
      <c r="AS292" s="3">
        <f t="shared" si="199"/>
        <v>1</v>
      </c>
      <c r="AT292" s="3" t="str">
        <f t="shared" si="200"/>
        <v>-</v>
      </c>
      <c r="AU292" s="3" t="str">
        <f t="shared" si="201"/>
        <v>-</v>
      </c>
      <c r="AV292" s="3">
        <f t="shared" si="202"/>
        <v>20</v>
      </c>
      <c r="AW292" s="3">
        <f t="shared" si="203"/>
        <v>4</v>
      </c>
      <c r="AX292" s="3">
        <f t="shared" si="204"/>
        <v>108</v>
      </c>
      <c r="AY292" s="3">
        <f t="shared" si="205"/>
        <v>6</v>
      </c>
      <c r="AZ292" s="3">
        <f t="shared" si="206"/>
        <v>1</v>
      </c>
      <c r="BA292" s="3">
        <f>IF(ISERROR(LEN(VLOOKUP(A292,Seqs!A:E,2,FALSE))-AL292),"-",LEN(VLOOKUP(A292,Seqs!A:E,2,FALSE))-AL292)</f>
        <v>5</v>
      </c>
      <c r="BB292" s="16">
        <f t="shared" si="207"/>
        <v>28</v>
      </c>
      <c r="BC292" s="9" t="str">
        <f t="shared" si="208"/>
        <v>-</v>
      </c>
      <c r="BD292" s="3">
        <f t="shared" si="209"/>
        <v>28</v>
      </c>
      <c r="BE292" s="3">
        <f t="shared" si="210"/>
        <v>160</v>
      </c>
      <c r="BF292" s="3">
        <f>AH292-AE292</f>
        <v>39</v>
      </c>
    </row>
    <row r="293" spans="1:59" s="3" customFormat="1" x14ac:dyDescent="0.2">
      <c r="A293" s="3" t="s">
        <v>328</v>
      </c>
      <c r="B293" s="3" t="str">
        <f>LOWER(VLOOKUP(A293,Xtal_Templ!A:B,2,FALSE))</f>
        <v>npy1r_human</v>
      </c>
      <c r="C293" s="3">
        <f>VLOOKUP($A293,'SegEnds_NonXtal_BW#'!$A:$Z,3,FALSE)+D293-50</f>
        <v>31</v>
      </c>
      <c r="D293" s="3">
        <v>53</v>
      </c>
      <c r="E293" s="3">
        <f>IF(ISERROR(VLOOKUP($A293,'SegEnds_NonXtal_BW#'!$A:$Z,4,FALSE)+VLOOKUP($A293,A:AL,4,FALSE)-50),"-",(VLOOKUP($A293,'SegEnds_NonXtal_BW#'!$A:$Z,4,FALSE)+VLOOKUP($A293,A:AL,4,FALSE)-50))</f>
        <v>63</v>
      </c>
      <c r="F293" s="3">
        <f t="shared" si="215"/>
        <v>65</v>
      </c>
      <c r="G293" s="3">
        <v>67</v>
      </c>
      <c r="H293" s="3">
        <f t="shared" si="216"/>
        <v>68</v>
      </c>
      <c r="I293" s="3">
        <f t="shared" si="216"/>
        <v>69</v>
      </c>
      <c r="J293" s="3">
        <v>82</v>
      </c>
      <c r="K293" s="3">
        <f>VLOOKUP($A293,'SegEnds_NonXtal_BW#'!$A:$Z,8,FALSE)+VLOOKUP($A293,A:AL,10,FALSE)-50</f>
        <v>100</v>
      </c>
      <c r="L293" s="3">
        <f t="shared" si="217"/>
        <v>101</v>
      </c>
      <c r="M293" s="3">
        <v>102</v>
      </c>
      <c r="N293" s="3">
        <f t="shared" si="218"/>
        <v>104</v>
      </c>
      <c r="O293" s="3">
        <f t="shared" si="219"/>
        <v>105</v>
      </c>
      <c r="P293" s="3">
        <v>134</v>
      </c>
      <c r="Q293" s="3">
        <f>VLOOKUP($A293,'SegEnds_NonXtal_BW#'!$A:$Z,12,FALSE)+VLOOKUP($A293,A:AL,16,FALSE)-50</f>
        <v>140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147</v>
      </c>
      <c r="V293" s="3">
        <v>159</v>
      </c>
      <c r="W293" s="3">
        <f>IF(ISERROR(VLOOKUP($A293,'SegEnds_NonXtal_BW#'!$A:$Z,16,FALSE)+VLOOKUP($A293,A:AL,22,FALSE)-50),"-",(VLOOKUP($A293,'SegEnds_NonXtal_BW#'!$A:$Z,16,FALSE)+VLOOKUP($A293,A:AL,22,FALSE)-50))</f>
        <v>173</v>
      </c>
      <c r="X293" s="3" t="str">
        <f>IF(ISERROR(VLOOKUP($A293,'SegEnds_NonXtal_BW#'!$A:$Z,17,FALSE)+VLOOKUP($A293,A:AL,25,FALSE)-50),"-",(VLOOKUP($A293,'SegEnds_NonXtal_BW#'!$A:$Z,17,FALSE)+VLOOKUP($A293,A:AL,25,FALSE)-50))</f>
        <v>-</v>
      </c>
      <c r="Y293" s="3" t="s">
        <v>23</v>
      </c>
      <c r="Z293" s="3" t="str">
        <f>IF(ISERROR(VLOOKUP($A293,'SegEnds_NonXtal_BW#'!$A:$Z,18,FALSE)+VLOOKUP($A293,A:AL,25,FALSE)-50),"-",(VLOOKUP($A293,'SegEnds_NonXtal_BW#'!$A:$Z,18,FALSE)+VLOOKUP($A293,A:AL,25,FALSE)-50))</f>
        <v>-</v>
      </c>
      <c r="AA293" s="3">
        <f>IF(ISERROR(VLOOKUP($A293,'SegEnds_NonXtal_BW#'!$A:$Z,19,FALSE)+VLOOKUP($A293,A:AL,28,FALSE)-50),"-",(VLOOKUP($A293,'SegEnds_NonXtal_BW#'!$A:$Z,19,FALSE)+VLOOKUP($A293,A:AL,28,FALSE)-50))</f>
        <v>202</v>
      </c>
      <c r="AB293" s="3">
        <v>221</v>
      </c>
      <c r="AC293" s="3">
        <f>IF(ISERROR((VLOOKUP($A293,'SegEnds_NonXtal_BW#'!$A:$Z,20,FALSE)+VLOOKUP($A293,A:AL,28,FALSE)-50)),"-",(VLOOKUP($A293,'SegEnds_NonXtal_BW#'!$A:$Z,20,FALSE)+VLOOKUP($A293,A:AL,28,FALSE)-50))</f>
        <v>244</v>
      </c>
      <c r="AD293" s="3">
        <f>IF(ISERROR(VLOOKUP($A293,'SegEnds_NonXtal_BW#'!$A:$Z,21,FALSE)+VLOOKUP($A293,A:AL,31,FALSE)-50),"-",(VLOOKUP($A293,'SegEnds_NonXtal_BW#'!$A:$Z,21,FALSE)+VLOOKUP($A293,A:AL,31,FALSE)-50))</f>
        <v>248</v>
      </c>
      <c r="AE293" s="3">
        <v>276</v>
      </c>
      <c r="AF293" s="3">
        <f>IF(ISERROR((VLOOKUP($A293,'SegEnds_NonXtal_BW#'!$A:$Z,22,FALSE)+VLOOKUP($A293,A:AL,31,FALSE)-50)),"-",(VLOOKUP($A293,'SegEnds_NonXtal_BW#'!$A:$Z,22,FALSE)+VLOOKUP($A293,A:AL,31,FALSE)-50))</f>
        <v>287</v>
      </c>
      <c r="AG293" s="3" t="str">
        <f>IF(ISERROR(VLOOKUP($A293,'SegEnds_NonXtal_BW#'!$A:$Z,23,FALSE)+VLOOKUP($A293,A:AL,34,FALSE)-50),"-",(VLOOKUP($A293,'SegEnds_NonXtal_BW#'!$A:$Z,23,FALSE)+VLOOKUP($A293,A:AL,34,FALSE)-50))</f>
        <v>-</v>
      </c>
      <c r="AH293" s="3" t="s">
        <v>23</v>
      </c>
      <c r="AI293" s="3" t="str">
        <f>IF(ISERROR((VLOOKUP($A293,'SegEnds_NonXtal_BW#'!$A:$Z,24,FALSE)+VLOOKUP($A293,A:AL,34,FALSE)-50)),"-",(VLOOKUP($A293,'SegEnds_NonXtal_BW#'!$A:$Z,24,FALSE)+VLOOKUP($A293,A:AL,34,FALSE)-50))</f>
        <v>-</v>
      </c>
      <c r="AJ293" s="3" t="str">
        <f>IF(ISERROR(VLOOKUP($A293,'SegEnds_NonXtal_BW#'!$A:$Z,25,FALSE)+VLOOKUP($A293,A:AL,37,FALSE)-50),"-",(VLOOKUP($A293,'SegEnds_NonXtal_BW#'!$A:$Z,25,FALSE)+VLOOKUP($A293,A:AL,37,FALSE)-50))</f>
        <v>-</v>
      </c>
      <c r="AK293" s="3" t="s">
        <v>23</v>
      </c>
      <c r="AL293" s="3" t="str">
        <f>IF(ISERROR((VLOOKUP($A293,'SegEnds_NonXtal_BW#'!$A:$Z,26,FALSE)+VLOOKUP($A293,A:AL,37,FALSE)-50)),"-",(VLOOKUP($A293,'SegEnds_NonXtal_BW#'!$A:$Z,26,FALSE)+VLOOKUP($A293,A:AL,37,FALSE)-50))</f>
        <v>-</v>
      </c>
      <c r="AM293" s="28" t="str">
        <f>VLOOKUP(A293,Classification!A:B,2,FALSE)</f>
        <v>A</v>
      </c>
      <c r="AN293" s="28" t="e">
        <f t="shared" si="211"/>
        <v>#VALUE!</v>
      </c>
      <c r="AO293" s="3" t="str">
        <f>IF(ISERROR(MATCH(A293,'SegEnds_Xtal_Prot#'!B:B, 0)), "NoXtal", "Xtal")</f>
        <v>NoXtal</v>
      </c>
      <c r="AP293" s="3">
        <f t="shared" si="196"/>
        <v>2</v>
      </c>
      <c r="AQ293" s="3">
        <f t="shared" si="197"/>
        <v>1</v>
      </c>
      <c r="AR293" s="3">
        <f t="shared" si="198"/>
        <v>1</v>
      </c>
      <c r="AS293" s="3">
        <f t="shared" si="199"/>
        <v>1</v>
      </c>
      <c r="AT293" s="3" t="str">
        <f t="shared" si="200"/>
        <v>-</v>
      </c>
      <c r="AU293" s="3" t="str">
        <f t="shared" si="201"/>
        <v>-</v>
      </c>
      <c r="AV293" s="3" t="str">
        <f t="shared" si="202"/>
        <v>-</v>
      </c>
      <c r="AW293" s="3" t="str">
        <f t="shared" si="203"/>
        <v>-</v>
      </c>
      <c r="AX293" s="3">
        <f t="shared" si="204"/>
        <v>4</v>
      </c>
      <c r="AY293" s="3" t="str">
        <f t="shared" si="205"/>
        <v>-</v>
      </c>
      <c r="AZ293" s="3" t="str">
        <f t="shared" si="206"/>
        <v>-</v>
      </c>
      <c r="BA293" s="3" t="str">
        <f>IF(ISERROR(LEN(VLOOKUP(A293,Seqs!A:E,2,FALSE))-AL293),"-",LEN(VLOOKUP(A293,Seqs!A:E,2,FALSE))-AL293)</f>
        <v>-</v>
      </c>
      <c r="BB293" s="16">
        <f t="shared" si="207"/>
        <v>29</v>
      </c>
      <c r="BC293" s="9" t="str">
        <f t="shared" si="208"/>
        <v>-</v>
      </c>
      <c r="BD293" s="3">
        <f t="shared" si="209"/>
        <v>29</v>
      </c>
      <c r="BE293" s="3">
        <f t="shared" si="210"/>
        <v>55</v>
      </c>
      <c r="BG293" s="3" t="s">
        <v>1302</v>
      </c>
    </row>
    <row r="294" spans="1:59" s="3" customFormat="1" x14ac:dyDescent="0.2">
      <c r="A294" s="3" t="s">
        <v>331</v>
      </c>
      <c r="B294" s="3" t="str">
        <f>LOWER(VLOOKUP(A294,Xtal_Templ!A:B,2,FALSE))</f>
        <v>opsd_bovin</v>
      </c>
      <c r="C294" s="3">
        <f>VLOOKUP($A294,'SegEnds_NonXtal_BW#'!$A:$Z,3,FALSE)+D294-50</f>
        <v>37</v>
      </c>
      <c r="D294" s="3">
        <v>59</v>
      </c>
      <c r="E294" s="3">
        <f>IF(ISERROR(VLOOKUP($A294,'SegEnds_NonXtal_BW#'!$A:$Z,4,FALSE)+VLOOKUP($A294,A:AL,4,FALSE)-50),"-",(VLOOKUP($A294,'SegEnds_NonXtal_BW#'!$A:$Z,4,FALSE)+VLOOKUP($A294,A:AL,4,FALSE)-50))</f>
        <v>69</v>
      </c>
      <c r="F294" s="3">
        <f t="shared" si="215"/>
        <v>70</v>
      </c>
      <c r="G294" s="3">
        <v>72</v>
      </c>
      <c r="H294" s="3">
        <f t="shared" si="216"/>
        <v>73</v>
      </c>
      <c r="I294" s="3">
        <f t="shared" si="216"/>
        <v>74</v>
      </c>
      <c r="J294" s="3">
        <v>87</v>
      </c>
      <c r="K294" s="3">
        <f>VLOOKUP($A294,'SegEnds_NonXtal_BW#'!$A:$Z,8,FALSE)+VLOOKUP($A294,A:AL,10,FALSE)-50</f>
        <v>104</v>
      </c>
      <c r="L294" s="3">
        <f t="shared" si="217"/>
        <v>106</v>
      </c>
      <c r="M294" s="3">
        <v>107</v>
      </c>
      <c r="N294" s="3">
        <f t="shared" si="218"/>
        <v>109</v>
      </c>
      <c r="O294" s="3">
        <f t="shared" si="219"/>
        <v>110</v>
      </c>
      <c r="P294" s="3">
        <v>139</v>
      </c>
      <c r="Q294" s="3">
        <f>VLOOKUP($A294,'SegEnds_NonXtal_BW#'!$A:$Z,12,FALSE)+VLOOKUP($A294,A:AL,16,FALSE)-50</f>
        <v>145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150</v>
      </c>
      <c r="V294" s="3">
        <v>162</v>
      </c>
      <c r="W294" s="3">
        <f>IF(ISERROR(VLOOKUP($A294,'SegEnds_NonXtal_BW#'!$A:$Z,16,FALSE)+VLOOKUP($A294,A:AL,22,FALSE)-50),"-",(VLOOKUP($A294,'SegEnds_NonXtal_BW#'!$A:$Z,16,FALSE)+VLOOKUP($A294,A:AL,22,FALSE)-50))</f>
        <v>174</v>
      </c>
      <c r="X294" s="3">
        <f>IF(ISERROR(VLOOKUP($A294,'SegEnds_NonXtal_BW#'!$A:$Z,17,FALSE)+VLOOKUP($A294,A:AL,25,FALSE)-50),"-",(VLOOKUP($A294,'SegEnds_NonXtal_BW#'!$A:$Z,17,FALSE)+VLOOKUP($A294,A:AL,25,FALSE)-50))</f>
        <v>188</v>
      </c>
      <c r="Y294" s="3">
        <v>188</v>
      </c>
      <c r="Z294" s="3">
        <f t="shared" ref="Z294:Z329" si="220">Y294+2</f>
        <v>190</v>
      </c>
      <c r="AA294" s="3">
        <f>IF(ISERROR(VLOOKUP($A294,'SegEnds_NonXtal_BW#'!$A:$Z,19,FALSE)+VLOOKUP($A294,A:AL,28,FALSE)-50),"-",(VLOOKUP($A294,'SegEnds_NonXtal_BW#'!$A:$Z,19,FALSE)+VLOOKUP($A294,A:AL,28,FALSE)-50))</f>
        <v>198</v>
      </c>
      <c r="AB294" s="3">
        <v>214</v>
      </c>
      <c r="AC294" s="3">
        <f>IF(ISERROR((VLOOKUP($A294,'SegEnds_NonXtal_BW#'!$A:$Z,20,FALSE)+VLOOKUP($A294,A:AL,28,FALSE)-50)),"-",(VLOOKUP($A294,'SegEnds_NonXtal_BW#'!$A:$Z,20,FALSE)+VLOOKUP($A294,A:AL,28,FALSE)-50))</f>
        <v>237</v>
      </c>
      <c r="AD294" s="3">
        <f>IF(ISERROR(VLOOKUP($A294,'SegEnds_NonXtal_BW#'!$A:$Z,21,FALSE)+VLOOKUP($A294,A:AL,31,FALSE)-50),"-",(VLOOKUP($A294,'SegEnds_NonXtal_BW#'!$A:$Z,21,FALSE)+VLOOKUP($A294,A:AL,31,FALSE)-50))</f>
        <v>242</v>
      </c>
      <c r="AE294" s="3">
        <v>270</v>
      </c>
      <c r="AF294" s="3">
        <f>IF(ISERROR((VLOOKUP($A294,'SegEnds_NonXtal_BW#'!$A:$Z,22,FALSE)+VLOOKUP($A294,A:AL,31,FALSE)-50)),"-",(VLOOKUP($A294,'SegEnds_NonXtal_BW#'!$A:$Z,22,FALSE)+VLOOKUP($A294,A:AL,31,FALSE)-50))</f>
        <v>281</v>
      </c>
      <c r="AG294" s="3">
        <f>IF(ISERROR(VLOOKUP($A294,'SegEnds_NonXtal_BW#'!$A:$Z,23,FALSE)+VLOOKUP($A294,A:AL,34,FALSE)-50),"-",(VLOOKUP($A294,'SegEnds_NonXtal_BW#'!$A:$Z,23,FALSE)+VLOOKUP($A294,A:AL,34,FALSE)-50))</f>
        <v>287</v>
      </c>
      <c r="AH294" s="3">
        <v>306</v>
      </c>
      <c r="AI294" s="3">
        <f>IF(ISERROR((VLOOKUP($A294,'SegEnds_NonXtal_BW#'!$A:$Z,24,FALSE)+VLOOKUP($A294,A:AL,34,FALSE)-50)),"-",(VLOOKUP($A294,'SegEnds_NonXtal_BW#'!$A:$Z,24,FALSE)+VLOOKUP($A294,A:AL,34,FALSE)-50))</f>
        <v>312</v>
      </c>
      <c r="AJ294" s="3">
        <f>IF(ISERROR(VLOOKUP($A294,'SegEnds_NonXtal_BW#'!$A:$Z,25,FALSE)+VLOOKUP($A294,A:AL,37,FALSE)-50),"-",(VLOOKUP($A294,'SegEnds_NonXtal_BW#'!$A:$Z,25,FALSE)+VLOOKUP($A294,A:AL,37,FALSE)-50))</f>
        <v>313</v>
      </c>
      <c r="AK294" s="3">
        <v>316</v>
      </c>
      <c r="AL294" s="3">
        <f>IF(ISERROR((VLOOKUP($A294,'SegEnds_NonXtal_BW#'!$A:$Z,26,FALSE)+VLOOKUP($A294,A:AL,37,FALSE)-50)),"-",(VLOOKUP($A294,'SegEnds_NonXtal_BW#'!$A:$Z,26,FALSE)+VLOOKUP($A294,A:AL,37,FALSE)-50))</f>
        <v>325</v>
      </c>
      <c r="AM294" s="28" t="str">
        <f>VLOOKUP(A294,Classification!A:B,2,FALSE)</f>
        <v>A</v>
      </c>
      <c r="AN294" s="28" t="b">
        <f t="shared" si="211"/>
        <v>1</v>
      </c>
      <c r="AO294" s="3" t="str">
        <f>IF(ISERROR(MATCH(A294,'SegEnds_Xtal_Prot#'!B:B, 0)), "NoXtal", "Xtal")</f>
        <v>NoXtal</v>
      </c>
      <c r="AP294" s="3">
        <f t="shared" si="196"/>
        <v>1</v>
      </c>
      <c r="AQ294" s="3">
        <f t="shared" si="197"/>
        <v>1</v>
      </c>
      <c r="AR294" s="3">
        <f t="shared" si="198"/>
        <v>2</v>
      </c>
      <c r="AS294" s="3">
        <f t="shared" si="199"/>
        <v>1</v>
      </c>
      <c r="AT294" s="3" t="str">
        <f t="shared" si="200"/>
        <v>-</v>
      </c>
      <c r="AU294" s="3" t="str">
        <f t="shared" si="201"/>
        <v>-</v>
      </c>
      <c r="AV294" s="3">
        <f t="shared" si="202"/>
        <v>14</v>
      </c>
      <c r="AW294" s="3">
        <f t="shared" si="203"/>
        <v>8</v>
      </c>
      <c r="AX294" s="3">
        <f t="shared" si="204"/>
        <v>5</v>
      </c>
      <c r="AY294" s="3">
        <f t="shared" si="205"/>
        <v>6</v>
      </c>
      <c r="AZ294" s="3">
        <f t="shared" si="206"/>
        <v>1</v>
      </c>
      <c r="BA294" s="3">
        <f>IF(ISERROR(LEN(VLOOKUP(A294,Seqs!A:E,2,FALSE))-AL294),"-",LEN(VLOOKUP(A294,Seqs!A:E,2,FALSE))-AL294)</f>
        <v>77</v>
      </c>
      <c r="BB294" s="16">
        <f t="shared" si="207"/>
        <v>28</v>
      </c>
      <c r="BC294" s="9" t="str">
        <f t="shared" si="208"/>
        <v>-</v>
      </c>
      <c r="BD294" s="3">
        <f t="shared" si="209"/>
        <v>28</v>
      </c>
      <c r="BE294" s="3">
        <f t="shared" si="210"/>
        <v>56</v>
      </c>
    </row>
    <row r="295" spans="1:59" s="3" customFormat="1" x14ac:dyDescent="0.2">
      <c r="A295" s="3" t="s">
        <v>343</v>
      </c>
      <c r="B295" s="3" t="str">
        <f>LOWER(VLOOKUP(A295,Xtal_Templ!A:B,2,FALSE))</f>
        <v>ox1r_human</v>
      </c>
      <c r="C295" s="3">
        <f>VLOOKUP($A295,'SegEnds_NonXtal_BW#'!$A:$Z,3,FALSE)+D295-50</f>
        <v>39</v>
      </c>
      <c r="D295" s="3">
        <v>57</v>
      </c>
      <c r="E295" s="3">
        <f>IF(ISERROR(VLOOKUP($A295,'SegEnds_NonXtal_BW#'!$A:$Z,4,FALSE)+VLOOKUP($A295,A:AL,4,FALSE)-50),"-",(VLOOKUP($A295,'SegEnds_NonXtal_BW#'!$A:$Z,4,FALSE)+VLOOKUP($A295,A:AL,4,FALSE)-50))</f>
        <v>67</v>
      </c>
      <c r="F295" s="3">
        <f t="shared" si="215"/>
        <v>68</v>
      </c>
      <c r="G295" s="3">
        <v>70</v>
      </c>
      <c r="H295" s="3">
        <f t="shared" si="216"/>
        <v>71</v>
      </c>
      <c r="I295" s="3">
        <f t="shared" si="216"/>
        <v>72</v>
      </c>
      <c r="J295" s="3">
        <v>85</v>
      </c>
      <c r="K295" s="3">
        <f>VLOOKUP($A295,'SegEnds_NonXtal_BW#'!$A:$Z,8,FALSE)+VLOOKUP($A295,A:AL,10,FALSE)-50</f>
        <v>101</v>
      </c>
      <c r="L295" s="3">
        <f t="shared" si="217"/>
        <v>102</v>
      </c>
      <c r="M295" s="3">
        <v>103</v>
      </c>
      <c r="N295" s="3">
        <f t="shared" si="218"/>
        <v>105</v>
      </c>
      <c r="O295" s="3">
        <f t="shared" si="219"/>
        <v>106</v>
      </c>
      <c r="P295" s="3">
        <v>137</v>
      </c>
      <c r="Q295" s="3">
        <f>VLOOKUP($A295,'SegEnds_NonXtal_BW#'!$A:$Z,12,FALSE)+VLOOKUP($A295,A:AL,16,FALSE)-50</f>
        <v>143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149</v>
      </c>
      <c r="V295" s="3">
        <v>161</v>
      </c>
      <c r="W295" s="3">
        <f>IF(ISERROR(VLOOKUP($A295,'SegEnds_NonXtal_BW#'!$A:$Z,16,FALSE)+VLOOKUP($A295,A:AL,22,FALSE)-50),"-",(VLOOKUP($A295,'SegEnds_NonXtal_BW#'!$A:$Z,16,FALSE)+VLOOKUP($A295,A:AL,22,FALSE)-50))</f>
        <v>175</v>
      </c>
      <c r="X295" s="3">
        <f>IF(ISERROR(VLOOKUP($A295,'SegEnds_NonXtal_BW#'!$A:$Z,17,FALSE)+VLOOKUP($A295,A:AL,25,FALSE)-50),"-",(VLOOKUP($A295,'SegEnds_NonXtal_BW#'!$A:$Z,17,FALSE)+VLOOKUP($A295,A:AL,25,FALSE)-50))</f>
        <v>187</v>
      </c>
      <c r="Y295" s="3">
        <v>187</v>
      </c>
      <c r="Z295" s="3">
        <f t="shared" si="220"/>
        <v>189</v>
      </c>
      <c r="AA295" s="3">
        <f>IF(ISERROR(VLOOKUP($A295,'SegEnds_NonXtal_BW#'!$A:$Z,19,FALSE)+VLOOKUP($A295,A:AL,28,FALSE)-50),"-",(VLOOKUP($A295,'SegEnds_NonXtal_BW#'!$A:$Z,19,FALSE)+VLOOKUP($A295,A:AL,28,FALSE)-50))</f>
        <v>195</v>
      </c>
      <c r="AB295" s="3">
        <v>212</v>
      </c>
      <c r="AC295" s="3">
        <f>IF(ISERROR((VLOOKUP($A295,'SegEnds_NonXtal_BW#'!$A:$Z,20,FALSE)+VLOOKUP($A295,A:AL,28,FALSE)-50)),"-",(VLOOKUP($A295,'SegEnds_NonXtal_BW#'!$A:$Z,20,FALSE)+VLOOKUP($A295,A:AL,28,FALSE)-50))</f>
        <v>238</v>
      </c>
      <c r="AD295" s="3">
        <f>IF(ISERROR(VLOOKUP($A295,'SegEnds_NonXtal_BW#'!$A:$Z,21,FALSE)+VLOOKUP($A295,A:AL,31,FALSE)-50),"-",(VLOOKUP($A295,'SegEnds_NonXtal_BW#'!$A:$Z,21,FALSE)+VLOOKUP($A295,A:AL,31,FALSE)-50))</f>
        <v>264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307</v>
      </c>
      <c r="AH295" s="3">
        <v>326</v>
      </c>
      <c r="AI295" s="3">
        <f>IF(ISERROR((VLOOKUP($A295,'SegEnds_NonXtal_BW#'!$A:$Z,24,FALSE)+VLOOKUP($A295,A:AL,34,FALSE)-50)),"-",(VLOOKUP($A295,'SegEnds_NonXtal_BW#'!$A:$Z,24,FALSE)+VLOOKUP($A295,A:AL,34,FALSE)-50))</f>
        <v>332</v>
      </c>
      <c r="AJ295" s="3">
        <f>IF(ISERROR(VLOOKUP($A295,'SegEnds_NonXtal_BW#'!$A:$Z,25,FALSE)+VLOOKUP($A295,A:AL,37,FALSE)-50),"-",(VLOOKUP($A295,'SegEnds_NonXtal_BW#'!$A:$Z,25,FALSE)+VLOOKUP($A295,A:AL,37,FALSE)-50))</f>
        <v>333</v>
      </c>
      <c r="AK295" s="3">
        <v>336</v>
      </c>
      <c r="AL295" s="3">
        <f>IF(ISERROR((VLOOKUP($A295,'SegEnds_NonXtal_BW#'!$A:$Z,26,FALSE)+VLOOKUP($A295,A:AL,37,FALSE)-50)),"-",(VLOOKUP($A295,'SegEnds_NonXtal_BW#'!$A:$Z,26,FALSE)+VLOOKUP($A295,A:AL,37,FALSE)-50))</f>
        <v>349</v>
      </c>
      <c r="AM295" s="28" t="str">
        <f>VLOOKUP(A295,Classification!A:B,2,FALSE)</f>
        <v>A</v>
      </c>
      <c r="AN295" s="28" t="b">
        <f t="shared" si="211"/>
        <v>1</v>
      </c>
      <c r="AO295" s="3" t="str">
        <f>IF(ISERROR(MATCH(A295,'SegEnds_Xtal_Prot#'!B:B, 0)), "NoXtal", "Xtal")</f>
        <v>NoXtal</v>
      </c>
      <c r="AP295" s="3">
        <f t="shared" si="196"/>
        <v>1</v>
      </c>
      <c r="AQ295" s="3">
        <f t="shared" si="197"/>
        <v>1</v>
      </c>
      <c r="AR295" s="3">
        <f t="shared" si="198"/>
        <v>1</v>
      </c>
      <c r="AS295" s="3">
        <f t="shared" si="199"/>
        <v>1</v>
      </c>
      <c r="AT295" s="3" t="str">
        <f t="shared" si="200"/>
        <v>-</v>
      </c>
      <c r="AU295" s="3" t="str">
        <f t="shared" si="201"/>
        <v>-</v>
      </c>
      <c r="AV295" s="3">
        <f t="shared" si="202"/>
        <v>12</v>
      </c>
      <c r="AW295" s="3">
        <f t="shared" si="203"/>
        <v>6</v>
      </c>
      <c r="AX295" s="3">
        <f t="shared" si="204"/>
        <v>26</v>
      </c>
      <c r="AY295" s="3">
        <f t="shared" si="205"/>
        <v>6</v>
      </c>
      <c r="AZ295" s="3">
        <f t="shared" si="206"/>
        <v>1</v>
      </c>
      <c r="BA295" s="3">
        <f>IF(ISERROR(LEN(VLOOKUP(A295,Seqs!A:E,2,FALSE))-AL295),"-",LEN(VLOOKUP(A295,Seqs!A:E,2,FALSE))-AL295)</f>
        <v>40</v>
      </c>
      <c r="BB295" s="16">
        <f t="shared" si="207"/>
        <v>28</v>
      </c>
      <c r="BC295" s="9" t="str">
        <f t="shared" si="208"/>
        <v>-</v>
      </c>
      <c r="BD295" s="3">
        <f t="shared" si="209"/>
        <v>28</v>
      </c>
      <c r="BE295" s="3">
        <f t="shared" si="210"/>
        <v>78</v>
      </c>
    </row>
    <row r="296" spans="1:59" s="3" customFormat="1" x14ac:dyDescent="0.2">
      <c r="A296" s="3" t="s">
        <v>366</v>
      </c>
      <c r="B296" s="3" t="str">
        <f>LOWER(VLOOKUP(A296,Xtal_Templ!A:B,2,FALSE))</f>
        <v>ox1r_human</v>
      </c>
      <c r="C296" s="3">
        <f>VLOOKUP($A296,'SegEnds_NonXtal_BW#'!$A:$Z,3,FALSE)+D296-50</f>
        <v>62</v>
      </c>
      <c r="D296" s="3">
        <v>80</v>
      </c>
      <c r="E296" s="3">
        <f>IF(ISERROR(VLOOKUP($A296,'SegEnds_NonXtal_BW#'!$A:$Z,4,FALSE)+VLOOKUP($A296,A:AL,4,FALSE)-50),"-",(VLOOKUP($A296,'SegEnds_NonXtal_BW#'!$A:$Z,4,FALSE)+VLOOKUP($A296,A:AL,4,FALSE)-50))</f>
        <v>90</v>
      </c>
      <c r="F296" s="3">
        <f t="shared" si="215"/>
        <v>91</v>
      </c>
      <c r="G296" s="3">
        <v>93</v>
      </c>
      <c r="H296" s="3">
        <f t="shared" si="216"/>
        <v>94</v>
      </c>
      <c r="I296" s="3">
        <f t="shared" si="216"/>
        <v>95</v>
      </c>
      <c r="J296" s="3">
        <v>108</v>
      </c>
      <c r="K296" s="3">
        <f>VLOOKUP($A296,'SegEnds_NonXtal_BW#'!$A:$Z,8,FALSE)+VLOOKUP($A296,A:AL,10,FALSE)-50</f>
        <v>126</v>
      </c>
      <c r="L296" s="3">
        <f t="shared" si="217"/>
        <v>129</v>
      </c>
      <c r="M296" s="3">
        <v>130</v>
      </c>
      <c r="N296" s="3">
        <f t="shared" si="218"/>
        <v>132</v>
      </c>
      <c r="O296" s="3">
        <f t="shared" si="219"/>
        <v>133</v>
      </c>
      <c r="P296" s="3">
        <v>162</v>
      </c>
      <c r="Q296" s="3">
        <f>VLOOKUP($A296,'SegEnds_NonXtal_BW#'!$A:$Z,12,FALSE)+VLOOKUP($A296,A:AL,16,FALSE)-50</f>
        <v>168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175</v>
      </c>
      <c r="V296" s="3">
        <v>187</v>
      </c>
      <c r="W296" s="3">
        <f>IF(ISERROR(VLOOKUP($A296,'SegEnds_NonXtal_BW#'!$A:$Z,16,FALSE)+VLOOKUP($A296,A:AL,22,FALSE)-50),"-",(VLOOKUP($A296,'SegEnds_NonXtal_BW#'!$A:$Z,16,FALSE)+VLOOKUP($A296,A:AL,22,FALSE)-50))</f>
        <v>201</v>
      </c>
      <c r="X296" s="3">
        <f>IF(ISERROR(VLOOKUP($A296,'SegEnds_NonXtal_BW#'!$A:$Z,17,FALSE)+VLOOKUP($A296,A:AL,25,FALSE)-50),"-",(VLOOKUP($A296,'SegEnds_NonXtal_BW#'!$A:$Z,17,FALSE)+VLOOKUP($A296,A:AL,25,FALSE)-50))</f>
        <v>217</v>
      </c>
      <c r="Y296" s="3">
        <v>217</v>
      </c>
      <c r="Z296" s="3">
        <f t="shared" si="220"/>
        <v>219</v>
      </c>
      <c r="AA296" s="3">
        <f>IF(ISERROR(VLOOKUP($A296,'SegEnds_NonXtal_BW#'!$A:$Z,19,FALSE)+VLOOKUP($A296,A:AL,28,FALSE)-50),"-",(VLOOKUP($A296,'SegEnds_NonXtal_BW#'!$A:$Z,19,FALSE)+VLOOKUP($A296,A:AL,28,FALSE)-50))</f>
        <v>227</v>
      </c>
      <c r="AB296" s="3">
        <v>244</v>
      </c>
      <c r="AC296" s="3">
        <f>IF(ISERROR((VLOOKUP($A296,'SegEnds_NonXtal_BW#'!$A:$Z,20,FALSE)+VLOOKUP($A296,A:AL,28,FALSE)-50)),"-",(VLOOKUP($A296,'SegEnds_NonXtal_BW#'!$A:$Z,20,FALSE)+VLOOKUP($A296,A:AL,28,FALSE)-50))</f>
        <v>267</v>
      </c>
      <c r="AD296" s="3">
        <f>IF(ISERROR(VLOOKUP($A296,'SegEnds_NonXtal_BW#'!$A:$Z,21,FALSE)+VLOOKUP($A296,A:AL,31,FALSE)-50),"-",(VLOOKUP($A296,'SegEnds_NonXtal_BW#'!$A:$Z,21,FALSE)+VLOOKUP($A296,A:AL,31,FALSE)-50))</f>
        <v>271</v>
      </c>
      <c r="AE296" s="3">
        <v>299</v>
      </c>
      <c r="AF296" s="3">
        <f>IF(ISERROR((VLOOKUP($A296,'SegEnds_NonXtal_BW#'!$A:$Z,22,FALSE)+VLOOKUP($A296,A:AL,31,FALSE)-50)),"-",(VLOOKUP($A296,'SegEnds_NonXtal_BW#'!$A:$Z,22,FALSE)+VLOOKUP($A296,A:AL,31,FALSE)-50))</f>
        <v>310</v>
      </c>
      <c r="AG296" s="3">
        <f>IF(ISERROR(VLOOKUP($A296,'SegEnds_NonXtal_BW#'!$A:$Z,23,FALSE)+VLOOKUP($A296,A:AL,34,FALSE)-50),"-",(VLOOKUP($A296,'SegEnds_NonXtal_BW#'!$A:$Z,23,FALSE)+VLOOKUP($A296,A:AL,34,FALSE)-50))</f>
        <v>317</v>
      </c>
      <c r="AH296" s="3">
        <v>339</v>
      </c>
      <c r="AI296" s="3">
        <f>IF(ISERROR((VLOOKUP($A296,'SegEnds_NonXtal_BW#'!$A:$Z,24,FALSE)+VLOOKUP($A296,A:AL,34,FALSE)-50)),"-",(VLOOKUP($A296,'SegEnds_NonXtal_BW#'!$A:$Z,24,FALSE)+VLOOKUP($A296,A:AL,34,FALSE)-50))</f>
        <v>345</v>
      </c>
      <c r="AJ296" s="3">
        <v>347</v>
      </c>
      <c r="AK296" s="3">
        <v>350</v>
      </c>
      <c r="AL296" s="3">
        <v>358</v>
      </c>
      <c r="AM296" s="28" t="str">
        <f>VLOOKUP(A296,Classification!A:B,2,FALSE)</f>
        <v>A</v>
      </c>
      <c r="AN296" s="28" t="b">
        <f t="shared" si="211"/>
        <v>1</v>
      </c>
      <c r="AO296" s="3" t="str">
        <f>IF(ISERROR(MATCH(A296,'SegEnds_Xtal_Prot#'!B:B, 0)), "NoXtal", "Xtal")</f>
        <v>NoXtal</v>
      </c>
      <c r="AP296" s="3">
        <f t="shared" si="196"/>
        <v>1</v>
      </c>
      <c r="AQ296" s="3">
        <f t="shared" si="197"/>
        <v>1</v>
      </c>
      <c r="AR296" s="3">
        <f t="shared" si="198"/>
        <v>3</v>
      </c>
      <c r="AS296" s="3">
        <f t="shared" si="199"/>
        <v>1</v>
      </c>
      <c r="AT296" s="3" t="str">
        <f t="shared" si="200"/>
        <v>-</v>
      </c>
      <c r="AU296" s="3" t="str">
        <f t="shared" si="201"/>
        <v>-</v>
      </c>
      <c r="AV296" s="3">
        <f t="shared" si="202"/>
        <v>16</v>
      </c>
      <c r="AW296" s="3">
        <f t="shared" si="203"/>
        <v>8</v>
      </c>
      <c r="AX296" s="3">
        <f t="shared" si="204"/>
        <v>4</v>
      </c>
      <c r="AY296" s="3">
        <f t="shared" si="205"/>
        <v>7</v>
      </c>
      <c r="AZ296" s="3">
        <f t="shared" si="206"/>
        <v>2</v>
      </c>
      <c r="BA296" s="3">
        <f>IF(ISERROR(LEN(VLOOKUP(A296,Seqs!A:E,2,FALSE))-AL296),"-",LEN(VLOOKUP(A296,Seqs!A:E,2,FALSE))-AL296)</f>
        <v>35</v>
      </c>
      <c r="BB296" s="16">
        <f t="shared" si="207"/>
        <v>28</v>
      </c>
      <c r="BC296" s="9" t="str">
        <f t="shared" si="208"/>
        <v>-</v>
      </c>
      <c r="BD296" s="3">
        <f t="shared" si="209"/>
        <v>28</v>
      </c>
      <c r="BE296" s="3">
        <f t="shared" si="210"/>
        <v>55</v>
      </c>
    </row>
    <row r="297" spans="1:59" s="3" customFormat="1" x14ac:dyDescent="0.2">
      <c r="A297" s="3" t="s">
        <v>367</v>
      </c>
      <c r="B297" s="3" t="str">
        <f>LOWER(VLOOKUP(A297,Xtal_Templ!A:B,2,FALSE))</f>
        <v>ox2r_human</v>
      </c>
      <c r="C297" s="3">
        <f>VLOOKUP($A297,'SegEnds_NonXtal_BW#'!$A:$Z,3,FALSE)+D297-50</f>
        <v>52</v>
      </c>
      <c r="D297" s="3">
        <v>71</v>
      </c>
      <c r="E297" s="3">
        <f>IF(ISERROR(VLOOKUP($A297,'SegEnds_NonXtal_BW#'!$A:$Z,4,FALSE)+VLOOKUP($A297,A:AL,4,FALSE)-50),"-",(VLOOKUP($A297,'SegEnds_NonXtal_BW#'!$A:$Z,4,FALSE)+VLOOKUP($A297,A:AL,4,FALSE)-50))</f>
        <v>81</v>
      </c>
      <c r="F297" s="3">
        <f t="shared" si="215"/>
        <v>82</v>
      </c>
      <c r="G297" s="3">
        <v>84</v>
      </c>
      <c r="H297" s="3">
        <f t="shared" si="216"/>
        <v>85</v>
      </c>
      <c r="I297" s="3">
        <f t="shared" si="216"/>
        <v>86</v>
      </c>
      <c r="J297" s="3">
        <v>99</v>
      </c>
      <c r="K297" s="3">
        <f>VLOOKUP($A297,'SegEnds_NonXtal_BW#'!$A:$Z,8,FALSE)+VLOOKUP($A297,A:AL,10,FALSE)-50</f>
        <v>117</v>
      </c>
      <c r="L297" s="3">
        <f t="shared" si="217"/>
        <v>120</v>
      </c>
      <c r="M297" s="3">
        <v>121</v>
      </c>
      <c r="N297" s="3">
        <f t="shared" si="218"/>
        <v>123</v>
      </c>
      <c r="O297" s="3">
        <f t="shared" si="219"/>
        <v>124</v>
      </c>
      <c r="P297" s="3">
        <v>153</v>
      </c>
      <c r="Q297" s="3">
        <f>VLOOKUP($A297,'SegEnds_NonXtal_BW#'!$A:$Z,12,FALSE)+VLOOKUP($A297,A:AL,16,FALSE)-50</f>
        <v>159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166</v>
      </c>
      <c r="V297" s="3">
        <v>178</v>
      </c>
      <c r="W297" s="3">
        <f>IF(ISERROR(VLOOKUP($A297,'SegEnds_NonXtal_BW#'!$A:$Z,16,FALSE)+VLOOKUP($A297,A:AL,22,FALSE)-50),"-",(VLOOKUP($A297,'SegEnds_NonXtal_BW#'!$A:$Z,16,FALSE)+VLOOKUP($A297,A:AL,22,FALSE)-50))</f>
        <v>192</v>
      </c>
      <c r="X297" s="3">
        <f>IF(ISERROR(VLOOKUP($A297,'SegEnds_NonXtal_BW#'!$A:$Z,17,FALSE)+VLOOKUP($A297,A:AL,25,FALSE)-50),"-",(VLOOKUP($A297,'SegEnds_NonXtal_BW#'!$A:$Z,17,FALSE)+VLOOKUP($A297,A:AL,25,FALSE)-50))</f>
        <v>208</v>
      </c>
      <c r="Y297" s="3">
        <v>208</v>
      </c>
      <c r="Z297" s="3">
        <f t="shared" si="220"/>
        <v>210</v>
      </c>
      <c r="AA297" s="3">
        <f>IF(ISERROR(VLOOKUP($A297,'SegEnds_NonXtal_BW#'!$A:$Z,19,FALSE)+VLOOKUP($A297,A:AL,28,FALSE)-50),"-",(VLOOKUP($A297,'SegEnds_NonXtal_BW#'!$A:$Z,19,FALSE)+VLOOKUP($A297,A:AL,28,FALSE)-50))</f>
        <v>218</v>
      </c>
      <c r="AB297" s="3">
        <v>235</v>
      </c>
      <c r="AC297" s="3">
        <f>IF(ISERROR((VLOOKUP($A297,'SegEnds_NonXtal_BW#'!$A:$Z,20,FALSE)+VLOOKUP($A297,A:AL,28,FALSE)-50)),"-",(VLOOKUP($A297,'SegEnds_NonXtal_BW#'!$A:$Z,20,FALSE)+VLOOKUP($A297,A:AL,28,FALSE)-50))</f>
        <v>258</v>
      </c>
      <c r="AD297" s="3">
        <f>IF(ISERROR(VLOOKUP($A297,'SegEnds_NonXtal_BW#'!$A:$Z,21,FALSE)+VLOOKUP($A297,A:AL,31,FALSE)-50),"-",(VLOOKUP($A297,'SegEnds_NonXtal_BW#'!$A:$Z,21,FALSE)+VLOOKUP($A297,A:AL,31,FALSE)-50))</f>
        <v>262</v>
      </c>
      <c r="AE297" s="3">
        <v>290</v>
      </c>
      <c r="AF297" s="3">
        <f>IF(ISERROR((VLOOKUP($A297,'SegEnds_NonXtal_BW#'!$A:$Z,22,FALSE)+VLOOKUP($A297,A:AL,31,FALSE)-50)),"-",(VLOOKUP($A297,'SegEnds_NonXtal_BW#'!$A:$Z,22,FALSE)+VLOOKUP($A297,A:AL,31,FALSE)-50))</f>
        <v>301</v>
      </c>
      <c r="AG297" s="3">
        <f>IF(ISERROR(VLOOKUP($A297,'SegEnds_NonXtal_BW#'!$A:$Z,23,FALSE)+VLOOKUP($A297,A:AL,34,FALSE)-50),"-",(VLOOKUP($A297,'SegEnds_NonXtal_BW#'!$A:$Z,23,FALSE)+VLOOKUP($A297,A:AL,34,FALSE)-50))</f>
        <v>308</v>
      </c>
      <c r="AH297" s="3">
        <v>330</v>
      </c>
      <c r="AI297" s="3">
        <f>IF(ISERROR((VLOOKUP($A297,'SegEnds_NonXtal_BW#'!$A:$Z,24,FALSE)+VLOOKUP($A297,A:AL,34,FALSE)-50)),"-",(VLOOKUP($A297,'SegEnds_NonXtal_BW#'!$A:$Z,24,FALSE)+VLOOKUP($A297,A:AL,34,FALSE)-50))</f>
        <v>336</v>
      </c>
      <c r="AJ297" s="3">
        <v>338</v>
      </c>
      <c r="AK297" s="3">
        <v>341</v>
      </c>
      <c r="AL297" s="3">
        <v>349</v>
      </c>
      <c r="AM297" s="28" t="str">
        <f>VLOOKUP(A297,Classification!A:B,2,FALSE)</f>
        <v>A</v>
      </c>
      <c r="AN297" s="28" t="b">
        <f t="shared" si="211"/>
        <v>1</v>
      </c>
      <c r="AO297" s="3" t="str">
        <f>IF(ISERROR(MATCH(A297,'SegEnds_Xtal_Prot#'!B:B, 0)), "NoXtal", "Xtal")</f>
        <v>NoXtal</v>
      </c>
      <c r="AP297" s="3">
        <f t="shared" si="196"/>
        <v>1</v>
      </c>
      <c r="AQ297" s="3">
        <f t="shared" si="197"/>
        <v>1</v>
      </c>
      <c r="AR297" s="3">
        <f t="shared" si="198"/>
        <v>3</v>
      </c>
      <c r="AS297" s="3">
        <f t="shared" si="199"/>
        <v>1</v>
      </c>
      <c r="AT297" s="3" t="str">
        <f t="shared" si="200"/>
        <v>-</v>
      </c>
      <c r="AU297" s="3" t="str">
        <f t="shared" si="201"/>
        <v>-</v>
      </c>
      <c r="AV297" s="3">
        <f t="shared" si="202"/>
        <v>16</v>
      </c>
      <c r="AW297" s="3">
        <f t="shared" si="203"/>
        <v>8</v>
      </c>
      <c r="AX297" s="3">
        <f t="shared" si="204"/>
        <v>4</v>
      </c>
      <c r="AY297" s="3">
        <f t="shared" si="205"/>
        <v>7</v>
      </c>
      <c r="AZ297" s="3">
        <f t="shared" si="206"/>
        <v>2</v>
      </c>
      <c r="BA297" s="3">
        <f>IF(ISERROR(LEN(VLOOKUP(A297,Seqs!A:E,2,FALSE))-AL297),"-",LEN(VLOOKUP(A297,Seqs!A:E,2,FALSE))-AL297)</f>
        <v>35</v>
      </c>
      <c r="BB297" s="16">
        <f t="shared" si="207"/>
        <v>28</v>
      </c>
      <c r="BC297" s="9" t="str">
        <f t="shared" si="208"/>
        <v>-</v>
      </c>
      <c r="BD297" s="3">
        <f t="shared" si="209"/>
        <v>28</v>
      </c>
      <c r="BE297" s="3">
        <f t="shared" si="210"/>
        <v>55</v>
      </c>
    </row>
    <row r="298" spans="1:59" s="3" customFormat="1" x14ac:dyDescent="0.2">
      <c r="A298" s="3" t="s">
        <v>372</v>
      </c>
      <c r="B298" s="3" t="str">
        <f>LOWER(VLOOKUP(A298,Xtal_Templ!A:B,2,FALSE))</f>
        <v>agtr1_human</v>
      </c>
      <c r="C298" s="3">
        <f>VLOOKUP($A298,'SegEnds_NonXtal_BW#'!$A:$Z,3,FALSE)+D298-50</f>
        <v>77</v>
      </c>
      <c r="D298" s="3">
        <v>99</v>
      </c>
      <c r="E298" s="3">
        <f>IF(ISERROR(VLOOKUP($A298,'SegEnds_NonXtal_BW#'!$A:$Z,4,FALSE)+VLOOKUP($A298,A:AL,4,FALSE)-50),"-",(VLOOKUP($A298,'SegEnds_NonXtal_BW#'!$A:$Z,4,FALSE)+VLOOKUP($A298,A:AL,4,FALSE)-50))</f>
        <v>109</v>
      </c>
      <c r="F298" s="3">
        <f t="shared" si="215"/>
        <v>110</v>
      </c>
      <c r="G298" s="3">
        <v>112</v>
      </c>
      <c r="H298" s="3">
        <f t="shared" si="216"/>
        <v>113</v>
      </c>
      <c r="I298" s="3">
        <f t="shared" si="216"/>
        <v>114</v>
      </c>
      <c r="J298" s="3">
        <v>128</v>
      </c>
      <c r="K298" s="3">
        <f>VLOOKUP($A298,'SegEnds_NonXtal_BW#'!$A:$Z,8,FALSE)+VLOOKUP($A298,A:AL,10,FALSE)-50</f>
        <v>145</v>
      </c>
      <c r="L298" s="3">
        <f t="shared" si="217"/>
        <v>147</v>
      </c>
      <c r="M298" s="3">
        <v>148</v>
      </c>
      <c r="N298" s="3">
        <f t="shared" si="218"/>
        <v>150</v>
      </c>
      <c r="O298" s="3">
        <f t="shared" si="219"/>
        <v>151</v>
      </c>
      <c r="P298" s="3">
        <v>180</v>
      </c>
      <c r="Q298" s="3">
        <f>VLOOKUP($A298,'SegEnds_NonXtal_BW#'!$A:$Z,12,FALSE)+VLOOKUP($A298,A:AL,16,FALSE)-50</f>
        <v>186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210</v>
      </c>
      <c r="V298" s="3">
        <v>222</v>
      </c>
      <c r="W298" s="3">
        <f>IF(ISERROR(VLOOKUP($A298,'SegEnds_NonXtal_BW#'!$A:$Z,16,FALSE)+VLOOKUP($A298,A:AL,22,FALSE)-50),"-",(VLOOKUP($A298,'SegEnds_NonXtal_BW#'!$A:$Z,16,FALSE)+VLOOKUP($A298,A:AL,22,FALSE)-50))</f>
        <v>236</v>
      </c>
      <c r="X298" s="3">
        <f>IF(ISERROR(VLOOKUP($A298,'SegEnds_NonXtal_BW#'!$A:$Z,17,FALSE)+VLOOKUP($A298,A:AL,25,FALSE)-50),"-",(VLOOKUP($A298,'SegEnds_NonXtal_BW#'!$A:$Z,17,FALSE)+VLOOKUP($A298,A:AL,25,FALSE)-50))</f>
        <v>247</v>
      </c>
      <c r="Y298" s="3">
        <v>247</v>
      </c>
      <c r="Z298" s="3">
        <f t="shared" si="220"/>
        <v>249</v>
      </c>
      <c r="AA298" s="3">
        <f>IF(ISERROR(VLOOKUP($A298,'SegEnds_NonXtal_BW#'!$A:$Z,19,FALSE)+VLOOKUP($A298,A:AL,28,FALSE)-50),"-",(VLOOKUP($A298,'SegEnds_NonXtal_BW#'!$A:$Z,19,FALSE)+VLOOKUP($A298,A:AL,28,FALSE)-50))</f>
        <v>263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303</v>
      </c>
      <c r="AD298" s="3">
        <f>IF(ISERROR(VLOOKUP($A298,'SegEnds_NonXtal_BW#'!$A:$Z,21,FALSE)+VLOOKUP($A298,A:AL,31,FALSE)-50),"-",(VLOOKUP($A298,'SegEnds_NonXtal_BW#'!$A:$Z,21,FALSE)+VLOOKUP($A298,A:AL,31,FALSE)-50))</f>
        <v>312</v>
      </c>
      <c r="AE298" s="3">
        <v>341</v>
      </c>
      <c r="AF298" s="3">
        <f>IF(ISERROR((VLOOKUP($A298,'SegEnds_NonXtal_BW#'!$A:$Z,22,FALSE)+VLOOKUP($A298,A:AL,31,FALSE)-50)),"-",(VLOOKUP($A298,'SegEnds_NonXtal_BW#'!$A:$Z,22,FALSE)+VLOOKUP($A298,A:AL,31,FALSE)-50))</f>
        <v>355</v>
      </c>
      <c r="AG298" s="3">
        <f>IF(ISERROR(VLOOKUP($A298,'SegEnds_NonXtal_BW#'!$A:$Z,23,FALSE)+VLOOKUP($A298,A:AL,34,FALSE)-50),"-",(VLOOKUP($A298,'SegEnds_NonXtal_BW#'!$A:$Z,23,FALSE)+VLOOKUP($A298,A:AL,34,FALSE)-50))</f>
        <v>360</v>
      </c>
      <c r="AH298" s="3">
        <v>386</v>
      </c>
      <c r="AI298" s="3">
        <f>IF(ISERROR((VLOOKUP($A298,'SegEnds_NonXtal_BW#'!$A:$Z,24,FALSE)+VLOOKUP($A298,A:AL,34,FALSE)-50)),"-",(VLOOKUP($A298,'SegEnds_NonXtal_BW#'!$A:$Z,24,FALSE)+VLOOKUP($A298,A:AL,34,FALSE)-50))</f>
        <v>392</v>
      </c>
      <c r="AJ298" s="3">
        <f>IF(ISERROR(VLOOKUP($A298,'SegEnds_NonXtal_BW#'!$A:$Z,25,FALSE)+VLOOKUP($A298,A:AL,37,FALSE)-50),"-",(VLOOKUP($A298,'SegEnds_NonXtal_BW#'!$A:$Z,25,FALSE)+VLOOKUP($A298,A:AL,37,FALSE)-50))</f>
        <v>393</v>
      </c>
      <c r="AK298" s="3">
        <v>396</v>
      </c>
      <c r="AL298" s="3">
        <f>IF(ISERROR((VLOOKUP($A298,'SegEnds_NonXtal_BW#'!$A:$Z,26,FALSE)+VLOOKUP($A298,A:AL,37,FALSE)-50)),"-",(VLOOKUP($A298,'SegEnds_NonXtal_BW#'!$A:$Z,26,FALSE)+VLOOKUP($A298,A:AL,37,FALSE)-50))</f>
        <v>407</v>
      </c>
      <c r="AM298" s="28" t="str">
        <f>VLOOKUP(A298,Classification!A:B,2,FALSE)</f>
        <v>A</v>
      </c>
      <c r="AN298" s="28" t="b">
        <f t="shared" si="211"/>
        <v>1</v>
      </c>
      <c r="AO298" s="3" t="str">
        <f>IF(ISERROR(MATCH(A298,'SegEnds_Xtal_Prot#'!B:B, 0)), "NoXtal", "Xtal")</f>
        <v>NoXtal</v>
      </c>
      <c r="AP298" s="3">
        <f t="shared" si="196"/>
        <v>1</v>
      </c>
      <c r="AQ298" s="3">
        <f t="shared" si="197"/>
        <v>1</v>
      </c>
      <c r="AR298" s="3">
        <f t="shared" si="198"/>
        <v>2</v>
      </c>
      <c r="AS298" s="3">
        <f t="shared" si="199"/>
        <v>1</v>
      </c>
      <c r="AT298" s="3" t="str">
        <f t="shared" si="200"/>
        <v>-</v>
      </c>
      <c r="AU298" s="3" t="str">
        <f t="shared" si="201"/>
        <v>-</v>
      </c>
      <c r="AV298" s="3">
        <f t="shared" si="202"/>
        <v>11</v>
      </c>
      <c r="AW298" s="3">
        <f t="shared" si="203"/>
        <v>14</v>
      </c>
      <c r="AX298" s="3">
        <f t="shared" si="204"/>
        <v>9</v>
      </c>
      <c r="AY298" s="3">
        <f t="shared" si="205"/>
        <v>5</v>
      </c>
      <c r="AZ298" s="3">
        <f t="shared" si="206"/>
        <v>1</v>
      </c>
      <c r="BA298" s="3">
        <f>IF(ISERROR(LEN(VLOOKUP(A298,Seqs!A:E,2,FALSE))-AL298),"-",LEN(VLOOKUP(A298,Seqs!A:E,2,FALSE))-AL298)</f>
        <v>62</v>
      </c>
      <c r="BB298" s="16">
        <f t="shared" si="207"/>
        <v>29</v>
      </c>
      <c r="BC298" s="9" t="str">
        <f t="shared" si="208"/>
        <v>-</v>
      </c>
      <c r="BD298" s="3">
        <f t="shared" si="209"/>
        <v>29</v>
      </c>
      <c r="BE298" s="3">
        <f t="shared" si="210"/>
        <v>62</v>
      </c>
    </row>
    <row r="299" spans="1:59" s="3" customFormat="1" x14ac:dyDescent="0.2">
      <c r="A299" s="3" t="s">
        <v>919</v>
      </c>
      <c r="B299" s="3" t="str">
        <f>LOWER(VLOOKUP(A299,Xtal_Templ!A:B,2,FALSE))</f>
        <v>us28_hcmva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215"/>
        <v>62</v>
      </c>
      <c r="G299" s="3">
        <v>64</v>
      </c>
      <c r="H299" s="3">
        <f t="shared" ref="H299:I319" si="221">G299+1</f>
        <v>65</v>
      </c>
      <c r="I299" s="3">
        <f t="shared" si="221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 t="shared" si="220"/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 t="shared" si="211"/>
        <v>1</v>
      </c>
      <c r="AO299" s="3" t="str">
        <f>IF(ISERROR(MATCH(A299,'SegEnds_Xtal_Prot#'!B:B, 0)), "NoXtal", "Xtal")</f>
        <v>Xtal</v>
      </c>
      <c r="AP299" s="3">
        <f t="shared" si="196"/>
        <v>1</v>
      </c>
      <c r="AQ299" s="3">
        <f t="shared" si="197"/>
        <v>1</v>
      </c>
      <c r="AR299" s="3" t="str">
        <f t="shared" si="198"/>
        <v>-</v>
      </c>
      <c r="AS299" s="3" t="str">
        <f t="shared" si="199"/>
        <v>-</v>
      </c>
      <c r="AT299" s="3" t="str">
        <f t="shared" si="200"/>
        <v>-</v>
      </c>
      <c r="AU299" s="3" t="str">
        <f t="shared" si="201"/>
        <v>-</v>
      </c>
      <c r="AV299" s="3">
        <f t="shared" si="202"/>
        <v>9</v>
      </c>
      <c r="AW299" s="3">
        <f t="shared" si="203"/>
        <v>8</v>
      </c>
      <c r="AX299" s="3">
        <f t="shared" si="204"/>
        <v>4</v>
      </c>
      <c r="AY299" s="3">
        <f t="shared" si="205"/>
        <v>5</v>
      </c>
      <c r="AZ299" s="3">
        <f t="shared" si="206"/>
        <v>1</v>
      </c>
      <c r="BA299" s="3">
        <f>IF(ISERROR(LEN(VLOOKUP(A299,Seqs!A:E,2,FALSE))-AL299),"-",LEN(VLOOKUP(A299,Seqs!A:E,2,FALSE))-AL299)</f>
        <v>44</v>
      </c>
      <c r="BB299" s="16">
        <f t="shared" si="207"/>
        <v>28</v>
      </c>
      <c r="BC299" s="9" t="str">
        <f t="shared" si="208"/>
        <v>-</v>
      </c>
      <c r="BD299" s="3">
        <f t="shared" si="209"/>
        <v>28</v>
      </c>
      <c r="BE299" s="3">
        <f t="shared" si="210"/>
        <v>43</v>
      </c>
    </row>
    <row r="300" spans="1:59" s="3" customFormat="1" x14ac:dyDescent="0.2">
      <c r="A300" s="3" t="s">
        <v>1503</v>
      </c>
      <c r="B300" s="3" t="str">
        <f>LOWER(VLOOKUP(A300,Xtal_Templ!A:B,2,FALSE))</f>
        <v>q80km9_hcmv</v>
      </c>
      <c r="C300" s="3">
        <f>VLOOKUP($A300,'SegEnds_NonXtal_BW#'!$A:$Z,3,FALSE)+D300-50</f>
        <v>25</v>
      </c>
      <c r="D300" s="3">
        <v>51</v>
      </c>
      <c r="E300" s="3">
        <f>IF(ISERROR(VLOOKUP($A300,'SegEnds_NonXtal_BW#'!$A:$Z,4,FALSE)+VLOOKUP($A300,A:AL,4,FALSE)-50),"-",(VLOOKUP($A300,'SegEnds_NonXtal_BW#'!$A:$Z,4,FALSE)+VLOOKUP($A300,A:AL,4,FALSE)-50))</f>
        <v>61</v>
      </c>
      <c r="F300" s="3">
        <f t="shared" si="215"/>
        <v>62</v>
      </c>
      <c r="G300" s="3">
        <v>64</v>
      </c>
      <c r="H300" s="3">
        <f t="shared" ref="H300:I303" si="222">G300+1</f>
        <v>65</v>
      </c>
      <c r="I300" s="3">
        <f t="shared" si="222"/>
        <v>66</v>
      </c>
      <c r="J300" s="3">
        <v>79</v>
      </c>
      <c r="K300" s="3">
        <f>VLOOKUP($A300,'SegEnds_NonXtal_BW#'!$A:$Z,8,FALSE)+VLOOKUP($A300,A:AL,10,FALSE)-50</f>
        <v>95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100</v>
      </c>
      <c r="P300" s="3">
        <v>129</v>
      </c>
      <c r="Q300" s="3">
        <f>VLOOKUP($A300,'SegEnds_NonXtal_BW#'!$A:$Z,12,FALSE)+VLOOKUP($A300,A:AL,16,FALSE)-50</f>
        <v>134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140</v>
      </c>
      <c r="V300" s="3">
        <v>152</v>
      </c>
      <c r="W300" s="3">
        <f>IF(ISERROR(VLOOKUP($A300,'SegEnds_NonXtal_BW#'!$A:$Z,16,FALSE)+VLOOKUP($A300,A:AL,22,FALSE)-50),"-",(VLOOKUP($A300,'SegEnds_NonXtal_BW#'!$A:$Z,16,FALSE)+VLOOKUP($A300,A:AL,22,FALSE)-50))</f>
        <v>164</v>
      </c>
      <c r="X300" s="3">
        <f>IF(ISERROR(VLOOKUP($A300,'SegEnds_NonXtal_BW#'!$A:$Z,17,FALSE)+VLOOKUP($A300,A:AL,25,FALSE)-50),"-",(VLOOKUP($A300,'SegEnds_NonXtal_BW#'!$A:$Z,17,FALSE)+VLOOKUP($A300,A:AL,25,FALSE)-50))</f>
        <v>173</v>
      </c>
      <c r="Y300" s="3">
        <v>173</v>
      </c>
      <c r="Z300" s="3">
        <f>Y300+2</f>
        <v>175</v>
      </c>
      <c r="AA300" s="3">
        <f>IF(ISERROR(VLOOKUP($A300,'SegEnds_NonXtal_BW#'!$A:$Z,19,FALSE)+VLOOKUP($A300,A:AL,28,FALSE)-50),"-",(VLOOKUP($A300,'SegEnds_NonXtal_BW#'!$A:$Z,19,FALSE)+VLOOKUP($A300,A:AL,28,FALSE)-50))</f>
        <v>183</v>
      </c>
      <c r="AB300" s="3">
        <v>200</v>
      </c>
      <c r="AC300" s="3">
        <f>IF(ISERROR((VLOOKUP($A300,'SegEnds_NonXtal_BW#'!$A:$Z,20,FALSE)+VLOOKUP($A300,A:AL,28,FALSE)-50)),"-",(VLOOKUP($A300,'SegEnds_NonXtal_BW#'!$A:$Z,20,FALSE)+VLOOKUP($A300,A:AL,28,FALSE)-50))</f>
        <v>218</v>
      </c>
      <c r="AD300" s="3">
        <f>IF(ISERROR(VLOOKUP($A300,'SegEnds_NonXtal_BW#'!$A:$Z,21,FALSE)+VLOOKUP($A300,A:AL,31,FALSE)-50),"-",(VLOOKUP($A300,'SegEnds_NonXtal_BW#'!$A:$Z,21,FALSE)+VLOOKUP($A300,A:AL,31,FALSE)-50))</f>
        <v>222</v>
      </c>
      <c r="AE300" s="3">
        <v>243</v>
      </c>
      <c r="AF300" s="3">
        <f>IF(ISERROR((VLOOKUP($A300,'SegEnds_NonXtal_BW#'!$A:$Z,22,FALSE)+VLOOKUP($A300,A:AL,31,FALSE)-50)),"-",(VLOOKUP($A300,'SegEnds_NonXtal_BW#'!$A:$Z,22,FALSE)+VLOOKUP($A300,A:AL,31,FALSE)-50))</f>
        <v>257</v>
      </c>
      <c r="AG300" s="3">
        <f>IF(ISERROR(VLOOKUP($A300,'SegEnds_NonXtal_BW#'!$A:$Z,23,FALSE)+VLOOKUP($A300,A:AL,34,FALSE)-50),"-",(VLOOKUP($A300,'SegEnds_NonXtal_BW#'!$A:$Z,23,FALSE)+VLOOKUP($A300,A:AL,34,FALSE)-50))</f>
        <v>262</v>
      </c>
      <c r="AH300" s="3">
        <v>288</v>
      </c>
      <c r="AI300" s="3">
        <f>IF(ISERROR((VLOOKUP($A300,'SegEnds_NonXtal_BW#'!$A:$Z,24,FALSE)+VLOOKUP($A300,A:AL,34,FALSE)-50)),"-",(VLOOKUP($A300,'SegEnds_NonXtal_BW#'!$A:$Z,24,FALSE)+VLOOKUP($A300,A:AL,34,FALSE)-50))</f>
        <v>294</v>
      </c>
      <c r="AJ300" s="3">
        <f>IF(ISERROR(VLOOKUP($A300,'SegEnds_NonXtal_BW#'!$A:$Z,25,FALSE)+VLOOKUP($A300,A:AL,37,FALSE)-50),"-",(VLOOKUP($A300,'SegEnds_NonXtal_BW#'!$A:$Z,25,FALSE)+VLOOKUP($A300,A:AL,37,FALSE)-50))</f>
        <v>295</v>
      </c>
      <c r="AK300" s="3">
        <v>298</v>
      </c>
      <c r="AL300" s="3">
        <f>IF(ISERROR((VLOOKUP($A300,'SegEnds_NonXtal_BW#'!$A:$Z,26,FALSE)+VLOOKUP($A300,A:AL,37,FALSE)-50)),"-",(VLOOKUP($A300,'SegEnds_NonXtal_BW#'!$A:$Z,26,FALSE)+VLOOKUP($A300,A:AL,37,FALSE)-50))</f>
        <v>310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9</v>
      </c>
      <c r="AW300" s="3">
        <f>IF(ISERROR(AA300-Z300),"-",AA300-Z300)</f>
        <v>8</v>
      </c>
      <c r="AX300" s="3">
        <f>IF(ISERROR(AD300-AC300),"-",AD300-AC300)</f>
        <v>4</v>
      </c>
      <c r="AY300" s="3">
        <f>IF(ISERROR(AG300-AF300),"-",AG300-AF300)</f>
        <v>5</v>
      </c>
      <c r="AZ300" s="3">
        <f>IF(ISERROR(AJ300-AI300),"-",AJ300-AI300)</f>
        <v>1</v>
      </c>
      <c r="BA300" s="3">
        <f>IF(ISERROR(LEN(VLOOKUP(A300,Seqs!A:E,2,FALSE))-AL300),"-",LEN(VLOOKUP(A300,Seqs!A:E,2,FALSE))-AL300)</f>
        <v>44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43</v>
      </c>
    </row>
    <row r="301" spans="1:59" s="3" customFormat="1" x14ac:dyDescent="0.2">
      <c r="A301" s="3" t="s">
        <v>1633</v>
      </c>
      <c r="B301" s="3" t="str">
        <f>LOWER(VLOOKUP(A301,Xtal_Templ!A:B,2,FALSE))</f>
        <v>aa2ar_human</v>
      </c>
      <c r="C301" s="3">
        <f>VLOOKUP($A301,'SegEnds_NonXtal_BW#'!$A:$Z,3,FALSE)+D301-50</f>
        <v>19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23">G301-2</f>
        <v>53</v>
      </c>
      <c r="G301" s="3">
        <v>55</v>
      </c>
      <c r="H301" s="3">
        <f t="shared" si="222"/>
        <v>56</v>
      </c>
      <c r="I301" s="3">
        <f t="shared" si="222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194</v>
      </c>
      <c r="AB301" s="3">
        <v>209</v>
      </c>
      <c r="AC301" s="3">
        <f>IF(ISERROR((VLOOKUP($A301,'SegEnds_NonXtal_BW#'!$A:$Z,20,FALSE)+VLOOKUP($A301,A:AL,28,FALSE)-50)),"-",(VLOOKUP($A301,'SegEnds_NonXtal_BW#'!$A:$Z,20,FALSE)+VLOOKUP($A301,A:AL,28,FALSE)-50))</f>
        <v>231</v>
      </c>
      <c r="AD301" s="3">
        <f>IF(ISERROR(VLOOKUP($A301,'SegEnds_NonXtal_BW#'!$A:$Z,21,FALSE)+VLOOKUP($A301,A:AL,31,FALSE)-50),"-",(VLOOKUP($A301,'SegEnds_NonXtal_BW#'!$A:$Z,21,FALSE)+VLOOKUP($A301,A:AL,31,FALSE)-50))</f>
        <v>234</v>
      </c>
      <c r="AE301" s="3">
        <v>261</v>
      </c>
      <c r="AF301" s="3">
        <f>IF(ISERROR((VLOOKUP($A301,'SegEnds_NonXtal_BW#'!$A:$Z,22,FALSE)+VLOOKUP($A301,A:AL,31,FALSE)-50)),"-",(VLOOKUP($A301,'SegEnds_NonXtal_BW#'!$A:$Z,22,FALSE)+VLOOKUP($A301,A:AL,31,FALSE)-50))</f>
        <v>265</v>
      </c>
      <c r="AG301" s="3">
        <f>IF(ISERROR(VLOOKUP($A301,'SegEnds_NonXtal_BW#'!$A:$Z,23,FALSE)+VLOOKUP($A301,A:AL,34,FALSE)-50),"-",(VLOOKUP($A301,'SegEnds_NonXtal_BW#'!$A:$Z,23,FALSE)+VLOOKUP($A301,A:AL,34,FALSE)-50))</f>
        <v>267</v>
      </c>
      <c r="AH301" s="3">
        <v>285</v>
      </c>
      <c r="AI301" s="3">
        <f>IF(ISERROR((VLOOKUP($A301,'SegEnds_NonXtal_BW#'!$A:$Z,24,FALSE)+VLOOKUP($A301,A:AL,34,FALSE)-50)),"-",(VLOOKUP($A301,'SegEnds_NonXtal_BW#'!$A:$Z,24,FALSE)+VLOOKUP($A301,A:AL,34,FALSE)-50))</f>
        <v>291</v>
      </c>
      <c r="AJ301" s="3">
        <f>IF(ISERROR(VLOOKUP($A301,'SegEnds_NonXtal_BW#'!$A:$Z,25,FALSE)+VLOOKUP($A301,A:AL,37,FALSE)-50),"-",(VLOOKUP($A301,'SegEnds_NonXtal_BW#'!$A:$Z,25,FALSE)+VLOOKUP($A301,A:AL,37,FALSE)-50))</f>
        <v>292</v>
      </c>
      <c r="AK301" s="3">
        <v>295</v>
      </c>
      <c r="AL301" s="3">
        <f>IF(ISERROR((VLOOKUP($A301,'SegEnds_NonXtal_BW#'!$A:$Z,26,FALSE)+VLOOKUP($A301,A:AL,37,FALSE)-50)),"-",(VLOOKUP($A301,'SegEnds_NonXtal_BW#'!$A:$Z,26,FALSE)+VLOOKUP($A301,A:AL,37,FALSE)-50))</f>
        <v>314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3</v>
      </c>
      <c r="AX301" s="3">
        <f>IF(ISERROR(AD301-AC301),"-",AD301-AC301)</f>
        <v>3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-5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52</v>
      </c>
    </row>
    <row r="302" spans="1:59" s="3" customFormat="1" x14ac:dyDescent="0.2">
      <c r="A302" s="3" t="s">
        <v>1636</v>
      </c>
      <c r="B302" s="3" t="str">
        <f>LOWER(VLOOKUP(A302,Xtal_Templ!A:B,2,FALSE))</f>
        <v>ccr2_human</v>
      </c>
      <c r="C302" s="3">
        <f>VLOOKUP($A302,'SegEnds_NonXtal_BW#'!$A:$Z,3,FALSE)+D302-50</f>
        <v>19</v>
      </c>
      <c r="D302" s="3">
        <v>42</v>
      </c>
      <c r="E302" s="3">
        <f>IF(ISERROR(VLOOKUP($A302,'SegEnds_NonXtal_BW#'!$A:$Z,4,FALSE)+VLOOKUP($A302,A:AL,4,FALSE)-50),"-",(VLOOKUP($A302,'SegEnds_NonXtal_BW#'!$A:$Z,4,FALSE)+VLOOKUP($A302,A:AL,4,FALSE)-50))</f>
        <v>52</v>
      </c>
      <c r="F302" s="3">
        <f t="shared" ref="F302" si="224">G302-2</f>
        <v>53</v>
      </c>
      <c r="G302" s="3">
        <v>55</v>
      </c>
      <c r="H302" s="3">
        <f t="shared" si="222"/>
        <v>56</v>
      </c>
      <c r="I302" s="3">
        <f t="shared" si="222"/>
        <v>57</v>
      </c>
      <c r="J302" s="3">
        <v>70</v>
      </c>
      <c r="K302" s="3">
        <f>VLOOKUP($A302,'SegEnds_NonXtal_BW#'!$A:$Z,8,FALSE)+VLOOKUP($A302,A:AL,10,FALSE)-50</f>
        <v>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93</v>
      </c>
      <c r="P302" s="3">
        <v>122</v>
      </c>
      <c r="Q302" s="3">
        <f>VLOOKUP($A302,'SegEnds_NonXtal_BW#'!$A:$Z,12,FALSE)+VLOOKUP($A302,A:AL,16,FALSE)-50</f>
        <v>128</v>
      </c>
      <c r="R302" s="3">
        <f>IF(ISERROR(VLOOKUP($A302,'SegEnds_NonXtal_BW#'!$A:$Z,13,FALSE)+VLOOKUP($A302,A:AL,19,FALSE)-50),"-",VLOOKUP($A302,'SegEnds_NonXtal_BW#'!$A:$Z,13,FALSE)+VLOOKUP($A302,A:AL,19,FALSE)-50)</f>
        <v>129</v>
      </c>
      <c r="S302" s="3">
        <v>129</v>
      </c>
      <c r="T302" s="100">
        <f>IF(ISERROR(VLOOKUP($A302,'SegEnds_NonXtal_BW#'!$A:$Z,14,FALSE)+VLOOKUP($A302,A:AL,19,FALSE)-50),"-",(VLOOKUP($A302,'SegEnds_NonXtal_BW#'!$A:$Z,14,FALSE)+VLOOKUP($A302,A:AL,19,FALSE)-50))</f>
        <v>136</v>
      </c>
      <c r="U302" s="9">
        <f>IF(ISERROR(VLOOKUP($A302,'SegEnds_NonXtal_BW#'!$A:$Z,15,FALSE)+VLOOKUP($A302,A:AL,22,FALSE)-50),"-",VLOOKUP($A302,'SegEnds_NonXtal_BW#'!$A:$Z,15,FALSE)+VLOOKUP($A302,A:AL,22,FALSE)-50)</f>
        <v>137</v>
      </c>
      <c r="V302" s="3">
        <v>149</v>
      </c>
      <c r="W302" s="3">
        <f>IF(ISERROR(VLOOKUP($A302,'SegEnds_NonXtal_BW#'!$A:$Z,16,FALSE)+VLOOKUP($A302,A:AL,22,FALSE)-50),"-",(VLOOKUP($A302,'SegEnds_NonXtal_BW#'!$A:$Z,16,FALSE)+VLOOKUP($A302,A:AL,22,FALSE)-50))</f>
        <v>163</v>
      </c>
      <c r="X302" s="3">
        <f>IF(ISERROR(VLOOKUP($A302,'SegEnds_NonXtal_BW#'!$A:$Z,17,FALSE)+VLOOKUP($A302,A:AL,25,FALSE)-50),"-",(VLOOKUP($A302,'SegEnds_NonXtal_BW#'!$A:$Z,17,FALSE)+VLOOKUP($A302,A:AL,25,FALSE)-50))</f>
        <v>189</v>
      </c>
      <c r="Y302" s="3">
        <v>189</v>
      </c>
      <c r="Z302" s="3">
        <f>Y302+2</f>
        <v>191</v>
      </c>
      <c r="AA302" s="3">
        <f>IF(ISERROR(VLOOKUP($A302,'SegEnds_NonXtal_BW#'!$A:$Z,19,FALSE)+VLOOKUP($A302,A:AL,28,FALSE)-50),"-",(VLOOKUP($A302,'SegEnds_NonXtal_BW#'!$A:$Z,19,FALSE)+VLOOKUP($A302,A:AL,28,FALSE)-50))</f>
        <v>195</v>
      </c>
      <c r="AB302" s="3">
        <v>210</v>
      </c>
      <c r="AC302" s="3">
        <f>IF(ISERROR((VLOOKUP($A302,'SegEnds_NonXtal_BW#'!$A:$Z,20,FALSE)+VLOOKUP($A302,A:AL,28,FALSE)-50)),"-",(VLOOKUP($A302,'SegEnds_NonXtal_BW#'!$A:$Z,20,FALSE)+VLOOKUP($A302,A:AL,28,FALSE)-50))</f>
        <v>232</v>
      </c>
      <c r="AD302" s="3">
        <f>IF(ISERROR(VLOOKUP($A302,'SegEnds_NonXtal_BW#'!$A:$Z,21,FALSE)+VLOOKUP($A302,A:AL,31,FALSE)-50),"-",(VLOOKUP($A302,'SegEnds_NonXtal_BW#'!$A:$Z,21,FALSE)+VLOOKUP($A302,A:AL,31,FALSE)-50))</f>
        <v>237</v>
      </c>
      <c r="AE302" s="3">
        <v>263</v>
      </c>
      <c r="AF302" s="3">
        <f>IF(ISERROR((VLOOKUP($A302,'SegEnds_NonXtal_BW#'!$A:$Z,22,FALSE)+VLOOKUP($A302,A:AL,31,FALSE)-50)),"-",(VLOOKUP($A302,'SegEnds_NonXtal_BW#'!$A:$Z,22,FALSE)+VLOOKUP($A302,A:AL,31,FALSE)-50))</f>
        <v>267</v>
      </c>
      <c r="AG302" s="3">
        <f>IF(ISERROR(VLOOKUP($A302,'SegEnds_NonXtal_BW#'!$A:$Z,23,FALSE)+VLOOKUP($A302,A:AL,34,FALSE)-50),"-",(VLOOKUP($A302,'SegEnds_NonXtal_BW#'!$A:$Z,23,FALSE)+VLOOKUP($A302,A:AL,34,FALSE)-50))</f>
        <v>269</v>
      </c>
      <c r="AH302" s="3">
        <v>287</v>
      </c>
      <c r="AI302" s="3">
        <f>IF(ISERROR((VLOOKUP($A302,'SegEnds_NonXtal_BW#'!$A:$Z,24,FALSE)+VLOOKUP($A302,A:AL,34,FALSE)-50)),"-",(VLOOKUP($A302,'SegEnds_NonXtal_BW#'!$A:$Z,24,FALSE)+VLOOKUP($A302,A:AL,34,FALSE)-50))</f>
        <v>293</v>
      </c>
      <c r="AJ302" s="3">
        <f>IF(ISERROR(VLOOKUP($A302,'SegEnds_NonXtal_BW#'!$A:$Z,25,FALSE)+VLOOKUP($A302,A:AL,37,FALSE)-50),"-",(VLOOKUP($A302,'SegEnds_NonXtal_BW#'!$A:$Z,25,FALSE)+VLOOKUP($A302,A:AL,37,FALSE)-50))</f>
        <v>294</v>
      </c>
      <c r="AK302" s="3">
        <v>297</v>
      </c>
      <c r="AL302" s="3">
        <f>IF(ISERROR((VLOOKUP($A302,'SegEnds_NonXtal_BW#'!$A:$Z,26,FALSE)+VLOOKUP($A302,A:AL,37,FALSE)-50)),"-",(VLOOKUP($A302,'SegEnds_NonXtal_BW#'!$A:$Z,26,FALSE)+VLOOKUP($A302,A:AL,37,FALSE)-50))</f>
        <v>305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5</v>
      </c>
      <c r="AY302" s="3">
        <f>IF(ISERROR(AG302-AF302),"-",AG302-AF302)</f>
        <v>2</v>
      </c>
      <c r="AZ302" s="3">
        <f>IF(ISERROR(AJ302-AI302),"-",AJ302-AI302)</f>
        <v>1</v>
      </c>
      <c r="BA302" s="3">
        <f>IF(ISERROR(LEN(VLOOKUP(A302,Seqs!A:E,2,FALSE))-AL302),"-",LEN(VLOOKUP(A302,Seqs!A:E,2,FALSE))-AL302)</f>
        <v>8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53</v>
      </c>
    </row>
    <row r="303" spans="1:59" s="3" customFormat="1" x14ac:dyDescent="0.2">
      <c r="A303" s="3" t="s">
        <v>1638</v>
      </c>
      <c r="B303" s="3" t="str">
        <f>LOWER(VLOOKUP(A303,Xtal_Templ!A:B,2,FALSE))</f>
        <v>c5ar1_human</v>
      </c>
      <c r="C303" s="3">
        <f>VLOOKUP($A303,'SegEnds_NonXtal_BW#'!$A:$Z,3,FALSE)+D303-50</f>
        <v>18</v>
      </c>
      <c r="D303" s="3">
        <v>39</v>
      </c>
      <c r="E303" s="3">
        <f>IF(ISERROR(VLOOKUP($A303,'SegEnds_NonXtal_BW#'!$A:$Z,4,FALSE)+VLOOKUP($A303,A:AL,4,FALSE)-50),"-",(VLOOKUP($A303,'SegEnds_NonXtal_BW#'!$A:$Z,4,FALSE)+VLOOKUP($A303,A:AL,4,FALSE)-50))</f>
        <v>49</v>
      </c>
      <c r="F303" s="3">
        <f t="shared" ref="F303" si="225">G303-2</f>
        <v>50</v>
      </c>
      <c r="G303" s="3">
        <v>52</v>
      </c>
      <c r="H303" s="3">
        <f t="shared" si="222"/>
        <v>53</v>
      </c>
      <c r="I303" s="3">
        <f t="shared" si="222"/>
        <v>54</v>
      </c>
      <c r="J303" s="3">
        <v>67</v>
      </c>
      <c r="K303" s="3">
        <f>VLOOKUP($A303,'SegEnds_NonXtal_BW#'!$A:$Z,8,FALSE)+VLOOKUP($A303,A:AL,10,FALSE)-50</f>
        <v>83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90</v>
      </c>
      <c r="P303" s="3">
        <v>119</v>
      </c>
      <c r="Q303" s="3">
        <f>VLOOKUP($A303,'SegEnds_NonXtal_BW#'!$A:$Z,12,FALSE)+VLOOKUP($A303,A:AL,16,FALSE)-50</f>
        <v>125</v>
      </c>
      <c r="R303" s="3">
        <f>IF(ISERROR(VLOOKUP($A303,'SegEnds_NonXtal_BW#'!$A:$Z,13,FALSE)+VLOOKUP($A303,A:AL,19,FALSE)-50),"-",VLOOKUP($A303,'SegEnds_NonXtal_BW#'!$A:$Z,13,FALSE)+VLOOKUP($A303,A:AL,19,FALSE)-50)</f>
        <v>126</v>
      </c>
      <c r="S303" s="3">
        <v>126</v>
      </c>
      <c r="T303" s="100">
        <f>IF(ISERROR(VLOOKUP($A303,'SegEnds_NonXtal_BW#'!$A:$Z,14,FALSE)+VLOOKUP($A303,A:AL,19,FALSE)-50),"-",(VLOOKUP($A303,'SegEnds_NonXtal_BW#'!$A:$Z,14,FALSE)+VLOOKUP($A303,A:AL,19,FALSE)-50))</f>
        <v>133</v>
      </c>
      <c r="U303" s="9">
        <f>IF(ISERROR(VLOOKUP($A303,'SegEnds_NonXtal_BW#'!$A:$Z,15,FALSE)+VLOOKUP($A303,A:AL,22,FALSE)-50),"-",VLOOKUP($A303,'SegEnds_NonXtal_BW#'!$A:$Z,15,FALSE)+VLOOKUP($A303,A:AL,22,FALSE)-50)</f>
        <v>134</v>
      </c>
      <c r="V303" s="3">
        <v>146</v>
      </c>
      <c r="W303" s="3">
        <f>IF(ISERROR(VLOOKUP($A303,'SegEnds_NonXtal_BW#'!$A:$Z,16,FALSE)+VLOOKUP($A303,A:AL,22,FALSE)-50),"-",(VLOOKUP($A303,'SegEnds_NonXtal_BW#'!$A:$Z,16,FALSE)+VLOOKUP($A303,A:AL,22,FALSE)-50))</f>
        <v>160</v>
      </c>
      <c r="X303" s="3">
        <f>IF(ISERROR(VLOOKUP($A303,'SegEnds_NonXtal_BW#'!$A:$Z,17,FALSE)+VLOOKUP($A303,A:AL,25,FALSE)-50),"-",(VLOOKUP($A303,'SegEnds_NonXtal_BW#'!$A:$Z,17,FALSE)+VLOOKUP($A303,A:AL,25,FALSE)-50))</f>
        <v>186</v>
      </c>
      <c r="Y303" s="3">
        <v>186</v>
      </c>
      <c r="Z303" s="3">
        <f>Y303+2</f>
        <v>188</v>
      </c>
      <c r="AA303" s="3">
        <f>IF(ISERROR(VLOOKUP($A303,'SegEnds_NonXtal_BW#'!$A:$Z,19,FALSE)+VLOOKUP($A303,A:AL,28,FALSE)-50),"-",(VLOOKUP($A303,'SegEnds_NonXtal_BW#'!$A:$Z,19,FALSE)+VLOOKUP($A303,A:AL,28,FALSE)-50))</f>
        <v>192</v>
      </c>
      <c r="AB303" s="3">
        <v>207</v>
      </c>
      <c r="AC303" s="3">
        <f>IF(ISERROR((VLOOKUP($A303,'SegEnds_NonXtal_BW#'!$A:$Z,20,FALSE)+VLOOKUP($A303,A:AL,28,FALSE)-50)),"-",(VLOOKUP($A303,'SegEnds_NonXtal_BW#'!$A:$Z,20,FALSE)+VLOOKUP($A303,A:AL,28,FALSE)-50))</f>
        <v>229</v>
      </c>
      <c r="AD303" s="3">
        <f>IF(ISERROR(VLOOKUP($A303,'SegEnds_NonXtal_BW#'!$A:$Z,21,FALSE)+VLOOKUP($A303,A:AL,31,FALSE)-50),"-",(VLOOKUP($A303,'SegEnds_NonXtal_BW#'!$A:$Z,21,FALSE)+VLOOKUP($A303,A:AL,31,FALSE)-50))</f>
        <v>232</v>
      </c>
      <c r="AE303" s="3">
        <v>259</v>
      </c>
      <c r="AF303" s="3">
        <f>IF(ISERROR((VLOOKUP($A303,'SegEnds_NonXtal_BW#'!$A:$Z,22,FALSE)+VLOOKUP($A303,A:AL,31,FALSE)-50)),"-",(VLOOKUP($A303,'SegEnds_NonXtal_BW#'!$A:$Z,22,FALSE)+VLOOKUP($A303,A:AL,31,FALSE)-50))</f>
        <v>263</v>
      </c>
      <c r="AG303" s="3">
        <f>IF(ISERROR(VLOOKUP($A303,'SegEnds_NonXtal_BW#'!$A:$Z,23,FALSE)+VLOOKUP($A303,A:AL,34,FALSE)-50),"-",(VLOOKUP($A303,'SegEnds_NonXtal_BW#'!$A:$Z,23,FALSE)+VLOOKUP($A303,A:AL,34,FALSE)-50))</f>
        <v>266</v>
      </c>
      <c r="AH303" s="3">
        <v>284</v>
      </c>
      <c r="AI303" s="3">
        <f>IF(ISERROR((VLOOKUP($A303,'SegEnds_NonXtal_BW#'!$A:$Z,24,FALSE)+VLOOKUP($A303,A:AL,34,FALSE)-50)),"-",(VLOOKUP($A303,'SegEnds_NonXtal_BW#'!$A:$Z,24,FALSE)+VLOOKUP($A303,A:AL,34,FALSE)-50))</f>
        <v>290</v>
      </c>
      <c r="AJ303" s="3">
        <f>IF(ISERROR(VLOOKUP($A303,'SegEnds_NonXtal_BW#'!$A:$Z,25,FALSE)+VLOOKUP($A303,A:AL,37,FALSE)-50),"-",(VLOOKUP($A303,'SegEnds_NonXtal_BW#'!$A:$Z,25,FALSE)+VLOOKUP($A303,A:AL,37,FALSE)-50))</f>
        <v>291</v>
      </c>
      <c r="AK303" s="3">
        <v>294</v>
      </c>
      <c r="AL303" s="3">
        <f>IF(ISERROR((VLOOKUP($A303,'SegEnds_NonXtal_BW#'!$A:$Z,26,FALSE)+VLOOKUP($A303,A:AL,37,FALSE)-50)),"-",(VLOOKUP($A303,'SegEnds_NonXtal_BW#'!$A:$Z,26,FALSE)+VLOOKUP($A303,A:AL,37,FALSE)-50))</f>
        <v>300</v>
      </c>
      <c r="AM303" s="28" t="str">
        <f>VLOOKUP(A303,Classification!A:B,2,FALSE)</f>
        <v>A</v>
      </c>
      <c r="AN303" s="28" t="b">
        <f>AND(IF(Y303="-",IF(AA303-W303&gt;3,TRUE,FALSE),TRUE),IF(M303="-",IF(O303-K303&gt;3,TRUE,FALSE),TRUE),IF(AG303-AF303&gt;1,TRUE,FALS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NoXtal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>
        <f>IF(ISERROR(R303-Q303),"-",R303-Q303)</f>
        <v>1</v>
      </c>
      <c r="AU303" s="3">
        <f>IF(ISERROR(U303-T303),"-",U303-T303)</f>
        <v>1</v>
      </c>
      <c r="AV303" s="3">
        <f>IF(ISERROR(X303-W303),"-",X303-W303)</f>
        <v>26</v>
      </c>
      <c r="AW303" s="3">
        <f>IF(ISERROR(AA303-Z303),"-",AA303-Z303)</f>
        <v>4</v>
      </c>
      <c r="AX303" s="3">
        <f>IF(ISERROR(AD303-AC303),"-",AD303-AC303)</f>
        <v>3</v>
      </c>
      <c r="AY303" s="3">
        <f>IF(ISERROR(AG303-AF303),"-",AG303-AF303)</f>
        <v>3</v>
      </c>
      <c r="AZ303" s="3">
        <f>IF(ISERROR(AJ303-AI303),"-",AJ303-AI303)</f>
        <v>1</v>
      </c>
      <c r="BA303" s="3">
        <f>IF(ISERROR(LEN(VLOOKUP(A303,Seqs!A:E,2,FALSE))-AL303),"-",LEN(VLOOKUP(A303,Seqs!A:E,2,FALSE))-AL303)</f>
        <v>16</v>
      </c>
      <c r="BB303" s="16">
        <f>J303-D303</f>
        <v>28</v>
      </c>
      <c r="BC303" s="9">
        <f>IF(ISERROR(V303-S303),"-",V303-S303)</f>
        <v>20</v>
      </c>
      <c r="BD303" s="3">
        <f>J303-D303</f>
        <v>28</v>
      </c>
      <c r="BE303" s="3">
        <f>AE303-AB303</f>
        <v>52</v>
      </c>
    </row>
    <row r="304" spans="1:59" s="3" customFormat="1" x14ac:dyDescent="0.2">
      <c r="A304" s="3" t="s">
        <v>400</v>
      </c>
      <c r="B304" s="3" t="str">
        <f>LOWER(VLOOKUP(A304,Xtal_Templ!A:B,2,FALSE))</f>
        <v>calcr_human</v>
      </c>
      <c r="C304" s="3">
        <f>VLOOKUP($A304,'SegEnds_NonXtal_BW#'!$A:$Z,3,FALSE)+D304-50</f>
        <v>132</v>
      </c>
      <c r="D304" s="3">
        <v>163</v>
      </c>
      <c r="E304" s="3">
        <f>IF(ISERROR(VLOOKUP($A304,'SegEnds_NonXtal_BW#'!$A:$Z,4,FALSE)+VLOOKUP($A304,A:AL,4,FALSE)-50),"-",(VLOOKUP($A304,'SegEnds_NonXtal_BW#'!$A:$Z,4,FALSE)+VLOOKUP($A304,A:AL,4,FALSE)-50))</f>
        <v>173</v>
      </c>
      <c r="F304" s="3">
        <f t="shared" si="215"/>
        <v>174</v>
      </c>
      <c r="G304" s="3">
        <v>176</v>
      </c>
      <c r="H304" s="3">
        <f t="shared" si="221"/>
        <v>177</v>
      </c>
      <c r="I304" s="3">
        <f t="shared" si="221"/>
        <v>178</v>
      </c>
      <c r="J304" s="3">
        <v>191</v>
      </c>
      <c r="K304" s="3">
        <f>VLOOKUP($A304,'SegEnds_NonXtal_BW#'!$A:$Z,8,FALSE)+VLOOKUP($A304,A:AL,10,FALSE)-50</f>
        <v>205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217</v>
      </c>
      <c r="P304" s="3">
        <v>244</v>
      </c>
      <c r="Q304" s="3">
        <f>VLOOKUP($A304,'SegEnds_NonXtal_BW#'!$A:$Z,12,FALSE)+VLOOKUP($A304,A:AL,16,FALSE)-50</f>
        <v>250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258</v>
      </c>
      <c r="V304" s="3">
        <v>267</v>
      </c>
      <c r="W304" s="3">
        <f>IF(ISERROR(VLOOKUP($A304,'SegEnds_NonXtal_BW#'!$A:$Z,16,FALSE)+VLOOKUP($A304,A:AL,22,FALSE)-50),"-",(VLOOKUP($A304,'SegEnds_NonXtal_BW#'!$A:$Z,16,FALSE)+VLOOKUP($A304,A:AL,22,FALSE)-50))</f>
        <v>285</v>
      </c>
      <c r="X304" s="3">
        <f>IF(ISERROR(VLOOKUP($A304,'SegEnds_NonXtal_BW#'!$A:$Z,17,FALSE)+VLOOKUP($A304,A:AL,25,FALSE)-50),"-",(VLOOKUP($A304,'SegEnds_NonXtal_BW#'!$A:$Z,17,FALSE)+VLOOKUP($A304,A:AL,25,FALSE)-50))</f>
        <v>289</v>
      </c>
      <c r="Y304" s="3">
        <v>289</v>
      </c>
      <c r="Z304" s="3">
        <f t="shared" si="220"/>
        <v>291</v>
      </c>
      <c r="AA304" s="3">
        <f>IF(ISERROR(VLOOKUP($A304,'SegEnds_NonXtal_BW#'!$A:$Z,19,FALSE)+VLOOKUP($A304,A:AL,28,FALSE)-50),"-",(VLOOKUP($A304,'SegEnds_NonXtal_BW#'!$A:$Z,19,FALSE)+VLOOKUP($A304,A:AL,28,FALSE)-50))</f>
        <v>298</v>
      </c>
      <c r="AB304" s="3">
        <v>308</v>
      </c>
      <c r="AC304" s="3">
        <f>IF(ISERROR((VLOOKUP($A304,'SegEnds_NonXtal_BW#'!$A:$Z,20,FALSE)+VLOOKUP($A304,A:AL,28,FALSE)-50)),"-",(VLOOKUP($A304,'SegEnds_NonXtal_BW#'!$A:$Z,20,FALSE)+VLOOKUP($A304,A:AL,28,FALSE)-50))</f>
        <v>328</v>
      </c>
      <c r="AD304" s="3">
        <f>IF(ISERROR(VLOOKUP($A304,'SegEnds_NonXtal_BW#'!$A:$Z,21,FALSE)+VLOOKUP($A304,A:AL,31,FALSE)-50),"-",(VLOOKUP($A304,'SegEnds_NonXtal_BW#'!$A:$Z,21,FALSE)+VLOOKUP($A304,A:AL,31,FALSE)-50))</f>
        <v>338</v>
      </c>
      <c r="AE304" s="3">
        <v>358</v>
      </c>
      <c r="AF304" s="3">
        <f>IF(ISERROR((VLOOKUP($A304,'SegEnds_NonXtal_BW#'!$A:$Z,22,FALSE)+VLOOKUP($A304,A:AL,31,FALSE)-50)),"-",(VLOOKUP($A304,'SegEnds_NonXtal_BW#'!$A:$Z,22,FALSE)+VLOOKUP($A304,A:AL,31,FALSE)-50))</f>
        <v>361</v>
      </c>
      <c r="AG304" s="3">
        <f>IF(ISERROR(VLOOKUP($A304,'SegEnds_NonXtal_BW#'!$A:$Z,23,FALSE)+VLOOKUP($A304,A:AL,34,FALSE)-50),"-",(VLOOKUP($A304,'SegEnds_NonXtal_BW#'!$A:$Z,23,FALSE)+VLOOKUP($A304,A:AL,34,FALSE)-50))</f>
        <v>366</v>
      </c>
      <c r="AH304" s="3">
        <v>388</v>
      </c>
      <c r="AI304" s="3">
        <f>IF(ISERROR((VLOOKUP($A304,'SegEnds_NonXtal_BW#'!$A:$Z,24,FALSE)+VLOOKUP($A304,A:AL,34,FALSE)-50)),"-",(VLOOKUP($A304,'SegEnds_NonXtal_BW#'!$A:$Z,24,FALSE)+VLOOKUP($A304,A:AL,34,FALSE)-50))</f>
        <v>394</v>
      </c>
      <c r="AJ304" s="3">
        <f>IF(ISERROR(VLOOKUP($A304,'SegEnds_NonXtal_BW#'!$A:$Z,25,FALSE)+VLOOKUP($A304,A:AL,37,FALSE)-50),"-",(VLOOKUP($A304,'SegEnds_NonXtal_BW#'!$A:$Z,25,FALSE)+VLOOKUP($A304,A:AL,37,FALSE)-50))</f>
        <v>395</v>
      </c>
      <c r="AK304" s="3">
        <v>398</v>
      </c>
      <c r="AL304" s="3">
        <f>IF(ISERROR((VLOOKUP($A304,'SegEnds_NonXtal_BW#'!$A:$Z,26,FALSE)+VLOOKUP($A304,A:AL,37,FALSE)-50)),"-",(VLOOKUP($A304,'SegEnds_NonXtal_BW#'!$A:$Z,26,FALSE)+VLOOKUP($A304,A:AL,37,FALSE)-50))</f>
        <v>420</v>
      </c>
      <c r="AM304" s="28" t="str">
        <f>VLOOKUP(A304,Classification!A:B,2,FALSE)</f>
        <v>B1</v>
      </c>
      <c r="AN304" s="28" t="b">
        <f t="shared" si="211"/>
        <v>1</v>
      </c>
      <c r="AO304" s="3" t="str">
        <f>IF(ISERROR(MATCH(A304,'SegEnds_Xtal_Prot#'!B:B, 0)), "NoXtal", "Xtal")</f>
        <v>Xtal</v>
      </c>
      <c r="AP304" s="3">
        <f t="shared" si="196"/>
        <v>1</v>
      </c>
      <c r="AQ304" s="3">
        <f t="shared" si="197"/>
        <v>1</v>
      </c>
      <c r="AR304" s="3" t="str">
        <f t="shared" si="198"/>
        <v>-</v>
      </c>
      <c r="AS304" s="3" t="str">
        <f t="shared" si="199"/>
        <v>-</v>
      </c>
      <c r="AT304" s="3" t="str">
        <f t="shared" si="200"/>
        <v>-</v>
      </c>
      <c r="AU304" s="3" t="str">
        <f t="shared" si="201"/>
        <v>-</v>
      </c>
      <c r="AV304" s="3">
        <f t="shared" si="202"/>
        <v>4</v>
      </c>
      <c r="AW304" s="3">
        <f t="shared" si="203"/>
        <v>7</v>
      </c>
      <c r="AX304" s="3">
        <f t="shared" si="204"/>
        <v>10</v>
      </c>
      <c r="AY304" s="3">
        <f t="shared" si="205"/>
        <v>5</v>
      </c>
      <c r="AZ304" s="3">
        <f t="shared" si="206"/>
        <v>1</v>
      </c>
      <c r="BA304" s="3">
        <f>IF(ISERROR(LEN(VLOOKUP(A304,Seqs!A:E,2,FALSE))-AL304),"-",LEN(VLOOKUP(A304,Seqs!A:E,2,FALSE))-AL304)</f>
        <v>54</v>
      </c>
      <c r="BB304" s="16">
        <f t="shared" si="207"/>
        <v>28</v>
      </c>
      <c r="BC304" s="9" t="str">
        <f t="shared" si="208"/>
        <v>-</v>
      </c>
      <c r="BD304" s="3">
        <f t="shared" si="209"/>
        <v>28</v>
      </c>
      <c r="BE304" s="3">
        <f t="shared" si="210"/>
        <v>50</v>
      </c>
    </row>
    <row r="305" spans="1:58" s="3" customFormat="1" ht="17" customHeight="1" x14ac:dyDescent="0.2">
      <c r="A305" s="3" t="s">
        <v>401</v>
      </c>
      <c r="B305" s="3" t="str">
        <f>LOWER(VLOOKUP(A305,Xtal_Templ!A:B,2,FALSE))</f>
        <v>calrl_human</v>
      </c>
      <c r="C305" s="3">
        <f>VLOOKUP($A305,'SegEnds_NonXtal_BW#'!$A:$Z,3,FALSE)+D305-50</f>
        <v>130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 t="shared" si="215"/>
        <v>167</v>
      </c>
      <c r="G305" s="3">
        <v>169</v>
      </c>
      <c r="H305" s="3">
        <f t="shared" si="221"/>
        <v>170</v>
      </c>
      <c r="I305" s="3">
        <f t="shared" si="221"/>
        <v>171</v>
      </c>
      <c r="J305" s="3">
        <v>184</v>
      </c>
      <c r="K305" s="3">
        <f>VLOOKUP($A305,'SegEnds_NonXtal_BW#'!$A:$Z,8,FALSE)+VLOOKUP($A305,A:AL,10,FALSE)-50</f>
        <v>198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210</v>
      </c>
      <c r="P305" s="3">
        <v>237</v>
      </c>
      <c r="Q305" s="3">
        <f>VLOOKUP($A305,'SegEnds_NonXtal_BW#'!$A:$Z,12,FALSE)+VLOOKUP($A305,A:AL,16,FALSE)-50</f>
        <v>243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251</v>
      </c>
      <c r="V305" s="3">
        <v>260</v>
      </c>
      <c r="W305" s="3">
        <f>IF(ISERROR(VLOOKUP($A305,'SegEnds_NonXtal_BW#'!$A:$Z,16,FALSE)+VLOOKUP($A305,A:AL,22,FALSE)-50),"-",(VLOOKUP($A305,'SegEnds_NonXtal_BW#'!$A:$Z,16,FALSE)+VLOOKUP($A305,A:AL,22,FALSE)-50))</f>
        <v>277</v>
      </c>
      <c r="X305" s="3">
        <f>IF(ISERROR(VLOOKUP($A305,'SegEnds_NonXtal_BW#'!$A:$Z,17,FALSE)+VLOOKUP($A305,A:AL,25,FALSE)-50),"-",(VLOOKUP($A305,'SegEnds_NonXtal_BW#'!$A:$Z,17,FALSE)+VLOOKUP($A305,A:AL,25,FALSE)-50))</f>
        <v>282</v>
      </c>
      <c r="Y305" s="3">
        <v>282</v>
      </c>
      <c r="Z305" s="3">
        <f t="shared" si="220"/>
        <v>284</v>
      </c>
      <c r="AA305" s="3">
        <f>IF(ISERROR(VLOOKUP($A305,'SegEnds_NonXtal_BW#'!$A:$Z,19,FALSE)+VLOOKUP($A305,A:AL,28,FALSE)-50),"-",(VLOOKUP($A305,'SegEnds_NonXtal_BW#'!$A:$Z,19,FALSE)+VLOOKUP($A305,A:AL,28,FALSE)-50))</f>
        <v>290</v>
      </c>
      <c r="AB305" s="3">
        <v>301</v>
      </c>
      <c r="AC305" s="3">
        <f>IF(ISERROR((VLOOKUP($A305,'SegEnds_NonXtal_BW#'!$A:$Z,20,FALSE)+VLOOKUP($A305,A:AL,28,FALSE)-50)),"-",(VLOOKUP($A305,'SegEnds_NonXtal_BW#'!$A:$Z,20,FALSE)+VLOOKUP($A305,A:AL,28,FALSE)-50))</f>
        <v>321</v>
      </c>
      <c r="AD305" s="3">
        <f>IF(ISERROR(VLOOKUP($A305,'SegEnds_NonXtal_BW#'!$A:$Z,21,FALSE)+VLOOKUP($A305,A:AL,31,FALSE)-50),"-",(VLOOKUP($A305,'SegEnds_NonXtal_BW#'!$A:$Z,21,FALSE)+VLOOKUP($A305,A:AL,31,FALSE)-50))</f>
        <v>331</v>
      </c>
      <c r="AE305" s="3">
        <v>351</v>
      </c>
      <c r="AF305" s="3">
        <f>IF(ISERROR((VLOOKUP($A305,'SegEnds_NonXtal_BW#'!$A:$Z,22,FALSE)+VLOOKUP($A305,A:AL,31,FALSE)-50)),"-",(VLOOKUP($A305,'SegEnds_NonXtal_BW#'!$A:$Z,22,FALSE)+VLOOKUP($A305,A:AL,31,FALSE)-50))</f>
        <v>354</v>
      </c>
      <c r="AG305" s="3">
        <f>IF(ISERROR(VLOOKUP($A305,'SegEnds_NonXtal_BW#'!$A:$Z,23,FALSE)+VLOOKUP($A305,A:AL,34,FALSE)-50),"-",(VLOOKUP($A305,'SegEnds_NonXtal_BW#'!$A:$Z,23,FALSE)+VLOOKUP($A305,A:AL,34,FALSE)-50))</f>
        <v>359</v>
      </c>
      <c r="AH305" s="3">
        <v>381</v>
      </c>
      <c r="AI305" s="3">
        <f>IF(ISERROR((VLOOKUP($A305,'SegEnds_NonXtal_BW#'!$A:$Z,24,FALSE)+VLOOKUP($A305,A:AL,34,FALSE)-50)),"-",(VLOOKUP($A305,'SegEnds_NonXtal_BW#'!$A:$Z,24,FALSE)+VLOOKUP($A305,A:AL,34,FALSE)-50))</f>
        <v>387</v>
      </c>
      <c r="AJ305" s="3">
        <f>IF(ISERROR(VLOOKUP($A305,'SegEnds_NonXtal_BW#'!$A:$Z,25,FALSE)+VLOOKUP($A305,A:AL,37,FALSE)-50),"-",(VLOOKUP($A305,'SegEnds_NonXtal_BW#'!$A:$Z,25,FALSE)+VLOOKUP($A305,A:AL,37,FALSE)-50))</f>
        <v>388</v>
      </c>
      <c r="AK305" s="3">
        <v>391</v>
      </c>
      <c r="AL305" s="3">
        <f>IF(ISERROR((VLOOKUP($A305,'SegEnds_NonXtal_BW#'!$A:$Z,26,FALSE)+VLOOKUP($A305,A:AL,37,FALSE)-50)),"-",(VLOOKUP($A305,'SegEnds_NonXtal_BW#'!$A:$Z,26,FALSE)+VLOOKUP($A305,A:AL,37,FALSE)-50))</f>
        <v>413</v>
      </c>
      <c r="AM305" s="28" t="str">
        <f>VLOOKUP(A305,Classification!A:B,2,FALSE)</f>
        <v>B1</v>
      </c>
      <c r="AN305" s="28" t="b">
        <f t="shared" si="211"/>
        <v>1</v>
      </c>
      <c r="AO305" s="3" t="str">
        <f>IF(ISERROR(MATCH(A305,'SegEnds_Xtal_Prot#'!B:B, 0)), "NoXtal", "Xtal")</f>
        <v>Xtal</v>
      </c>
      <c r="AP305" s="3">
        <f t="shared" si="196"/>
        <v>1</v>
      </c>
      <c r="AQ305" s="3">
        <f t="shared" si="197"/>
        <v>1</v>
      </c>
      <c r="AR305" s="3" t="str">
        <f t="shared" si="198"/>
        <v>-</v>
      </c>
      <c r="AS305" s="3" t="str">
        <f t="shared" si="199"/>
        <v>-</v>
      </c>
      <c r="AT305" s="3" t="str">
        <f t="shared" si="200"/>
        <v>-</v>
      </c>
      <c r="AU305" s="3" t="str">
        <f t="shared" si="201"/>
        <v>-</v>
      </c>
      <c r="AV305" s="3">
        <f t="shared" si="202"/>
        <v>5</v>
      </c>
      <c r="AW305" s="3">
        <f t="shared" si="203"/>
        <v>6</v>
      </c>
      <c r="AX305" s="3">
        <f t="shared" si="204"/>
        <v>10</v>
      </c>
      <c r="AY305" s="3">
        <f t="shared" si="205"/>
        <v>5</v>
      </c>
      <c r="AZ305" s="3">
        <f t="shared" si="206"/>
        <v>1</v>
      </c>
      <c r="BA305" s="3">
        <f>IF(ISERROR(LEN(VLOOKUP(A305,Seqs!A:E,2,FALSE))-AL305),"-",LEN(VLOOKUP(A305,Seqs!A:E,2,FALSE))-AL305)</f>
        <v>48</v>
      </c>
      <c r="BB305" s="16">
        <f t="shared" si="207"/>
        <v>28</v>
      </c>
      <c r="BC305" s="9" t="str">
        <f t="shared" si="208"/>
        <v>-</v>
      </c>
      <c r="BD305" s="3">
        <f t="shared" si="209"/>
        <v>28</v>
      </c>
      <c r="BE305" s="3">
        <f t="shared" si="210"/>
        <v>50</v>
      </c>
    </row>
    <row r="306" spans="1:58" s="3" customFormat="1" x14ac:dyDescent="0.2">
      <c r="A306" s="3" t="s">
        <v>38</v>
      </c>
      <c r="B306" s="3" t="str">
        <f>LOWER(VLOOKUP(A306,Xtal_Templ!A:B,2,FALSE))</f>
        <v>crfr1_human</v>
      </c>
      <c r="C306" s="3">
        <f>VLOOKUP($A306,'SegEnds_NonXtal_BW#'!$A:$Z,3,FALSE)+D306-50</f>
        <v>103</v>
      </c>
      <c r="D306" s="3">
        <v>134</v>
      </c>
      <c r="E306" s="3">
        <f>IF(ISERROR(VLOOKUP($A306,'SegEnds_NonXtal_BW#'!$A:$Z,4,FALSE)+VLOOKUP($A306,A:AL,4,FALSE)-50),"-",(VLOOKUP($A306,'SegEnds_NonXtal_BW#'!$A:$Z,4,FALSE)+VLOOKUP($A306,A:AL,4,FALSE)-50))</f>
        <v>144</v>
      </c>
      <c r="F306" s="3">
        <f t="shared" si="215"/>
        <v>145</v>
      </c>
      <c r="G306" s="3">
        <v>147</v>
      </c>
      <c r="H306" s="3">
        <f t="shared" si="221"/>
        <v>148</v>
      </c>
      <c r="I306" s="3">
        <f t="shared" si="221"/>
        <v>149</v>
      </c>
      <c r="J306" s="3">
        <v>162</v>
      </c>
      <c r="K306" s="3">
        <f>VLOOKUP($A306,'SegEnds_NonXtal_BW#'!$A:$Z,8,FALSE)+VLOOKUP($A306,A:AL,10,FALSE)-50</f>
        <v>175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185</v>
      </c>
      <c r="P306" s="3">
        <v>213</v>
      </c>
      <c r="Q306" s="3">
        <f>VLOOKUP($A306,'SegEnds_NonXtal_BW#'!$A:$Z,12,FALSE)+VLOOKUP($A306,A:AL,16,FALSE)-50</f>
        <v>219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226</v>
      </c>
      <c r="V306" s="3">
        <v>236</v>
      </c>
      <c r="W306" s="3">
        <f>IF(ISERROR(VLOOKUP($A306,'SegEnds_NonXtal_BW#'!$A:$Z,16,FALSE)+VLOOKUP($A306,A:AL,22,FALSE)-50),"-",(VLOOKUP($A306,'SegEnds_NonXtal_BW#'!$A:$Z,16,FALSE)+VLOOKUP($A306,A:AL,22,FALSE)-50))</f>
        <v>254</v>
      </c>
      <c r="X306" s="3">
        <f>IF(ISERROR(VLOOKUP($A306,'SegEnds_NonXtal_BW#'!$A:$Z,17,FALSE)+VLOOKUP($A306,A:AL,25,FALSE)-50),"-",(VLOOKUP($A306,'SegEnds_NonXtal_BW#'!$A:$Z,17,FALSE)+VLOOKUP($A306,A:AL,25,FALSE)-50))</f>
        <v>258</v>
      </c>
      <c r="Y306" s="3">
        <v>258</v>
      </c>
      <c r="Z306" s="3">
        <f t="shared" si="220"/>
        <v>260</v>
      </c>
      <c r="AA306" s="3">
        <f>IF(ISERROR(VLOOKUP($A306,'SegEnds_NonXtal_BW#'!$A:$Z,19,FALSE)+AB306-50),"-",(VLOOKUP($A306,'SegEnds_NonXtal_BW#'!$A:$Z,19,FALSE)+AB306-50))</f>
        <v>268</v>
      </c>
      <c r="AB306" s="3">
        <v>279</v>
      </c>
      <c r="AC306" s="3">
        <f>IF(ISERROR((VLOOKUP($A306,'SegEnds_NonXtal_BW#'!$A:$Z,20,FALSE)+VLOOKUP($A306,A:AL,28,FALSE)-50)),"-",(VLOOKUP($A306,'SegEnds_NonXtal_BW#'!$A:$Z,20,FALSE)+VLOOKUP($A306,A:AL,28,FALSE)-50))</f>
        <v>298</v>
      </c>
      <c r="AD306" s="3">
        <f>IF(ISERROR(VLOOKUP($A306,'SegEnds_NonXtal_BW#'!$A:$Z,21,FALSE)+AE306-50),"-",(VLOOKUP($A306,'SegEnds_NonXtal_BW#'!$A:$Z,21,FALSE)+AE306-50))</f>
        <v>304</v>
      </c>
      <c r="AE306" s="3">
        <v>329</v>
      </c>
      <c r="AF306" s="3">
        <f>IF(ISERROR((VLOOKUP($A306,'SegEnds_NonXtal_BW#'!$A:$Z,22,FALSE)+AE306-50)),"-",(VLOOKUP($A306,'SegEnds_NonXtal_BW#'!$A:$Z,22,FALSE)+AE306-50))</f>
        <v>332</v>
      </c>
      <c r="AG306" s="3">
        <f>IF(ISERROR(VLOOKUP($A306,'SegEnds_NonXtal_BW#'!$A:$Z,23,FALSE)+VLOOKUP($A306,A:AL,34,FALSE)-50),"-",(VLOOKUP($A306,'SegEnds_NonXtal_BW#'!$A:$Z,23,FALSE)+VLOOKUP($A306,A:AL,34,FALSE)-50))</f>
        <v>338</v>
      </c>
      <c r="AH306" s="3">
        <v>360</v>
      </c>
      <c r="AI306" s="3">
        <f>IF(ISERROR((VLOOKUP($A306,'SegEnds_NonXtal_BW#'!$A:$Z,24,FALSE)+VLOOKUP($A306,A:AL,34,FALSE)-50)),"-",(VLOOKUP($A306,'SegEnds_NonXtal_BW#'!$A:$Z,24,FALSE)+VLOOKUP($A306,A:AL,34,FALSE)-50))</f>
        <v>366</v>
      </c>
      <c r="AJ306" s="3">
        <f>IF(ISERROR(VLOOKUP($A306,'SegEnds_NonXtal_BW#'!$A:$Z,25,FALSE)+VLOOKUP($A306,A:AL,37,FALSE)-50),"-",(VLOOKUP($A306,'SegEnds_NonXtal_BW#'!$A:$Z,25,FALSE)+VLOOKUP($A306,A:AL,37,FALSE)-50))</f>
        <v>367</v>
      </c>
      <c r="AK306" s="3">
        <v>370</v>
      </c>
      <c r="AL306" s="3">
        <f>IF(ISERROR((VLOOKUP($A306,'SegEnds_NonXtal_BW#'!$A:$Z,26,FALSE)+VLOOKUP($A306,A:AL,37,FALSE)-50)),"-",(VLOOKUP($A306,'SegEnds_NonXtal_BW#'!$A:$Z,26,FALSE)+VLOOKUP($A306,A:AL,37,FALSE)-50))</f>
        <v>392</v>
      </c>
      <c r="AM306" s="28" t="str">
        <f>VLOOKUP(A306,Classification!A:B,2,FALSE)</f>
        <v>B1</v>
      </c>
      <c r="AN306" s="28" t="b">
        <f t="shared" si="211"/>
        <v>1</v>
      </c>
      <c r="AO306" s="3" t="str">
        <f>IF(ISERROR(MATCH(A306,'SegEnds_Xtal_Prot#'!B:B, 0)), "NoXtal", "Xtal")</f>
        <v>Xtal</v>
      </c>
      <c r="AP306" s="3">
        <f t="shared" si="196"/>
        <v>1</v>
      </c>
      <c r="AQ306" s="3">
        <f t="shared" si="197"/>
        <v>1</v>
      </c>
      <c r="AR306" s="3" t="str">
        <f t="shared" si="198"/>
        <v>-</v>
      </c>
      <c r="AS306" s="3" t="str">
        <f t="shared" si="199"/>
        <v>-</v>
      </c>
      <c r="AT306" s="3" t="str">
        <f t="shared" si="200"/>
        <v>-</v>
      </c>
      <c r="AU306" s="3" t="str">
        <f t="shared" si="201"/>
        <v>-</v>
      </c>
      <c r="AV306" s="3">
        <f t="shared" si="202"/>
        <v>4</v>
      </c>
      <c r="AW306" s="3">
        <f t="shared" si="203"/>
        <v>8</v>
      </c>
      <c r="AX306" s="3">
        <f t="shared" si="204"/>
        <v>6</v>
      </c>
      <c r="AY306" s="3">
        <f t="shared" si="205"/>
        <v>6</v>
      </c>
      <c r="AZ306" s="3">
        <f t="shared" si="206"/>
        <v>1</v>
      </c>
      <c r="BA306" s="3">
        <f>IF(ISERROR(LEN(VLOOKUP(A306,Seqs!A:E,2,FALSE))-AL306),"-",LEN(VLOOKUP(A306,Seqs!A:E,2,FALSE))-AL306)</f>
        <v>23</v>
      </c>
      <c r="BB306" s="16">
        <f t="shared" si="207"/>
        <v>28</v>
      </c>
      <c r="BC306" s="9" t="str">
        <f t="shared" si="208"/>
        <v>-</v>
      </c>
      <c r="BD306" s="3">
        <f t="shared" si="209"/>
        <v>28</v>
      </c>
      <c r="BE306" s="3">
        <f t="shared" si="210"/>
        <v>50</v>
      </c>
      <c r="BF306" s="3">
        <f>AH306-AE306</f>
        <v>31</v>
      </c>
    </row>
    <row r="307" spans="1:58" s="3" customFormat="1" x14ac:dyDescent="0.2">
      <c r="A307" s="3" t="s">
        <v>402</v>
      </c>
      <c r="B307" s="3" t="str">
        <f>LOWER(VLOOKUP(A307,Xtal_Templ!A:B,2,FALSE))</f>
        <v>crfr2_human</v>
      </c>
      <c r="C307" s="3">
        <f>VLOOKUP($A307,'SegEnds_NonXtal_BW#'!$A:$Z,3,FALSE)+D307-50</f>
        <v>100</v>
      </c>
      <c r="D307" s="3">
        <v>131</v>
      </c>
      <c r="E307" s="3">
        <f>IF(ISERROR(VLOOKUP($A307,'SegEnds_NonXtal_BW#'!$A:$Z,4,FALSE)+VLOOKUP($A307,A:AL,4,FALSE)-50),"-",(VLOOKUP($A307,'SegEnds_NonXtal_BW#'!$A:$Z,4,FALSE)+VLOOKUP($A307,A:AL,4,FALSE)-50))</f>
        <v>141</v>
      </c>
      <c r="F307" s="3">
        <f t="shared" si="215"/>
        <v>142</v>
      </c>
      <c r="G307" s="3">
        <v>144</v>
      </c>
      <c r="H307" s="3">
        <f t="shared" si="221"/>
        <v>145</v>
      </c>
      <c r="I307" s="3">
        <f t="shared" si="221"/>
        <v>146</v>
      </c>
      <c r="J307" s="3">
        <v>159</v>
      </c>
      <c r="K307" s="3">
        <f>VLOOKUP($A307,'SegEnds_NonXtal_BW#'!$A:$Z,8,FALSE)+VLOOKUP($A307,A:AL,10,FALSE)-50</f>
        <v>172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181</v>
      </c>
      <c r="P307" s="3">
        <v>209</v>
      </c>
      <c r="Q307" s="3">
        <f>VLOOKUP($A307,'SegEnds_NonXtal_BW#'!$A:$Z,12,FALSE)+VLOOKUP($A307,A:AL,16,FALSE)-50</f>
        <v>215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223</v>
      </c>
      <c r="V307" s="3">
        <v>232</v>
      </c>
      <c r="W307" s="3">
        <f>IF(ISERROR(VLOOKUP($A307,'SegEnds_NonXtal_BW#'!$A:$Z,16,FALSE)+VLOOKUP($A307,A:AL,22,FALSE)-50),"-",(VLOOKUP($A307,'SegEnds_NonXtal_BW#'!$A:$Z,16,FALSE)+VLOOKUP($A307,A:AL,22,FALSE)-50))</f>
        <v>250</v>
      </c>
      <c r="X307" s="3">
        <f>IF(ISERROR(VLOOKUP($A307,'SegEnds_NonXtal_BW#'!$A:$Z,17,FALSE)+VLOOKUP($A307,A:AL,25,FALSE)-50),"-",(VLOOKUP($A307,'SegEnds_NonXtal_BW#'!$A:$Z,17,FALSE)+VLOOKUP($A307,A:AL,25,FALSE)-50))</f>
        <v>254</v>
      </c>
      <c r="Y307" s="3">
        <v>254</v>
      </c>
      <c r="Z307" s="3">
        <f t="shared" si="220"/>
        <v>256</v>
      </c>
      <c r="AA307" s="3">
        <f>IF(ISERROR(VLOOKUP($A307,'SegEnds_NonXtal_BW#'!$A:$Z,19,FALSE)+VLOOKUP($A307,A:AL,28,FALSE)-50),"-",(VLOOKUP($A307,'SegEnds_NonXtal_BW#'!$A:$Z,19,FALSE)+VLOOKUP($A307,A:AL,28,FALSE)-50))</f>
        <v>264</v>
      </c>
      <c r="AB307" s="3">
        <v>275</v>
      </c>
      <c r="AC307" s="3">
        <f>IF(ISERROR((VLOOKUP($A307,'SegEnds_NonXtal_BW#'!$A:$Z,20,FALSE)+VLOOKUP($A307,A:AL,28,FALSE)-50)),"-",(VLOOKUP($A307,'SegEnds_NonXtal_BW#'!$A:$Z,20,FALSE)+VLOOKUP($A307,A:AL,28,FALSE)-50))</f>
        <v>296</v>
      </c>
      <c r="AD307" s="3">
        <f>IF(ISERROR(VLOOKUP($A307,'SegEnds_NonXtal_BW#'!$A:$Z,21,FALSE)+VLOOKUP($A307,A:AL,31,FALSE)-50),"-",(VLOOKUP($A307,'SegEnds_NonXtal_BW#'!$A:$Z,21,FALSE)+VLOOKUP($A307,A:AL,31,FALSE)-50))</f>
        <v>300</v>
      </c>
      <c r="AE307" s="3">
        <v>325</v>
      </c>
      <c r="AF307" s="3">
        <f>IF(ISERROR((VLOOKUP($A307,'SegEnds_NonXtal_BW#'!$A:$Z,22,FALSE)+VLOOKUP($A307,A:AL,31,FALSE)-50)),"-",(VLOOKUP($A307,'SegEnds_NonXtal_BW#'!$A:$Z,22,FALSE)+VLOOKUP($A307,A:AL,31,FALSE)-50))</f>
        <v>328</v>
      </c>
      <c r="AG307" s="3">
        <f>IF(ISERROR(VLOOKUP($A307,'SegEnds_NonXtal_BW#'!$A:$Z,23,FALSE)+VLOOKUP($A307,A:AL,34,FALSE)-50),"-",(VLOOKUP($A307,'SegEnds_NonXtal_BW#'!$A:$Z,23,FALSE)+VLOOKUP($A307,A:AL,34,FALSE)-50))</f>
        <v>334</v>
      </c>
      <c r="AH307" s="3">
        <v>356</v>
      </c>
      <c r="AI307" s="3">
        <f>IF(ISERROR((VLOOKUP($A307,'SegEnds_NonXtal_BW#'!$A:$Z,24,FALSE)+VLOOKUP($A307,A:AL,34,FALSE)-50)),"-",(VLOOKUP($A307,'SegEnds_NonXtal_BW#'!$A:$Z,24,FALSE)+VLOOKUP($A307,A:AL,34,FALSE)-50))</f>
        <v>362</v>
      </c>
      <c r="AJ307" s="3">
        <f>IF(ISERROR(VLOOKUP($A307,'SegEnds_NonXtal_BW#'!$A:$Z,25,FALSE)+VLOOKUP($A307,A:AL,37,FALSE)-50),"-",(VLOOKUP($A307,'SegEnds_NonXtal_BW#'!$A:$Z,25,FALSE)+VLOOKUP($A307,A:AL,37,FALSE)-50))</f>
        <v>363</v>
      </c>
      <c r="AK307" s="3">
        <v>366</v>
      </c>
      <c r="AL307" s="3">
        <f>IF(ISERROR((VLOOKUP($A307,'SegEnds_NonXtal_BW#'!$A:$Z,26,FALSE)+VLOOKUP($A307,A:AL,37,FALSE)-50)),"-",(VLOOKUP($A307,'SegEnds_NonXtal_BW#'!$A:$Z,26,FALSE)+VLOOKUP($A307,A:AL,37,FALSE)-50))</f>
        <v>388</v>
      </c>
      <c r="AM307" s="28" t="str">
        <f>VLOOKUP(A307,Classification!A:B,2,FALSE)</f>
        <v>B1</v>
      </c>
      <c r="AN307" s="28" t="b">
        <f t="shared" si="211"/>
        <v>1</v>
      </c>
      <c r="AO307" s="3" t="str">
        <f>IF(ISERROR(MATCH(A307,'SegEnds_Xtal_Prot#'!B:B, 0)), "NoXtal", "Xtal")</f>
        <v>Xtal</v>
      </c>
      <c r="AP307" s="3">
        <f t="shared" si="196"/>
        <v>1</v>
      </c>
      <c r="AQ307" s="3">
        <f t="shared" si="197"/>
        <v>1</v>
      </c>
      <c r="AR307" s="3" t="str">
        <f t="shared" si="198"/>
        <v>-</v>
      </c>
      <c r="AS307" s="3" t="str">
        <f t="shared" si="199"/>
        <v>-</v>
      </c>
      <c r="AT307" s="3" t="str">
        <f t="shared" si="200"/>
        <v>-</v>
      </c>
      <c r="AU307" s="3" t="str">
        <f t="shared" si="201"/>
        <v>-</v>
      </c>
      <c r="AV307" s="3">
        <f t="shared" si="202"/>
        <v>4</v>
      </c>
      <c r="AW307" s="3">
        <f t="shared" si="203"/>
        <v>8</v>
      </c>
      <c r="AX307" s="3">
        <f t="shared" si="204"/>
        <v>4</v>
      </c>
      <c r="AY307" s="3">
        <f t="shared" si="205"/>
        <v>6</v>
      </c>
      <c r="AZ307" s="3">
        <f t="shared" si="206"/>
        <v>1</v>
      </c>
      <c r="BA307" s="3">
        <f>IF(ISERROR(LEN(VLOOKUP(A307,Seqs!A:E,2,FALSE))-AL307),"-",LEN(VLOOKUP(A307,Seqs!A:E,2,FALSE))-AL307)</f>
        <v>23</v>
      </c>
      <c r="BB307" s="16">
        <f t="shared" si="207"/>
        <v>28</v>
      </c>
      <c r="BC307" s="9" t="str">
        <f t="shared" si="208"/>
        <v>-</v>
      </c>
      <c r="BD307" s="3">
        <f t="shared" si="209"/>
        <v>28</v>
      </c>
      <c r="BE307" s="3">
        <f t="shared" si="210"/>
        <v>50</v>
      </c>
      <c r="BF307" s="3">
        <f>AH307-AE307</f>
        <v>31</v>
      </c>
    </row>
    <row r="308" spans="1:58" s="3" customFormat="1" x14ac:dyDescent="0.2">
      <c r="A308" s="3" t="s">
        <v>1416</v>
      </c>
      <c r="B308" s="3" t="str">
        <f>LOWER(VLOOKUP(A308,Xtal_Templ!A:B,2,FALSE))</f>
        <v>g1sgd4_rabit</v>
      </c>
      <c r="C308" s="3">
        <f>VLOOKUP($A308,'SegEnds_NonXtal_BW#'!$A:$Z,3,FALSE)+D308-50</f>
        <v>137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 t="shared" si="215"/>
        <v>170</v>
      </c>
      <c r="G308" s="3">
        <v>172</v>
      </c>
      <c r="H308" s="3">
        <f t="shared" si="221"/>
        <v>173</v>
      </c>
      <c r="I308" s="3">
        <f t="shared" si="221"/>
        <v>174</v>
      </c>
      <c r="J308" s="3">
        <v>187</v>
      </c>
      <c r="K308" s="3">
        <f>VLOOKUP($A308,'SegEnds_NonXtal_BW#'!$A:$Z,8,FALSE)+VLOOKUP($A308,A:AL,10,FALSE)-50</f>
        <v>211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224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20"/>
        <v>298</v>
      </c>
      <c r="AA308" s="3">
        <f>IF(ISERROR(VLOOKUP($A308,'SegEnds_NonXtal_BW#'!$A:$Z,19,FALSE)+VLOOKUP($A308,A:AL,28,FALSE)-50),"-",(VLOOKUP($A308,'SegEnds_NonXtal_BW#'!$A:$Z,19,FALSE)+VLOOKUP($A308,A:AL,28,FALSE)-50))</f>
        <v>302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337</v>
      </c>
      <c r="AD308" s="3">
        <f>IF(ISERROR(VLOOKUP($A308,'SegEnds_NonXtal_BW#'!$A:$Z,21,FALSE)+VLOOKUP($A308,A:AL,31,FALSE)-50),"-",(VLOOKUP($A308,'SegEnds_NonXtal_BW#'!$A:$Z,21,FALSE)+VLOOKUP($A308,A:AL,31,FALSE)-50))</f>
        <v>346</v>
      </c>
      <c r="AE308" s="3">
        <v>366</v>
      </c>
      <c r="AF308" s="3">
        <f>IF(ISERROR((VLOOKUP($A308,'SegEnds_NonXtal_BW#'!$A:$Z,22,FALSE)+VLOOKUP($A308,A:AL,31,FALSE)-50)),"-",(VLOOKUP($A308,'SegEnds_NonXtal_BW#'!$A:$Z,22,FALSE)+VLOOKUP($A308,A:AL,31,FALSE)-50))</f>
        <v>369</v>
      </c>
      <c r="AG308" s="3">
        <f>IF(ISERROR(VLOOKUP($A308,'SegEnds_NonXtal_BW#'!$A:$Z,23,FALSE)+VLOOKUP($A308,A:AL,34,FALSE)-50),"-",(VLOOKUP($A308,'SegEnds_NonXtal_BW#'!$A:$Z,23,FALSE)+VLOOKUP($A308,A:AL,34,FALSE)-50))</f>
        <v>379</v>
      </c>
      <c r="AH308" s="3">
        <v>399</v>
      </c>
      <c r="AI308" s="3">
        <f>IF(ISERROR((VLOOKUP($A308,'SegEnds_NonXtal_BW#'!$A:$Z,24,FALSE)+VLOOKUP($A308,A:AL,34,FALSE)-50)),"-",(VLOOKUP($A308,'SegEnds_NonXtal_BW#'!$A:$Z,24,FALSE)+VLOOKUP($A308,A:AL,34,FALSE)-50))</f>
        <v>405</v>
      </c>
      <c r="AJ308" s="3">
        <f>IF(ISERROR(VLOOKUP($A308,'SegEnds_NonXtal_BW#'!$A:$Z,25,FALSE)+VLOOKUP($A308,A:AL,37,FALSE)-50),"-",(VLOOKUP($A308,'SegEnds_NonXtal_BW#'!$A:$Z,25,FALSE)+VLOOKUP($A308,A:AL,37,FALSE)-50))</f>
        <v>406</v>
      </c>
      <c r="AK308" s="3">
        <v>409</v>
      </c>
      <c r="AL308" s="3">
        <f>IF(ISERROR((VLOOKUP($A308,'SegEnds_NonXtal_BW#'!$A:$Z,26,FALSE)+VLOOKUP($A308,A:AL,37,FALSE)-50)),"-",(VLOOKUP($A308,'SegEnds_NonXtal_BW#'!$A:$Z,26,FALSE)+VLOOKUP($A308,A:AL,37,FALSE)-50))</f>
        <v>431</v>
      </c>
      <c r="AM308" s="28" t="str">
        <f>VLOOKUP(A308,Classification!A:B,2,FALSE)</f>
        <v>B1</v>
      </c>
      <c r="AN308" s="28" t="b">
        <f t="shared" si="211"/>
        <v>1</v>
      </c>
      <c r="AO308" s="3" t="str">
        <f>IF(ISERROR(MATCH(A308,'SegEnds_Xtal_Prot#'!B:B, 0)), "NoXtal", "Xtal")</f>
        <v>Xtal</v>
      </c>
      <c r="AP308" s="3">
        <f t="shared" si="196"/>
        <v>1</v>
      </c>
      <c r="AQ308" s="3">
        <f t="shared" si="197"/>
        <v>1</v>
      </c>
      <c r="AR308" s="3" t="str">
        <f t="shared" si="198"/>
        <v>-</v>
      </c>
      <c r="AS308" s="3" t="str">
        <f t="shared" si="199"/>
        <v>-</v>
      </c>
      <c r="AT308" s="3" t="str">
        <f t="shared" si="200"/>
        <v>-</v>
      </c>
      <c r="AU308" s="3" t="str">
        <f t="shared" si="201"/>
        <v>-</v>
      </c>
      <c r="AV308" s="3">
        <f t="shared" si="202"/>
        <v>4</v>
      </c>
      <c r="AW308" s="3">
        <f t="shared" si="203"/>
        <v>4</v>
      </c>
      <c r="AX308" s="3">
        <f t="shared" si="204"/>
        <v>9</v>
      </c>
      <c r="AY308" s="3">
        <f t="shared" si="205"/>
        <v>10</v>
      </c>
      <c r="AZ308" s="3">
        <f t="shared" si="206"/>
        <v>1</v>
      </c>
      <c r="BA308" s="3">
        <f>IF(ISERROR(LEN(VLOOKUP(A308,Seqs!A:E,2,FALSE))-AL308),"-",LEN(VLOOKUP(A308,Seqs!A:E,2,FALSE))-AL308)</f>
        <v>31</v>
      </c>
      <c r="BB308" s="16">
        <f t="shared" si="207"/>
        <v>28</v>
      </c>
      <c r="BC308" s="9" t="str">
        <f t="shared" si="208"/>
        <v>-</v>
      </c>
      <c r="BD308" s="3">
        <f t="shared" si="209"/>
        <v>28</v>
      </c>
      <c r="BE308" s="3">
        <f t="shared" si="210"/>
        <v>50</v>
      </c>
    </row>
    <row r="309" spans="1:58" s="3" customFormat="1" x14ac:dyDescent="0.2">
      <c r="A309" s="3" t="s">
        <v>403</v>
      </c>
      <c r="B309" s="3" t="str">
        <f>LOWER(VLOOKUP(A309,Xtal_Templ!A:B,2,FALSE))</f>
        <v>pacr_human</v>
      </c>
      <c r="C309" s="3">
        <f>VLOOKUP($A309,'SegEnds_NonXtal_BW#'!$A:$Z,3,FALSE)+D309-50</f>
        <v>115</v>
      </c>
      <c r="D309" s="3">
        <v>144</v>
      </c>
      <c r="E309" s="3">
        <f>IF(ISERROR(VLOOKUP($A309,'SegEnds_NonXtal_BW#'!$A:$Z,4,FALSE)+VLOOKUP($A309,A:AL,4,FALSE)-50),"-",(VLOOKUP($A309,'SegEnds_NonXtal_BW#'!$A:$Z,4,FALSE)+VLOOKUP($A309,A:AL,4,FALSE)-50))</f>
        <v>154</v>
      </c>
      <c r="F309" s="3">
        <f t="shared" si="215"/>
        <v>155</v>
      </c>
      <c r="G309" s="3">
        <v>157</v>
      </c>
      <c r="H309" s="3">
        <f t="shared" si="221"/>
        <v>158</v>
      </c>
      <c r="I309" s="3">
        <f t="shared" si="221"/>
        <v>159</v>
      </c>
      <c r="J309" s="3">
        <v>172</v>
      </c>
      <c r="K309" s="3">
        <f>VLOOKUP($A309,'SegEnds_NonXtal_BW#'!$A:$Z,8,FALSE)+VLOOKUP($A309,A:AL,10,FALSE)-50</f>
        <v>186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199</v>
      </c>
      <c r="P309" s="3">
        <v>227</v>
      </c>
      <c r="Q309" s="3">
        <f>VLOOKUP($A309,'SegEnds_NonXtal_BW#'!$A:$Z,12,FALSE)+VLOOKUP($A309,A:AL,16,FALSE)-50</f>
        <v>233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240</v>
      </c>
      <c r="V309" s="3">
        <v>250</v>
      </c>
      <c r="W309" s="3">
        <f>IF(ISERROR(VLOOKUP($A309,'SegEnds_NonXtal_BW#'!$A:$Z,16,FALSE)+VLOOKUP($A309,A:AL,22,FALSE)-50),"-",(VLOOKUP($A309,'SegEnds_NonXtal_BW#'!$A:$Z,16,FALSE)+VLOOKUP($A309,A:AL,22,FALSE)-50))</f>
        <v>268</v>
      </c>
      <c r="X309" s="3">
        <f>IF(ISERROR(VLOOKUP($A309,'SegEnds_NonXtal_BW#'!$A:$Z,17,FALSE)+VLOOKUP($A309,A:AL,25,FALSE)-50),"-",(VLOOKUP($A309,'SegEnds_NonXtal_BW#'!$A:$Z,17,FALSE)+VLOOKUP($A309,A:AL,25,FALSE)-50))</f>
        <v>272</v>
      </c>
      <c r="Y309" s="3">
        <v>272</v>
      </c>
      <c r="Z309" s="3">
        <f t="shared" si="220"/>
        <v>274</v>
      </c>
      <c r="AA309" s="3">
        <f>IF(ISERROR(VLOOKUP($A309,'SegEnds_NonXtal_BW#'!$A:$Z,19,FALSE)+VLOOKUP($A309,A:AL,28,FALSE)-50),"-",(VLOOKUP($A309,'SegEnds_NonXtal_BW#'!$A:$Z,19,FALSE)+VLOOKUP($A309,A:AL,28,FALSE)-50))</f>
        <v>278</v>
      </c>
      <c r="AB309" s="3">
        <v>292</v>
      </c>
      <c r="AC309" s="3">
        <f>IF(ISERROR((VLOOKUP($A309,'SegEnds_NonXtal_BW#'!$A:$Z,20,FALSE)+VLOOKUP($A309,A:AL,28,FALSE)-50)),"-",(VLOOKUP($A309,'SegEnds_NonXtal_BW#'!$A:$Z,20,FALSE)+VLOOKUP($A309,A:AL,28,FALSE)-50))</f>
        <v>311</v>
      </c>
      <c r="AD309" s="3">
        <f>IF(ISERROR(VLOOKUP($A309,'SegEnds_NonXtal_BW#'!$A:$Z,21,FALSE)+VLOOKUP($A309,A:AL,31,FALSE)-50),"-",(VLOOKUP($A309,'SegEnds_NonXtal_BW#'!$A:$Z,21,FALSE)+VLOOKUP($A309,A:AL,31,FALSE)-50))</f>
        <v>319</v>
      </c>
      <c r="AE309" s="3">
        <v>344</v>
      </c>
      <c r="AF309" s="3">
        <f>IF(ISERROR((VLOOKUP($A309,'SegEnds_NonXtal_BW#'!$A:$Z,22,FALSE)+VLOOKUP($A309,A:AL,31,FALSE)-50)),"-",(VLOOKUP($A309,'SegEnds_NonXtal_BW#'!$A:$Z,22,FALSE)+VLOOKUP($A309,A:AL,31,FALSE)-50))</f>
        <v>348</v>
      </c>
      <c r="AG309" s="3">
        <f>IF(ISERROR(VLOOKUP($A309,'SegEnds_NonXtal_BW#'!$A:$Z,23,FALSE)+VLOOKUP($A309,A:AL,34,FALSE)-50),"-",(VLOOKUP($A309,'SegEnds_NonXtal_BW#'!$A:$Z,23,FALSE)+VLOOKUP($A309,A:AL,34,FALSE)-50))</f>
        <v>354</v>
      </c>
      <c r="AH309" s="3">
        <v>373</v>
      </c>
      <c r="AI309" s="3">
        <f>IF(ISERROR((VLOOKUP($A309,'SegEnds_NonXtal_BW#'!$A:$Z,24,FALSE)+VLOOKUP($A309,A:AL,34,FALSE)-50)),"-",(VLOOKUP($A309,'SegEnds_NonXtal_BW#'!$A:$Z,24,FALSE)+VLOOKUP($A309,A:AL,34,FALSE)-50))</f>
        <v>379</v>
      </c>
      <c r="AJ309" s="3">
        <f>IF(ISERROR(VLOOKUP($A309,'SegEnds_NonXtal_BW#'!$A:$Z,25,FALSE)+VLOOKUP($A309,A:AL,37,FALSE)-50),"-",(VLOOKUP($A309,'SegEnds_NonXtal_BW#'!$A:$Z,25,FALSE)+VLOOKUP($A309,A:AL,37,FALSE)-50))</f>
        <v>380</v>
      </c>
      <c r="AK309" s="3">
        <v>383</v>
      </c>
      <c r="AL309" s="3">
        <f>IF(ISERROR((VLOOKUP($A309,'SegEnds_NonXtal_BW#'!$A:$Z,26,FALSE)+VLOOKUP($A309,A:AL,37,FALSE)-50)),"-",(VLOOKUP($A309,'SegEnds_NonXtal_BW#'!$A:$Z,26,FALSE)+VLOOKUP($A309,A:AL,37,FALSE)-50))</f>
        <v>405</v>
      </c>
      <c r="AM309" s="28" t="str">
        <f>VLOOKUP(A309,Classification!A:B,2,FALSE)</f>
        <v>B1</v>
      </c>
      <c r="AN309" s="28" t="b">
        <f t="shared" si="211"/>
        <v>1</v>
      </c>
      <c r="AO309" s="3" t="str">
        <f>IF(ISERROR(MATCH(A309,'SegEnds_Xtal_Prot#'!B:B, 0)), "NoXtal", "Xtal")</f>
        <v>NoXtal</v>
      </c>
      <c r="AP309" s="3">
        <f t="shared" si="196"/>
        <v>1</v>
      </c>
      <c r="AQ309" s="3">
        <f t="shared" si="197"/>
        <v>1</v>
      </c>
      <c r="AR309" s="3" t="str">
        <f t="shared" si="198"/>
        <v>-</v>
      </c>
      <c r="AS309" s="3" t="str">
        <f t="shared" si="199"/>
        <v>-</v>
      </c>
      <c r="AT309" s="3" t="str">
        <f t="shared" si="200"/>
        <v>-</v>
      </c>
      <c r="AU309" s="3" t="str">
        <f t="shared" si="201"/>
        <v>-</v>
      </c>
      <c r="AV309" s="3">
        <f t="shared" si="202"/>
        <v>4</v>
      </c>
      <c r="AW309" s="3">
        <f t="shared" si="203"/>
        <v>4</v>
      </c>
      <c r="AX309" s="3">
        <f t="shared" si="204"/>
        <v>8</v>
      </c>
      <c r="AY309" s="3">
        <f t="shared" si="205"/>
        <v>6</v>
      </c>
      <c r="AZ309" s="3">
        <f t="shared" si="206"/>
        <v>1</v>
      </c>
      <c r="BA309" s="3">
        <f>IF(ISERROR(LEN(VLOOKUP(A309,Seqs!A:E,2,FALSE))-AL309),"-",LEN(VLOOKUP(A309,Seqs!A:E,2,FALSE))-AL309)</f>
        <v>18</v>
      </c>
      <c r="BB309" s="16">
        <f t="shared" si="207"/>
        <v>28</v>
      </c>
      <c r="BC309" s="9" t="str">
        <f t="shared" si="208"/>
        <v>-</v>
      </c>
      <c r="BD309" s="3">
        <f t="shared" si="209"/>
        <v>28</v>
      </c>
      <c r="BE309" s="3">
        <f t="shared" si="210"/>
        <v>52</v>
      </c>
      <c r="BF309" s="3">
        <f>AH309-AE309</f>
        <v>29</v>
      </c>
    </row>
    <row r="310" spans="1:58" s="3" customFormat="1" x14ac:dyDescent="0.2">
      <c r="A310" s="3" t="s">
        <v>404</v>
      </c>
      <c r="B310" s="3" t="str">
        <f>LOWER(VLOOKUP(A310,Xtal_Templ!A:B,2,FALSE))</f>
        <v>glr_human</v>
      </c>
      <c r="C310" s="3">
        <f>VLOOKUP($A310,'SegEnds_NonXtal_BW#'!$A:$Z,3,FALSE)+D310-50</f>
        <v>127</v>
      </c>
      <c r="D310" s="3">
        <v>152</v>
      </c>
      <c r="E310" s="3">
        <f>IF(ISERROR(VLOOKUP($A310,'SegEnds_NonXtal_BW#'!$A:$Z,4,FALSE)+VLOOKUP($A310,A:AL,4,FALSE)-50),"-",(VLOOKUP($A310,'SegEnds_NonXtal_BW#'!$A:$Z,4,FALSE)+VLOOKUP($A310,A:AL,4,FALSE)-50))</f>
        <v>162</v>
      </c>
      <c r="F310" s="3">
        <f t="shared" si="215"/>
        <v>163</v>
      </c>
      <c r="G310" s="3">
        <v>165</v>
      </c>
      <c r="H310" s="3">
        <f t="shared" si="221"/>
        <v>166</v>
      </c>
      <c r="I310" s="3">
        <f t="shared" si="221"/>
        <v>167</v>
      </c>
      <c r="J310" s="3">
        <v>180</v>
      </c>
      <c r="K310" s="3">
        <f>VLOOKUP($A310,'SegEnds_NonXtal_BW#'!$A:$Z,8,FALSE)+VLOOKUP($A310,A:AL,10,FALSE)-50</f>
        <v>194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214</v>
      </c>
      <c r="P310" s="3">
        <v>241</v>
      </c>
      <c r="Q310" s="3">
        <f>VLOOKUP($A310,'SegEnds_NonXtal_BW#'!$A:$Z,12,FALSE)+VLOOKUP($A310,A:AL,16,FALSE)-50</f>
        <v>247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254</v>
      </c>
      <c r="V310" s="3">
        <v>264</v>
      </c>
      <c r="W310" s="3">
        <f>IF(ISERROR(VLOOKUP($A310,'SegEnds_NonXtal_BW#'!$A:$Z,16,FALSE)+VLOOKUP($A310,A:AL,22,FALSE)-50),"-",(VLOOKUP($A310,'SegEnds_NonXtal_BW#'!$A:$Z,16,FALSE)+VLOOKUP($A310,A:AL,22,FALSE)-50))</f>
        <v>282</v>
      </c>
      <c r="X310" s="3">
        <f>IF(ISERROR(VLOOKUP($A310,'SegEnds_NonXtal_BW#'!$A:$Z,17,FALSE)+VLOOKUP($A310,A:AL,25,FALSE)-50),"-",(VLOOKUP($A310,'SegEnds_NonXtal_BW#'!$A:$Z,17,FALSE)+VLOOKUP($A310,A:AL,25,FALSE)-50))</f>
        <v>286</v>
      </c>
      <c r="Y310" s="3">
        <v>286</v>
      </c>
      <c r="Z310" s="3">
        <f t="shared" si="220"/>
        <v>288</v>
      </c>
      <c r="AA310" s="3">
        <f>IF(ISERROR(VLOOKUP($A310,'SegEnds_NonXtal_BW#'!$A:$Z,19,FALSE)+VLOOKUP($A310,A:AL,28,FALSE)-50),"-",(VLOOKUP($A310,'SegEnds_NonXtal_BW#'!$A:$Z,19,FALSE)+VLOOKUP($A310,A:AL,28,FALSE)-50))</f>
        <v>296</v>
      </c>
      <c r="AB310" s="3">
        <v>306</v>
      </c>
      <c r="AC310" s="3">
        <f>IF(ISERROR((VLOOKUP($A310,'SegEnds_NonXtal_BW#'!$A:$Z,20,FALSE)+VLOOKUP($A310,A:AL,28,FALSE)-50)),"-",(VLOOKUP($A310,'SegEnds_NonXtal_BW#'!$A:$Z,20,FALSE)+VLOOKUP($A310,A:AL,28,FALSE)-50))</f>
        <v>327</v>
      </c>
      <c r="AD310" s="3">
        <f>IF(ISERROR(VLOOKUP($A310,'SegEnds_NonXtal_BW#'!$A:$Z,21,FALSE)+VLOOKUP($A310,A:AL,31,FALSE)-50),"-",(VLOOKUP($A310,'SegEnds_NonXtal_BW#'!$A:$Z,21,FALSE)+VLOOKUP($A310,A:AL,31,FALSE)-50))</f>
        <v>334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359</v>
      </c>
      <c r="AG310" s="3">
        <f>IF(ISERROR(VLOOKUP($A310,'SegEnds_NonXtal_BW#'!$A:$Z,23,FALSE)+VLOOKUP($A310,A:AL,34,FALSE)-50),"-",(VLOOKUP($A310,'SegEnds_NonXtal_BW#'!$A:$Z,23,FALSE)+VLOOKUP($A310,A:AL,34,FALSE)-50))</f>
        <v>367</v>
      </c>
      <c r="AH310" s="3">
        <v>389</v>
      </c>
      <c r="AI310" s="3">
        <f>IF(ISERROR((VLOOKUP($A310,'SegEnds_NonXtal_BW#'!$A:$Z,24,FALSE)+VLOOKUP($A310,A:AL,34,FALSE)-50)),"-",(VLOOKUP($A310,'SegEnds_NonXtal_BW#'!$A:$Z,24,FALSE)+VLOOKUP($A310,A:AL,34,FALSE)-50))</f>
        <v>395</v>
      </c>
      <c r="AJ310" s="3">
        <f>IF(ISERROR(VLOOKUP($A310,'SegEnds_NonXtal_BW#'!$A:$Z,25,FALSE)+VLOOKUP($A310,A:AL,37,FALSE)-50),"-",(VLOOKUP($A310,'SegEnds_NonXtal_BW#'!$A:$Z,25,FALSE)+VLOOKUP($A310,A:AL,37,FALSE)-50))</f>
        <v>396</v>
      </c>
      <c r="AK310" s="3">
        <v>399</v>
      </c>
      <c r="AL310" s="3">
        <f>IF(ISERROR((VLOOKUP($A310,'SegEnds_NonXtal_BW#'!$A:$Z,26,FALSE)+VLOOKUP($A310,A:AL,37,FALSE)-50)),"-",(VLOOKUP($A310,'SegEnds_NonXtal_BW#'!$A:$Z,26,FALSE)+VLOOKUP($A310,A:AL,37,FALSE)-50))</f>
        <v>421</v>
      </c>
      <c r="AM310" s="28" t="str">
        <f>VLOOKUP(A310,Classification!A:B,2,FALSE)</f>
        <v>B1</v>
      </c>
      <c r="AN310" s="28" t="b">
        <f t="shared" si="211"/>
        <v>1</v>
      </c>
      <c r="AO310" s="3" t="str">
        <f>IF(ISERROR(MATCH(A310,'SegEnds_Xtal_Prot#'!B:B, 0)), "NoXtal", "Xtal")</f>
        <v>NoXtal</v>
      </c>
      <c r="AP310" s="3">
        <f t="shared" si="196"/>
        <v>1</v>
      </c>
      <c r="AQ310" s="3">
        <f t="shared" si="197"/>
        <v>1</v>
      </c>
      <c r="AR310" s="3" t="str">
        <f t="shared" si="198"/>
        <v>-</v>
      </c>
      <c r="AS310" s="3" t="str">
        <f t="shared" si="199"/>
        <v>-</v>
      </c>
      <c r="AT310" s="3" t="str">
        <f t="shared" si="200"/>
        <v>-</v>
      </c>
      <c r="AU310" s="3" t="str">
        <f t="shared" si="201"/>
        <v>-</v>
      </c>
      <c r="AV310" s="3">
        <f t="shared" si="202"/>
        <v>4</v>
      </c>
      <c r="AW310" s="3">
        <f t="shared" si="203"/>
        <v>8</v>
      </c>
      <c r="AX310" s="3">
        <f t="shared" si="204"/>
        <v>7</v>
      </c>
      <c r="AY310" s="3">
        <f t="shared" si="205"/>
        <v>8</v>
      </c>
      <c r="AZ310" s="3">
        <f t="shared" si="206"/>
        <v>1</v>
      </c>
      <c r="BA310" s="3">
        <f>IF(ISERROR(LEN(VLOOKUP(A310,Seqs!A:E,2,FALSE))-AL310),"-",LEN(VLOOKUP(A310,Seqs!A:E,2,FALSE))-AL310)</f>
        <v>45</v>
      </c>
      <c r="BB310" s="16">
        <f t="shared" si="207"/>
        <v>28</v>
      </c>
      <c r="BC310" s="9" t="str">
        <f t="shared" si="208"/>
        <v>-</v>
      </c>
      <c r="BD310" s="3">
        <f t="shared" si="209"/>
        <v>28</v>
      </c>
      <c r="BE310" s="3">
        <f t="shared" si="210"/>
        <v>50</v>
      </c>
    </row>
    <row r="311" spans="1:58" s="3" customFormat="1" x14ac:dyDescent="0.2">
      <c r="A311" s="3" t="s">
        <v>405</v>
      </c>
      <c r="B311" s="3" t="str">
        <f>LOWER(VLOOKUP(A311,Xtal_Templ!A:B,2,FALSE))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215"/>
        <v>170</v>
      </c>
      <c r="G311" s="3">
        <v>172</v>
      </c>
      <c r="H311" s="3">
        <f t="shared" si="221"/>
        <v>173</v>
      </c>
      <c r="I311" s="3">
        <f t="shared" si="221"/>
        <v>174</v>
      </c>
      <c r="J311" s="3">
        <v>187</v>
      </c>
      <c r="K311" s="3">
        <f>VLOOKUP($A311,'SegEnds_NonXtal_BW#'!$A:$Z,8,FALSE)+VLOOKUP($A311,A:AL,10,FALSE)-50</f>
        <v>201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224</v>
      </c>
      <c r="P311" s="3">
        <v>251</v>
      </c>
      <c r="Q311" s="3">
        <f>VLOOKUP($A311,'SegEnds_NonXtal_BW#'!$A:$Z,12,FALSE)+VLOOKUP($A311,A:AL,16,FALSE)-50</f>
        <v>257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262</v>
      </c>
      <c r="V311" s="3">
        <v>274</v>
      </c>
      <c r="W311" s="3">
        <f>IF(ISERROR(VLOOKUP($A311,'SegEnds_NonXtal_BW#'!$A:$Z,16,FALSE)+VLOOKUP($A311,A:AL,22,FALSE)-50),"-",(VLOOKUP($A311,'SegEnds_NonXtal_BW#'!$A:$Z,16,FALSE)+VLOOKUP($A311,A:AL,22,FALSE)-50))</f>
        <v>292</v>
      </c>
      <c r="X311" s="3">
        <f>IF(ISERROR(VLOOKUP($A311,'SegEnds_NonXtal_BW#'!$A:$Z,17,FALSE)+VLOOKUP($A311,A:AL,25,FALSE)-50),"-",(VLOOKUP($A311,'SegEnds_NonXtal_BW#'!$A:$Z,17,FALSE)+VLOOKUP($A311,A:AL,25,FALSE)-50))</f>
        <v>296</v>
      </c>
      <c r="Y311" s="3">
        <v>296</v>
      </c>
      <c r="Z311" s="3">
        <f t="shared" si="220"/>
        <v>298</v>
      </c>
      <c r="AA311" s="3">
        <f>IF(ISERROR(VLOOKUP($A311,'SegEnds_NonXtal_BW#'!$A:$Z,19,FALSE)+VLOOKUP($A311,A:AL,28,FALSE)-50),"-",(VLOOKUP($A311,'SegEnds_NonXtal_BW#'!$A:$Z,19,FALSE)+VLOOKUP($A311,A:AL,28,FALSE)-50))</f>
        <v>302</v>
      </c>
      <c r="AB311" s="3">
        <v>316</v>
      </c>
      <c r="AC311" s="3">
        <f>IF(ISERROR((VLOOKUP($A311,'SegEnds_NonXtal_BW#'!$A:$Z,20,FALSE)+VLOOKUP($A311,A:AL,28,FALSE)-50)),"-",(VLOOKUP($A311,'SegEnds_NonXtal_BW#'!$A:$Z,20,FALSE)+VLOOKUP($A311,A:AL,28,FALSE)-50))</f>
        <v>337</v>
      </c>
      <c r="AD311" s="3">
        <f>IF(ISERROR(VLOOKUP($A311,'SegEnds_NonXtal_BW#'!$A:$Z,21,FALSE)+VLOOKUP($A311,A:AL,31,FALSE)-50),"-",(VLOOKUP($A311,'SegEnds_NonXtal_BW#'!$A:$Z,21,FALSE)+VLOOKUP($A311,A:AL,31,FALSE)-50))</f>
        <v>344</v>
      </c>
      <c r="AE311" s="3">
        <v>366</v>
      </c>
      <c r="AF311" s="3">
        <f>IF(ISERROR((VLOOKUP($A311,'SegEnds_NonXtal_BW#'!$A:$Z,22,FALSE)+VLOOKUP($A311,A:AL,31,FALSE)-50)),"-",(VLOOKUP($A311,'SegEnds_NonXtal_BW#'!$A:$Z,22,FALSE)+VLOOKUP($A311,A:AL,31,FALSE)-50))</f>
        <v>369</v>
      </c>
      <c r="AG311" s="3">
        <f>IF(ISERROR(VLOOKUP($A311,'SegEnds_NonXtal_BW#'!$A:$Z,23,FALSE)+VLOOKUP($A311,A:AL,34,FALSE)-50),"-",(VLOOKUP($A311,'SegEnds_NonXtal_BW#'!$A:$Z,23,FALSE)+VLOOKUP($A311,A:AL,34,FALSE)-50))</f>
        <v>377</v>
      </c>
      <c r="AH311" s="3">
        <v>399</v>
      </c>
      <c r="AI311" s="3">
        <f>IF(ISERROR((VLOOKUP($A311,'SegEnds_NonXtal_BW#'!$A:$Z,24,FALSE)+VLOOKUP($A311,A:AL,34,FALSE)-50)),"-",(VLOOKUP($A311,'SegEnds_NonXtal_BW#'!$A:$Z,24,FALSE)+VLOOKUP($A311,A:AL,34,FALSE)-50))</f>
        <v>405</v>
      </c>
      <c r="AJ311" s="3">
        <f>IF(ISERROR(VLOOKUP($A311,'SegEnds_NonXtal_BW#'!$A:$Z,25,FALSE)+VLOOKUP($A311,A:AL,37,FALSE)-50),"-",(VLOOKUP($A311,'SegEnds_NonXtal_BW#'!$A:$Z,25,FALSE)+VLOOKUP($A311,A:AL,37,FALSE)-50))</f>
        <v>406</v>
      </c>
      <c r="AK311" s="3">
        <v>409</v>
      </c>
      <c r="AL311" s="3">
        <f>IF(ISERROR((VLOOKUP($A311,'SegEnds_NonXtal_BW#'!$A:$Z,26,FALSE)+VLOOKUP($A311,A:AL,37,FALSE)-50)),"-",(VLOOKUP($A311,'SegEnds_NonXtal_BW#'!$A:$Z,26,FALSE)+VLOOKUP($A311,A:AL,37,FALSE)-50))</f>
        <v>431</v>
      </c>
      <c r="AM311" s="28" t="str">
        <f>VLOOKUP(A311,Classification!A:B,2,FALSE)</f>
        <v>B1</v>
      </c>
      <c r="AN311" s="28" t="b">
        <f t="shared" si="211"/>
        <v>1</v>
      </c>
      <c r="AO311" s="3" t="str">
        <f>IF(ISERROR(MATCH(A311,'SegEnds_Xtal_Prot#'!B:B, 0)), "NoXtal", "Xtal")</f>
        <v>Xtal</v>
      </c>
      <c r="AP311" s="3">
        <f t="shared" si="196"/>
        <v>1</v>
      </c>
      <c r="AQ311" s="3">
        <f t="shared" si="197"/>
        <v>1</v>
      </c>
      <c r="AR311" s="3" t="str">
        <f t="shared" si="198"/>
        <v>-</v>
      </c>
      <c r="AS311" s="3" t="str">
        <f t="shared" si="199"/>
        <v>-</v>
      </c>
      <c r="AT311" s="3" t="str">
        <f t="shared" si="200"/>
        <v>-</v>
      </c>
      <c r="AU311" s="3" t="str">
        <f t="shared" si="201"/>
        <v>-</v>
      </c>
      <c r="AV311" s="3">
        <f t="shared" si="202"/>
        <v>4</v>
      </c>
      <c r="AW311" s="3">
        <f t="shared" si="203"/>
        <v>4</v>
      </c>
      <c r="AX311" s="3">
        <f t="shared" si="204"/>
        <v>7</v>
      </c>
      <c r="AY311" s="3">
        <f t="shared" si="205"/>
        <v>8</v>
      </c>
      <c r="AZ311" s="3">
        <f t="shared" si="206"/>
        <v>1</v>
      </c>
      <c r="BA311" s="3">
        <f>IF(ISERROR(LEN(VLOOKUP(A311,Seqs!A:E,2,FALSE))-AL311),"-",LEN(VLOOKUP(A311,Seqs!A:E,2,FALSE))-AL311)</f>
        <v>32</v>
      </c>
      <c r="BB311" s="16">
        <f t="shared" si="207"/>
        <v>28</v>
      </c>
      <c r="BC311" s="9" t="str">
        <f t="shared" si="208"/>
        <v>-</v>
      </c>
      <c r="BD311" s="3">
        <f t="shared" si="209"/>
        <v>28</v>
      </c>
      <c r="BE311" s="3">
        <f t="shared" si="210"/>
        <v>50</v>
      </c>
    </row>
    <row r="312" spans="1:58" s="3" customFormat="1" x14ac:dyDescent="0.2">
      <c r="A312" s="3" t="s">
        <v>406</v>
      </c>
      <c r="B312" s="3" t="str">
        <f>LOWER(VLOOKUP(A312,Xtal_Templ!A:B,2,FALSE))</f>
        <v>glr_human</v>
      </c>
      <c r="C312" s="3">
        <f>VLOOKUP($A312,'SegEnds_NonXtal_BW#'!$A:$Z,3,FALSE)+D312-50</f>
        <v>168</v>
      </c>
      <c r="D312" s="3">
        <v>193</v>
      </c>
      <c r="E312" s="3">
        <f>IF(ISERROR(VLOOKUP($A312,'SegEnds_NonXtal_BW#'!$A:$Z,4,FALSE)+VLOOKUP($A312,A:AL,4,FALSE)-50),"-",(VLOOKUP($A312,'SegEnds_NonXtal_BW#'!$A:$Z,4,FALSE)+VLOOKUP($A312,A:AL,4,FALSE)-50))</f>
        <v>203</v>
      </c>
      <c r="F312" s="3">
        <f t="shared" si="215"/>
        <v>204</v>
      </c>
      <c r="G312" s="3">
        <v>206</v>
      </c>
      <c r="H312" s="3">
        <f t="shared" si="221"/>
        <v>207</v>
      </c>
      <c r="I312" s="3">
        <f t="shared" si="221"/>
        <v>208</v>
      </c>
      <c r="J312" s="3">
        <v>221</v>
      </c>
      <c r="K312" s="3">
        <f>VLOOKUP($A312,'SegEnds_NonXtal_BW#'!$A:$Z,8,FALSE)+VLOOKUP($A312,A:AL,10,FALSE)-50</f>
        <v>235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258</v>
      </c>
      <c r="P312" s="3">
        <v>285</v>
      </c>
      <c r="Q312" s="3">
        <f>VLOOKUP($A312,'SegEnds_NonXtal_BW#'!$A:$Z,12,FALSE)+VLOOKUP($A312,A:AL,16,FALSE)-50</f>
        <v>291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298</v>
      </c>
      <c r="V312" s="3">
        <v>308</v>
      </c>
      <c r="W312" s="3">
        <f>IF(ISERROR(VLOOKUP($A312,'SegEnds_NonXtal_BW#'!$A:$Z,16,FALSE)+VLOOKUP($A312,A:AL,22,FALSE)-50),"-",(VLOOKUP($A312,'SegEnds_NonXtal_BW#'!$A:$Z,16,FALSE)+VLOOKUP($A312,A:AL,22,FALSE)-50))</f>
        <v>326</v>
      </c>
      <c r="X312" s="3">
        <f>IF(ISERROR(VLOOKUP($A312,'SegEnds_NonXtal_BW#'!$A:$Z,17,FALSE)+VLOOKUP($A312,A:AL,25,FALSE)-50),"-",(VLOOKUP($A312,'SegEnds_NonXtal_BW#'!$A:$Z,17,FALSE)+VLOOKUP($A312,A:AL,25,FALSE)-50))</f>
        <v>330</v>
      </c>
      <c r="Y312" s="3">
        <v>330</v>
      </c>
      <c r="Z312" s="3">
        <f t="shared" si="220"/>
        <v>332</v>
      </c>
      <c r="AA312" s="3">
        <f>IF(ISERROR(VLOOKUP($A312,'SegEnds_NonXtal_BW#'!$A:$Z,19,FALSE)+VLOOKUP($A312,A:AL,28,FALSE)-50),"-",(VLOOKUP($A312,'SegEnds_NonXtal_BW#'!$A:$Z,19,FALSE)+VLOOKUP($A312,A:AL,28,FALSE)-50))</f>
        <v>340</v>
      </c>
      <c r="AB312" s="3">
        <v>350</v>
      </c>
      <c r="AC312" s="3">
        <f>IF(ISERROR((VLOOKUP($A312,'SegEnds_NonXtal_BW#'!$A:$Z,20,FALSE)+VLOOKUP($A312,A:AL,28,FALSE)-50)),"-",(VLOOKUP($A312,'SegEnds_NonXtal_BW#'!$A:$Z,20,FALSE)+VLOOKUP($A312,A:AL,28,FALSE)-50))</f>
        <v>371</v>
      </c>
      <c r="AD312" s="3">
        <f>IF(ISERROR(VLOOKUP($A312,'SegEnds_NonXtal_BW#'!$A:$Z,21,FALSE)+VLOOKUP($A312,A:AL,31,FALSE)-50),"-",(VLOOKUP($A312,'SegEnds_NonXtal_BW#'!$A:$Z,21,FALSE)+VLOOKUP($A312,A:AL,31,FALSE)-50))</f>
        <v>378</v>
      </c>
      <c r="AE312" s="3">
        <v>400</v>
      </c>
      <c r="AF312" s="3">
        <f>IF(ISERROR((VLOOKUP($A312,'SegEnds_NonXtal_BW#'!$A:$Z,22,FALSE)+VLOOKUP($A312,A:AL,31,FALSE)-50)),"-",(VLOOKUP($A312,'SegEnds_NonXtal_BW#'!$A:$Z,22,FALSE)+VLOOKUP($A312,A:AL,31,FALSE)-50))</f>
        <v>403</v>
      </c>
      <c r="AG312" s="3">
        <f>IF(ISERROR(VLOOKUP($A312,'SegEnds_NonXtal_BW#'!$A:$Z,23,FALSE)+VLOOKUP($A312,A:AL,34,FALSE)-50),"-",(VLOOKUP($A312,'SegEnds_NonXtal_BW#'!$A:$Z,23,FALSE)+VLOOKUP($A312,A:AL,34,FALSE)-50))</f>
        <v>411</v>
      </c>
      <c r="AH312" s="3">
        <v>433</v>
      </c>
      <c r="AI312" s="3">
        <f>IF(ISERROR((VLOOKUP($A312,'SegEnds_NonXtal_BW#'!$A:$Z,24,FALSE)+VLOOKUP($A312,A:AL,34,FALSE)-50)),"-",(VLOOKUP($A312,'SegEnds_NonXtal_BW#'!$A:$Z,24,FALSE)+VLOOKUP($A312,A:AL,34,FALSE)-50))</f>
        <v>439</v>
      </c>
      <c r="AJ312" s="3">
        <f>IF(ISERROR(VLOOKUP($A312,'SegEnds_NonXtal_BW#'!$A:$Z,25,FALSE)+VLOOKUP($A312,A:AL,37,FALSE)-50),"-",(VLOOKUP($A312,'SegEnds_NonXtal_BW#'!$A:$Z,25,FALSE)+VLOOKUP($A312,A:AL,37,FALSE)-50))</f>
        <v>440</v>
      </c>
      <c r="AK312" s="3">
        <v>443</v>
      </c>
      <c r="AL312" s="3">
        <f>IF(ISERROR((VLOOKUP($A312,'SegEnds_NonXtal_BW#'!$A:$Z,26,FALSE)+VLOOKUP($A312,A:AL,37,FALSE)-50)),"-",(VLOOKUP($A312,'SegEnds_NonXtal_BW#'!$A:$Z,26,FALSE)+VLOOKUP($A312,A:AL,37,FALSE)-50))</f>
        <v>465</v>
      </c>
      <c r="AM312" s="28" t="str">
        <f>VLOOKUP(A312,Classification!A:B,2,FALSE)</f>
        <v>B1</v>
      </c>
      <c r="AN312" s="28" t="b">
        <f t="shared" si="211"/>
        <v>1</v>
      </c>
      <c r="AO312" s="3" t="str">
        <f>IF(ISERROR(MATCH(A312,'SegEnds_Xtal_Prot#'!B:B, 0)), "NoXtal", "Xtal")</f>
        <v>NoXtal</v>
      </c>
      <c r="AP312" s="3">
        <f t="shared" si="196"/>
        <v>1</v>
      </c>
      <c r="AQ312" s="3">
        <f t="shared" si="197"/>
        <v>1</v>
      </c>
      <c r="AR312" s="3" t="str">
        <f t="shared" si="198"/>
        <v>-</v>
      </c>
      <c r="AS312" s="3" t="str">
        <f t="shared" si="199"/>
        <v>-</v>
      </c>
      <c r="AT312" s="3" t="str">
        <f t="shared" si="200"/>
        <v>-</v>
      </c>
      <c r="AU312" s="3" t="str">
        <f t="shared" si="201"/>
        <v>-</v>
      </c>
      <c r="AV312" s="3">
        <f t="shared" si="202"/>
        <v>4</v>
      </c>
      <c r="AW312" s="3">
        <f t="shared" si="203"/>
        <v>8</v>
      </c>
      <c r="AX312" s="3">
        <f t="shared" si="204"/>
        <v>7</v>
      </c>
      <c r="AY312" s="3">
        <f t="shared" si="205"/>
        <v>8</v>
      </c>
      <c r="AZ312" s="3">
        <f t="shared" si="206"/>
        <v>1</v>
      </c>
      <c r="BA312" s="3">
        <f>IF(ISERROR(LEN(VLOOKUP(A312,Seqs!A:E,2,FALSE))-AL312),"-",LEN(VLOOKUP(A312,Seqs!A:E,2,FALSE))-AL312)</f>
        <v>88</v>
      </c>
      <c r="BB312" s="16">
        <f t="shared" si="207"/>
        <v>28</v>
      </c>
      <c r="BC312" s="9" t="str">
        <f t="shared" si="208"/>
        <v>-</v>
      </c>
      <c r="BD312" s="3">
        <f t="shared" si="209"/>
        <v>28</v>
      </c>
      <c r="BE312" s="3">
        <f t="shared" si="210"/>
        <v>50</v>
      </c>
    </row>
    <row r="313" spans="1:58" s="3" customFormat="1" x14ac:dyDescent="0.2">
      <c r="A313" s="3" t="s">
        <v>32</v>
      </c>
      <c r="B313" s="3" t="str">
        <f>LOWER(VLOOKUP(A313,Xtal_Templ!A:B,2,FALSE))</f>
        <v>glr_human</v>
      </c>
      <c r="C313" s="3">
        <f>VLOOKUP($A313,'SegEnds_NonXtal_BW#'!$A:$Z,3,FALSE)+D313-50</f>
        <v>131</v>
      </c>
      <c r="D313" s="3">
        <v>156</v>
      </c>
      <c r="E313" s="3">
        <f>IF(ISERROR(VLOOKUP($A313,'SegEnds_NonXtal_BW#'!$A:$Z,4,FALSE)+VLOOKUP($A313,A:AL,4,FALSE)-50),"-",(VLOOKUP($A313,'SegEnds_NonXtal_BW#'!$A:$Z,4,FALSE)+VLOOKUP($A313,A:AL,4,FALSE)-50))</f>
        <v>166</v>
      </c>
      <c r="F313" s="3">
        <f t="shared" si="215"/>
        <v>167</v>
      </c>
      <c r="G313" s="3">
        <v>169</v>
      </c>
      <c r="H313" s="3">
        <f t="shared" si="221"/>
        <v>170</v>
      </c>
      <c r="I313" s="3">
        <f t="shared" si="221"/>
        <v>171</v>
      </c>
      <c r="J313" s="3">
        <v>184</v>
      </c>
      <c r="K313" s="3">
        <f>VLOOKUP($A313,'SegEnds_NonXtal_BW#'!$A:$Z,8,FALSE)+VLOOKUP($A313,A:AL,10,FALSE)-50</f>
        <v>203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220</v>
      </c>
      <c r="P313" s="3">
        <v>249</v>
      </c>
      <c r="Q313" s="3">
        <f>VLOOKUP($A313,'SegEnds_NonXtal_BW#'!$A:$Z,12,FALSE)+VLOOKUP($A313,A:AL,16,FALSE)-50</f>
        <v>255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262</v>
      </c>
      <c r="V313" s="3">
        <v>272</v>
      </c>
      <c r="W313" s="3">
        <f>IF(ISERROR(VLOOKUP($A313,'SegEnds_NonXtal_BW#'!$A:$Z,16,FALSE)+VLOOKUP($A313,A:AL,22,FALSE)-50),"-",(VLOOKUP($A313,'SegEnds_NonXtal_BW#'!$A:$Z,16,FALSE)+VLOOKUP($A313,A:AL,22,FALSE)-50))</f>
        <v>290</v>
      </c>
      <c r="X313" s="3">
        <f>IF(ISERROR(VLOOKUP($A313,'SegEnds_NonXtal_BW#'!$A:$Z,17,FALSE)+VLOOKUP($A313,A:AL,25,FALSE)-50),"-",(VLOOKUP($A313,'SegEnds_NonXtal_BW#'!$A:$Z,17,FALSE)+VLOOKUP($A313,A:AL,25,FALSE)-50))</f>
        <v>294</v>
      </c>
      <c r="Y313" s="3">
        <v>294</v>
      </c>
      <c r="Z313" s="3">
        <f t="shared" si="220"/>
        <v>296</v>
      </c>
      <c r="AA313" s="3">
        <f>IF(ISERROR(VLOOKUP($A313,'SegEnds_NonXtal_BW#'!$A:$Z,19,FALSE)+VLOOKUP($A313,A:AL,28,FALSE)-50),"-",(VLOOKUP($A313,'SegEnds_NonXtal_BW#'!$A:$Z,19,FALSE)+VLOOKUP($A313,A:AL,28,FALSE)-50))</f>
        <v>304</v>
      </c>
      <c r="AB313" s="3">
        <v>314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342</v>
      </c>
      <c r="AE313" s="3">
        <v>364</v>
      </c>
      <c r="AF313" s="3">
        <f>IF(ISERROR((VLOOKUP($A313,'SegEnds_NonXtal_BW#'!$A:$Z,22,FALSE)+VLOOKUP($A313,A:AL,31,FALSE)-50)),"-",(VLOOKUP($A313,'SegEnds_NonXtal_BW#'!$A:$Z,22,FALSE)+VLOOKUP($A313,A:AL,31,FALSE)-50))</f>
        <v>367</v>
      </c>
      <c r="AG313" s="3">
        <f>IF(ISERROR(VLOOKUP($A313,'SegEnds_NonXtal_BW#'!$A:$Z,23,FALSE)+VLOOKUP($A313,A:AL,34,FALSE)-50),"-",(VLOOKUP($A313,'SegEnds_NonXtal_BW#'!$A:$Z,23,FALSE)+VLOOKUP($A313,A:AL,34,FALSE)-50))</f>
        <v>374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211"/>
        <v>1</v>
      </c>
      <c r="AO313" s="3" t="str">
        <f>IF(ISERROR(MATCH(A313,'SegEnds_Xtal_Prot#'!B:B, 0)), "NoXtal", "Xtal")</f>
        <v>Xtal</v>
      </c>
      <c r="AP313" s="3">
        <f t="shared" si="196"/>
        <v>1</v>
      </c>
      <c r="AQ313" s="3">
        <f t="shared" si="197"/>
        <v>1</v>
      </c>
      <c r="AR313" s="3" t="str">
        <f t="shared" si="198"/>
        <v>-</v>
      </c>
      <c r="AS313" s="3" t="str">
        <f t="shared" si="199"/>
        <v>-</v>
      </c>
      <c r="AT313" s="3" t="str">
        <f t="shared" si="200"/>
        <v>-</v>
      </c>
      <c r="AU313" s="3" t="str">
        <f t="shared" si="201"/>
        <v>-</v>
      </c>
      <c r="AV313" s="3">
        <f t="shared" si="202"/>
        <v>4</v>
      </c>
      <c r="AW313" s="3">
        <f t="shared" si="203"/>
        <v>8</v>
      </c>
      <c r="AX313" s="3">
        <f t="shared" si="204"/>
        <v>7</v>
      </c>
      <c r="AY313" s="3">
        <f t="shared" si="205"/>
        <v>7</v>
      </c>
      <c r="AZ313" s="3">
        <f t="shared" si="206"/>
        <v>1</v>
      </c>
      <c r="BA313" s="3">
        <f>IF(ISERROR(LEN(VLOOKUP(A313,Seqs!A:E,2,FALSE))-AL313),"-",LEN(VLOOKUP(A313,Seqs!A:E,2,FALSE))-AL313)</f>
        <v>48</v>
      </c>
      <c r="BB313" s="16">
        <f t="shared" si="207"/>
        <v>28</v>
      </c>
      <c r="BC313" s="9" t="str">
        <f t="shared" si="208"/>
        <v>-</v>
      </c>
      <c r="BD313" s="3">
        <f t="shared" si="209"/>
        <v>28</v>
      </c>
      <c r="BE313" s="3">
        <f t="shared" si="210"/>
        <v>50</v>
      </c>
    </row>
    <row r="314" spans="1:58" s="3" customFormat="1" x14ac:dyDescent="0.2">
      <c r="A314" s="3" t="s">
        <v>407</v>
      </c>
      <c r="B314" s="3" t="str">
        <f>LOWER(VLOOKUP(A314,Xtal_Templ!A:B,2,FALSE))</f>
        <v>pacr_human</v>
      </c>
      <c r="C314" s="3">
        <f>VLOOKUP($A314,'SegEnds_NonXtal_BW#'!$A:$Z,3,FALSE)+D314-50</f>
        <v>139</v>
      </c>
      <c r="D314" s="3">
        <v>168</v>
      </c>
      <c r="E314" s="3">
        <f>IF(ISERROR(VLOOKUP($A314,'SegEnds_NonXtal_BW#'!$A:$Z,4,FALSE)+VLOOKUP($A314,A:AL,4,FALSE)-50),"-",(VLOOKUP($A314,'SegEnds_NonXtal_BW#'!$A:$Z,4,FALSE)+VLOOKUP($A314,A:AL,4,FALSE)-50))</f>
        <v>178</v>
      </c>
      <c r="F314" s="3">
        <f t="shared" si="215"/>
        <v>179</v>
      </c>
      <c r="G314" s="3">
        <v>181</v>
      </c>
      <c r="H314" s="3">
        <f t="shared" si="221"/>
        <v>182</v>
      </c>
      <c r="I314" s="3">
        <f t="shared" si="221"/>
        <v>183</v>
      </c>
      <c r="J314" s="3">
        <v>196</v>
      </c>
      <c r="K314" s="3">
        <f>VLOOKUP($A314,'SegEnds_NonXtal_BW#'!$A:$Z,8,FALSE)+VLOOKUP($A314,A:AL,10,FALSE)-50</f>
        <v>210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223</v>
      </c>
      <c r="P314" s="3">
        <v>251</v>
      </c>
      <c r="Q314" s="3">
        <f>VLOOKUP($A314,'SegEnds_NonXtal_BW#'!$A:$Z,12,FALSE)+VLOOKUP($A314,A:AL,16,FALSE)-50</f>
        <v>257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264</v>
      </c>
      <c r="V314" s="3">
        <v>274</v>
      </c>
      <c r="W314" s="3">
        <f>IF(ISERROR(VLOOKUP($A314,'SegEnds_NonXtal_BW#'!$A:$Z,16,FALSE)+VLOOKUP($A314,A:AL,22,FALSE)-50),"-",(VLOOKUP($A314,'SegEnds_NonXtal_BW#'!$A:$Z,16,FALSE)+VLOOKUP($A314,A:AL,22,FALSE)-50))</f>
        <v>292</v>
      </c>
      <c r="X314" s="3">
        <f>IF(ISERROR(VLOOKUP($A314,'SegEnds_NonXtal_BW#'!$A:$Z,17,FALSE)+VLOOKUP($A314,A:AL,25,FALSE)-50),"-",(VLOOKUP($A314,'SegEnds_NonXtal_BW#'!$A:$Z,17,FALSE)+VLOOKUP($A314,A:AL,25,FALSE)-50))</f>
        <v>296</v>
      </c>
      <c r="Y314" s="3">
        <v>296</v>
      </c>
      <c r="Z314" s="3">
        <f t="shared" si="220"/>
        <v>298</v>
      </c>
      <c r="AA314" s="3">
        <f>IF(ISERROR(VLOOKUP($A314,'SegEnds_NonXtal_BW#'!$A:$Z,19,FALSE)+VLOOKUP($A314,A:AL,28,FALSE)-50),"-",(VLOOKUP($A314,'SegEnds_NonXtal_BW#'!$A:$Z,19,FALSE)+VLOOKUP($A314,A:AL,28,FALSE)-50))</f>
        <v>302</v>
      </c>
      <c r="AB314" s="3">
        <v>316</v>
      </c>
      <c r="AC314" s="3">
        <f>IF(ISERROR((VLOOKUP($A314,'SegEnds_NonXtal_BW#'!$A:$Z,20,FALSE)+VLOOKUP($A314,A:AL,28,FALSE)-50)),"-",(VLOOKUP($A314,'SegEnds_NonXtal_BW#'!$A:$Z,20,FALSE)+VLOOKUP($A314,A:AL,28,FALSE)-50))</f>
        <v>335</v>
      </c>
      <c r="AD314" s="3">
        <f>IF(ISERROR(VLOOKUP($A314,'SegEnds_NonXtal_BW#'!$A:$Z,21,FALSE)+VLOOKUP($A314,A:AL,31,FALSE)-50),"-",(VLOOKUP($A314,'SegEnds_NonXtal_BW#'!$A:$Z,21,FALSE)+VLOOKUP($A314,A:AL,31,FALSE)-50))</f>
        <v>343</v>
      </c>
      <c r="AE314" s="3">
        <v>368</v>
      </c>
      <c r="AF314" s="3">
        <f>IF(ISERROR((VLOOKUP($A314,'SegEnds_NonXtal_BW#'!$A:$Z,22,FALSE)+VLOOKUP($A314,A:AL,31,FALSE)-50)),"-",(VLOOKUP($A314,'SegEnds_NonXtal_BW#'!$A:$Z,22,FALSE)+VLOOKUP($A314,A:AL,31,FALSE)-50))</f>
        <v>372</v>
      </c>
      <c r="AG314" s="3">
        <f>IF(ISERROR(VLOOKUP($A314,'SegEnds_NonXtal_BW#'!$A:$Z,23,FALSE)+VLOOKUP($A314,A:AL,34,FALSE)-50),"-",(VLOOKUP($A314,'SegEnds_NonXtal_BW#'!$A:$Z,23,FALSE)+VLOOKUP($A314,A:AL,34,FALSE)-50))</f>
        <v>378</v>
      </c>
      <c r="AH314" s="3">
        <v>397</v>
      </c>
      <c r="AI314" s="3">
        <f>IF(ISERROR((VLOOKUP($A314,'SegEnds_NonXtal_BW#'!$A:$Z,24,FALSE)+VLOOKUP($A314,A:AL,34,FALSE)-50)),"-",(VLOOKUP($A314,'SegEnds_NonXtal_BW#'!$A:$Z,24,FALSE)+VLOOKUP($A314,A:AL,34,FALSE)-50))</f>
        <v>403</v>
      </c>
      <c r="AJ314" s="3">
        <f>IF(ISERROR(VLOOKUP($A314,'SegEnds_NonXtal_BW#'!$A:$Z,25,FALSE)+VLOOKUP($A314,A:AL,37,FALSE)-50),"-",(VLOOKUP($A314,'SegEnds_NonXtal_BW#'!$A:$Z,25,FALSE)+VLOOKUP($A314,A:AL,37,FALSE)-50))</f>
        <v>404</v>
      </c>
      <c r="AK314" s="3">
        <v>407</v>
      </c>
      <c r="AL314" s="3">
        <f>IF(ISERROR((VLOOKUP($A314,'SegEnds_NonXtal_BW#'!$A:$Z,26,FALSE)+VLOOKUP($A314,A:AL,37,FALSE)-50)),"-",(VLOOKUP($A314,'SegEnds_NonXtal_BW#'!$A:$Z,26,FALSE)+VLOOKUP($A314,A:AL,37,FALSE)-50))</f>
        <v>429</v>
      </c>
      <c r="AM314" s="28" t="str">
        <f>VLOOKUP(A314,Classification!A:B,2,FALSE)</f>
        <v>B1</v>
      </c>
      <c r="AN314" s="28" t="b">
        <f t="shared" si="211"/>
        <v>1</v>
      </c>
      <c r="AO314" s="3" t="str">
        <f>IF(ISERROR(MATCH(A314,'SegEnds_Xtal_Prot#'!B:B, 0)), "NoXtal", "Xtal")</f>
        <v>Xtal</v>
      </c>
      <c r="AP314" s="3">
        <f t="shared" si="196"/>
        <v>1</v>
      </c>
      <c r="AQ314" s="3">
        <f t="shared" si="197"/>
        <v>1</v>
      </c>
      <c r="AR314" s="3" t="str">
        <f t="shared" si="198"/>
        <v>-</v>
      </c>
      <c r="AS314" s="3" t="str">
        <f t="shared" si="199"/>
        <v>-</v>
      </c>
      <c r="AT314" s="3" t="str">
        <f t="shared" si="200"/>
        <v>-</v>
      </c>
      <c r="AU314" s="3" t="str">
        <f t="shared" si="201"/>
        <v>-</v>
      </c>
      <c r="AV314" s="3">
        <f t="shared" si="202"/>
        <v>4</v>
      </c>
      <c r="AW314" s="3">
        <f t="shared" si="203"/>
        <v>4</v>
      </c>
      <c r="AX314" s="3">
        <f t="shared" si="204"/>
        <v>8</v>
      </c>
      <c r="AY314" s="3">
        <f t="shared" si="205"/>
        <v>6</v>
      </c>
      <c r="AZ314" s="3">
        <f t="shared" si="206"/>
        <v>1</v>
      </c>
      <c r="BA314" s="3">
        <f>IF(ISERROR(LEN(VLOOKUP(A314,Seqs!A:E,2,FALSE))-AL314),"-",LEN(VLOOKUP(A314,Seqs!A:E,2,FALSE))-AL314)</f>
        <v>39</v>
      </c>
      <c r="BB314" s="16">
        <f t="shared" si="207"/>
        <v>28</v>
      </c>
      <c r="BC314" s="9" t="str">
        <f t="shared" si="208"/>
        <v>-</v>
      </c>
      <c r="BD314" s="3">
        <f t="shared" si="209"/>
        <v>28</v>
      </c>
      <c r="BE314" s="3">
        <f t="shared" si="210"/>
        <v>52</v>
      </c>
    </row>
    <row r="315" spans="1:58" s="3" customFormat="1" x14ac:dyDescent="0.2">
      <c r="A315" s="3" t="s">
        <v>408</v>
      </c>
      <c r="B315" s="3" t="str">
        <f>LOWER(VLOOKUP(A315,Xtal_Templ!A:B,2,FALSE))</f>
        <v>pth1r_human</v>
      </c>
      <c r="C315" s="3">
        <f>VLOOKUP($A315,'SegEnds_NonXtal_BW#'!$A:$Z,3,FALSE)+D315-50</f>
        <v>173</v>
      </c>
      <c r="D315" s="3">
        <v>202</v>
      </c>
      <c r="E315" s="3">
        <f>IF(ISERROR(VLOOKUP($A315,'SegEnds_NonXtal_BW#'!$A:$Z,4,FALSE)+VLOOKUP($A315,A:AL,4,FALSE)-50),"-",(VLOOKUP($A315,'SegEnds_NonXtal_BW#'!$A:$Z,4,FALSE)+VLOOKUP($A315,A:AL,4,FALSE)-50))</f>
        <v>212</v>
      </c>
      <c r="F315" s="3">
        <f t="shared" si="215"/>
        <v>213</v>
      </c>
      <c r="G315" s="3">
        <v>215</v>
      </c>
      <c r="H315" s="3">
        <f t="shared" si="221"/>
        <v>216</v>
      </c>
      <c r="I315" s="3">
        <f t="shared" si="221"/>
        <v>217</v>
      </c>
      <c r="J315" s="3">
        <v>230</v>
      </c>
      <c r="K315" s="3">
        <f>VLOOKUP($A315,'SegEnds_NonXtal_BW#'!$A:$Z,8,FALSE)+VLOOKUP($A315,A:AL,10,FALSE)-50</f>
        <v>249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277</v>
      </c>
      <c r="P315" s="3">
        <v>306</v>
      </c>
      <c r="Q315" s="3">
        <f>VLOOKUP($A315,'SegEnds_NonXtal_BW#'!$A:$Z,12,FALSE)+VLOOKUP($A315,A:AL,16,FALSE)-50</f>
        <v>312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316</v>
      </c>
      <c r="V315" s="3">
        <v>329</v>
      </c>
      <c r="W315" s="3">
        <f>IF(ISERROR(VLOOKUP($A315,'SegEnds_NonXtal_BW#'!$A:$Z,16,FALSE)+VLOOKUP($A315,A:AL,22,FALSE)-50),"-",(VLOOKUP($A315,'SegEnds_NonXtal_BW#'!$A:$Z,16,FALSE)+VLOOKUP($A315,A:AL,22,FALSE)-50))</f>
        <v>347</v>
      </c>
      <c r="X315" s="3">
        <f>IF(ISERROR(VLOOKUP($A315,'SegEnds_NonXtal_BW#'!$A:$Z,17,FALSE)+VLOOKUP($A315,A:AL,25,FALSE)-50),"-",(VLOOKUP($A315,'SegEnds_NonXtal_BW#'!$A:$Z,17,FALSE)+VLOOKUP($A315,A:AL,25,FALSE)-50))</f>
        <v>351</v>
      </c>
      <c r="Y315" s="3">
        <v>351</v>
      </c>
      <c r="Z315" s="3">
        <f t="shared" si="220"/>
        <v>353</v>
      </c>
      <c r="AA315" s="3">
        <f>IF(ISERROR(VLOOKUP($A315,'SegEnds_NonXtal_BW#'!$A:$Z,19,FALSE)+VLOOKUP($A315,A:AL,28,FALSE)-50),"-",(VLOOKUP($A315,'SegEnds_NonXtal_BW#'!$A:$Z,19,FALSE)+VLOOKUP($A315,A:AL,28,FALSE)-50))</f>
        <v>357</v>
      </c>
      <c r="AB315" s="3">
        <v>370</v>
      </c>
      <c r="AC315" s="3">
        <f>IF(ISERROR((VLOOKUP($A315,'SegEnds_NonXtal_BW#'!$A:$Z,20,FALSE)+VLOOKUP($A315,A:AL,28,FALSE)-50)),"-",(VLOOKUP($A315,'SegEnds_NonXtal_BW#'!$A:$Z,20,FALSE)+VLOOKUP($A315,A:AL,28,FALSE)-50))</f>
        <v>389</v>
      </c>
      <c r="AD315" s="3">
        <f>IF(ISERROR(VLOOKUP($A315,'SegEnds_NonXtal_BW#'!$A:$Z,21,FALSE)+VLOOKUP($A315,A:AL,31,FALSE)-50),"-",(VLOOKUP($A315,'SegEnds_NonXtal_BW#'!$A:$Z,21,FALSE)+VLOOKUP($A315,A:AL,31,FALSE)-50))</f>
        <v>398</v>
      </c>
      <c r="AE315" s="3">
        <v>423</v>
      </c>
      <c r="AF315" s="3">
        <f>IF(ISERROR((VLOOKUP($A315,'SegEnds_NonXtal_BW#'!$A:$Z,22,FALSE)+VLOOKUP($A315,A:AL,31,FALSE)-50)),"-",(VLOOKUP($A315,'SegEnds_NonXtal_BW#'!$A:$Z,22,FALSE)+VLOOKUP($A315,A:AL,31,FALSE)-50))</f>
        <v>427</v>
      </c>
      <c r="AG315" s="3">
        <f>IF(ISERROR(VLOOKUP($A315,'SegEnds_NonXtal_BW#'!$A:$Z,23,FALSE)+VLOOKUP($A315,A:AL,34,FALSE)-50),"-",(VLOOKUP($A315,'SegEnds_NonXtal_BW#'!$A:$Z,23,FALSE)+VLOOKUP($A315,A:AL,34,FALSE)-50))</f>
        <v>434</v>
      </c>
      <c r="AH315" s="3">
        <v>456</v>
      </c>
      <c r="AI315" s="3">
        <f>IF(ISERROR((VLOOKUP($A315,'SegEnds_NonXtal_BW#'!$A:$Z,24,FALSE)+VLOOKUP($A315,A:AL,34,FALSE)-50)),"-",(VLOOKUP($A315,'SegEnds_NonXtal_BW#'!$A:$Z,24,FALSE)+VLOOKUP($A315,A:AL,34,FALSE)-50))</f>
        <v>462</v>
      </c>
      <c r="AJ315" s="3">
        <f>IF(ISERROR(VLOOKUP($A315,'SegEnds_NonXtal_BW#'!$A:$Z,25,FALSE)+VLOOKUP($A315,A:AL,37,FALSE)-50),"-",(VLOOKUP($A315,'SegEnds_NonXtal_BW#'!$A:$Z,25,FALSE)+VLOOKUP($A315,A:AL,37,FALSE)-50))</f>
        <v>463</v>
      </c>
      <c r="AK315" s="3">
        <v>466</v>
      </c>
      <c r="AL315" s="3">
        <f>IF(ISERROR((VLOOKUP($A315,'SegEnds_NonXtal_BW#'!$A:$Z,26,FALSE)+VLOOKUP($A315,A:AL,37,FALSE)-50)),"-",(VLOOKUP($A315,'SegEnds_NonXtal_BW#'!$A:$Z,26,FALSE)+VLOOKUP($A315,A:AL,37,FALSE)-50))</f>
        <v>488</v>
      </c>
      <c r="AM315" s="28" t="str">
        <f>VLOOKUP(A315,Classification!A:B,2,FALSE)</f>
        <v>B1</v>
      </c>
      <c r="AN315" s="28" t="b">
        <f t="shared" si="211"/>
        <v>1</v>
      </c>
      <c r="AO315" s="3" t="str">
        <f>IF(ISERROR(MATCH(A315,'SegEnds_Xtal_Prot#'!B:B, 0)), "NoXtal", "Xtal")</f>
        <v>Xtal</v>
      </c>
      <c r="AP315" s="3">
        <f t="shared" si="196"/>
        <v>1</v>
      </c>
      <c r="AQ315" s="3">
        <f t="shared" si="197"/>
        <v>1</v>
      </c>
      <c r="AR315" s="3" t="str">
        <f t="shared" si="198"/>
        <v>-</v>
      </c>
      <c r="AS315" s="3" t="str">
        <f t="shared" si="199"/>
        <v>-</v>
      </c>
      <c r="AT315" s="3" t="str">
        <f t="shared" si="200"/>
        <v>-</v>
      </c>
      <c r="AU315" s="3" t="str">
        <f t="shared" si="201"/>
        <v>-</v>
      </c>
      <c r="AV315" s="3">
        <f t="shared" si="202"/>
        <v>4</v>
      </c>
      <c r="AW315" s="3">
        <f t="shared" si="203"/>
        <v>4</v>
      </c>
      <c r="AX315" s="3">
        <f t="shared" si="204"/>
        <v>9</v>
      </c>
      <c r="AY315" s="3">
        <f t="shared" si="205"/>
        <v>7</v>
      </c>
      <c r="AZ315" s="3">
        <f t="shared" si="206"/>
        <v>1</v>
      </c>
      <c r="BA315" s="3">
        <f>IF(ISERROR(LEN(VLOOKUP(A315,Seqs!A:E,2,FALSE))-AL315),"-",LEN(VLOOKUP(A315,Seqs!A:E,2,FALSE))-AL315)</f>
        <v>105</v>
      </c>
      <c r="BB315" s="16">
        <f t="shared" si="207"/>
        <v>28</v>
      </c>
      <c r="BC315" s="9" t="str">
        <f t="shared" si="208"/>
        <v>-</v>
      </c>
      <c r="BD315" s="3">
        <f t="shared" si="209"/>
        <v>28</v>
      </c>
      <c r="BE315" s="3">
        <f t="shared" si="210"/>
        <v>53</v>
      </c>
    </row>
    <row r="316" spans="1:58" s="3" customFormat="1" x14ac:dyDescent="0.2">
      <c r="A316" s="3" t="s">
        <v>409</v>
      </c>
      <c r="B316" s="3" t="str">
        <f>LOWER(VLOOKUP(A316,Xtal_Templ!A:B,2,FALSE))</f>
        <v>pth1r_human</v>
      </c>
      <c r="C316" s="3">
        <f>VLOOKUP($A316,'SegEnds_NonXtal_BW#'!$A:$Z,3,FALSE)+D316-50</f>
        <v>130</v>
      </c>
      <c r="D316" s="3">
        <v>159</v>
      </c>
      <c r="E316" s="3">
        <f>IF(ISERROR(VLOOKUP($A316,'SegEnds_NonXtal_BW#'!$A:$Z,4,FALSE)+VLOOKUP($A316,A:AL,4,FALSE)-50),"-",(VLOOKUP($A316,'SegEnds_NonXtal_BW#'!$A:$Z,4,FALSE)+VLOOKUP($A316,A:AL,4,FALSE)-50))</f>
        <v>169</v>
      </c>
      <c r="F316" s="3">
        <f t="shared" si="215"/>
        <v>170</v>
      </c>
      <c r="G316" s="3">
        <v>172</v>
      </c>
      <c r="H316" s="3">
        <f t="shared" si="221"/>
        <v>173</v>
      </c>
      <c r="I316" s="3">
        <f t="shared" si="221"/>
        <v>174</v>
      </c>
      <c r="J316" s="3">
        <v>187</v>
      </c>
      <c r="K316" s="3">
        <f>VLOOKUP($A316,'SegEnds_NonXtal_BW#'!$A:$Z,8,FALSE)+VLOOKUP($A316,A:AL,10,FALSE)-50</f>
        <v>206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232</v>
      </c>
      <c r="P316" s="3">
        <v>261</v>
      </c>
      <c r="Q316" s="3">
        <f>VLOOKUP($A316,'SegEnds_NonXtal_BW#'!$A:$Z,12,FALSE)+VLOOKUP($A316,A:AL,16,FALSE)-50</f>
        <v>267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271</v>
      </c>
      <c r="V316" s="3">
        <v>284</v>
      </c>
      <c r="W316" s="3">
        <f>IF(ISERROR(VLOOKUP($A316,'SegEnds_NonXtal_BW#'!$A:$Z,16,FALSE)+VLOOKUP($A316,A:AL,22,FALSE)-50),"-",(VLOOKUP($A316,'SegEnds_NonXtal_BW#'!$A:$Z,16,FALSE)+VLOOKUP($A316,A:AL,22,FALSE)-50))</f>
        <v>302</v>
      </c>
      <c r="X316" s="3">
        <f>IF(ISERROR(VLOOKUP($A316,'SegEnds_NonXtal_BW#'!$A:$Z,17,FALSE)+VLOOKUP($A316,A:AL,25,FALSE)-50),"-",(VLOOKUP($A316,'SegEnds_NonXtal_BW#'!$A:$Z,17,FALSE)+VLOOKUP($A316,A:AL,25,FALSE)-50))</f>
        <v>306</v>
      </c>
      <c r="Y316" s="3">
        <v>306</v>
      </c>
      <c r="Z316" s="3">
        <f t="shared" si="220"/>
        <v>308</v>
      </c>
      <c r="AA316" s="3">
        <f>IF(ISERROR(VLOOKUP($A316,'SegEnds_NonXtal_BW#'!$A:$Z,19,FALSE)+VLOOKUP($A316,A:AL,28,FALSE)-50),"-",(VLOOKUP($A316,'SegEnds_NonXtal_BW#'!$A:$Z,19,FALSE)+VLOOKUP($A316,A:AL,28,FALSE)-50))</f>
        <v>312</v>
      </c>
      <c r="AB316" s="3">
        <v>325</v>
      </c>
      <c r="AC316" s="3">
        <f>IF(ISERROR((VLOOKUP($A316,'SegEnds_NonXtal_BW#'!$A:$Z,20,FALSE)+VLOOKUP($A316,A:AL,28,FALSE)-50)),"-",(VLOOKUP($A316,'SegEnds_NonXtal_BW#'!$A:$Z,20,FALSE)+VLOOKUP($A316,A:AL,28,FALSE)-50))</f>
        <v>344</v>
      </c>
      <c r="AD316" s="3">
        <f>IF(ISERROR(VLOOKUP($A316,'SegEnds_NonXtal_BW#'!$A:$Z,21,FALSE)+VLOOKUP($A316,A:AL,31,FALSE)-50),"-",(VLOOKUP($A316,'SegEnds_NonXtal_BW#'!$A:$Z,21,FALSE)+VLOOKUP($A316,A:AL,31,FALSE)-50))</f>
        <v>353</v>
      </c>
      <c r="AE316" s="3">
        <v>378</v>
      </c>
      <c r="AF316" s="3">
        <f>IF(ISERROR((VLOOKUP($A316,'SegEnds_NonXtal_BW#'!$A:$Z,22,FALSE)+VLOOKUP($A316,A:AL,31,FALSE)-50)),"-",(VLOOKUP($A316,'SegEnds_NonXtal_BW#'!$A:$Z,22,FALSE)+VLOOKUP($A316,A:AL,31,FALSE)-50))</f>
        <v>382</v>
      </c>
      <c r="AG316" s="3">
        <f>IF(ISERROR(VLOOKUP($A316,'SegEnds_NonXtal_BW#'!$A:$Z,23,FALSE)+VLOOKUP($A316,A:AL,34,FALSE)-50),"-",(VLOOKUP($A316,'SegEnds_NonXtal_BW#'!$A:$Z,23,FALSE)+VLOOKUP($A316,A:AL,34,FALSE)-50))</f>
        <v>388</v>
      </c>
      <c r="AH316" s="3">
        <v>410</v>
      </c>
      <c r="AI316" s="3">
        <f>IF(ISERROR((VLOOKUP($A316,'SegEnds_NonXtal_BW#'!$A:$Z,24,FALSE)+VLOOKUP($A316,A:AL,34,FALSE)-50)),"-",(VLOOKUP($A316,'SegEnds_NonXtal_BW#'!$A:$Z,24,FALSE)+VLOOKUP($A316,A:AL,34,FALSE)-50))</f>
        <v>416</v>
      </c>
      <c r="AJ316" s="3">
        <f>IF(ISERROR(VLOOKUP($A316,'SegEnds_NonXtal_BW#'!$A:$Z,25,FALSE)+VLOOKUP($A316,A:AL,37,FALSE)-50),"-",(VLOOKUP($A316,'SegEnds_NonXtal_BW#'!$A:$Z,25,FALSE)+VLOOKUP($A316,A:AL,37,FALSE)-50))</f>
        <v>417</v>
      </c>
      <c r="AK316" s="3">
        <v>420</v>
      </c>
      <c r="AL316" s="3">
        <f>IF(ISERROR((VLOOKUP($A316,'SegEnds_NonXtal_BW#'!$A:$Z,26,FALSE)+VLOOKUP($A316,A:AL,37,FALSE)-50)),"-",(VLOOKUP($A316,'SegEnds_NonXtal_BW#'!$A:$Z,26,FALSE)+VLOOKUP($A316,A:AL,37,FALSE)-50))</f>
        <v>442</v>
      </c>
      <c r="AM316" s="28" t="str">
        <f>VLOOKUP(A316,Classification!A:B,2,FALSE)</f>
        <v>B1</v>
      </c>
      <c r="AN316" s="28" t="b">
        <f t="shared" si="211"/>
        <v>1</v>
      </c>
      <c r="AO316" s="3" t="str">
        <f>IF(ISERROR(MATCH(A316,'SegEnds_Xtal_Prot#'!B:B, 0)), "NoXtal", "Xtal")</f>
        <v>NoXtal</v>
      </c>
      <c r="AP316" s="3">
        <f t="shared" si="196"/>
        <v>1</v>
      </c>
      <c r="AQ316" s="3">
        <f t="shared" si="197"/>
        <v>1</v>
      </c>
      <c r="AR316" s="3" t="str">
        <f t="shared" si="198"/>
        <v>-</v>
      </c>
      <c r="AS316" s="3" t="str">
        <f t="shared" si="199"/>
        <v>-</v>
      </c>
      <c r="AT316" s="3" t="str">
        <f t="shared" si="200"/>
        <v>-</v>
      </c>
      <c r="AU316" s="3" t="str">
        <f t="shared" si="201"/>
        <v>-</v>
      </c>
      <c r="AV316" s="3">
        <f t="shared" si="202"/>
        <v>4</v>
      </c>
      <c r="AW316" s="3">
        <f t="shared" si="203"/>
        <v>4</v>
      </c>
      <c r="AX316" s="3">
        <f t="shared" si="204"/>
        <v>9</v>
      </c>
      <c r="AY316" s="3">
        <f t="shared" si="205"/>
        <v>6</v>
      </c>
      <c r="AZ316" s="3">
        <f t="shared" si="206"/>
        <v>1</v>
      </c>
      <c r="BA316" s="3">
        <f>IF(ISERROR(LEN(VLOOKUP(A316,Seqs!A:E,2,FALSE))-AL316),"-",LEN(VLOOKUP(A316,Seqs!A:E,2,FALSE))-AL316)</f>
        <v>108</v>
      </c>
      <c r="BB316" s="16">
        <f t="shared" si="207"/>
        <v>28</v>
      </c>
      <c r="BC316" s="9" t="str">
        <f t="shared" si="208"/>
        <v>-</v>
      </c>
      <c r="BD316" s="3">
        <f t="shared" si="209"/>
        <v>28</v>
      </c>
      <c r="BE316" s="3">
        <f t="shared" si="210"/>
        <v>53</v>
      </c>
    </row>
    <row r="317" spans="1:58" s="3" customFormat="1" x14ac:dyDescent="0.2">
      <c r="A317" s="3" t="s">
        <v>410</v>
      </c>
      <c r="B317" s="3" t="str">
        <f>LOWER(VLOOKUP(A317,Xtal_Templ!A:B,2,FALSE))</f>
        <v>pacr_human</v>
      </c>
      <c r="C317" s="3">
        <f>VLOOKUP($A317,'SegEnds_NonXtal_BW#'!$A:$Z,3,FALSE)+D317-50</f>
        <v>128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215"/>
        <v>168</v>
      </c>
      <c r="G317" s="3">
        <v>170</v>
      </c>
      <c r="H317" s="3">
        <f t="shared" si="221"/>
        <v>171</v>
      </c>
      <c r="I317" s="3">
        <f t="shared" si="221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220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305</v>
      </c>
      <c r="AC317" s="3">
        <f>IF(ISERROR((VLOOKUP($A317,'SegEnds_NonXtal_BW#'!$A:$Z,20,FALSE)+VLOOKUP($A317,A:AL,28,FALSE)-50)),"-",(VLOOKUP($A317,'SegEnds_NonXtal_BW#'!$A:$Z,20,FALSE)+VLOOKUP($A317,A:AL,28,FALSE)-50))</f>
        <v>324</v>
      </c>
      <c r="AD317" s="3">
        <f>IF(ISERROR(VLOOKUP($A317,'SegEnds_NonXtal_BW#'!$A:$Z,21,FALSE)+VLOOKUP($A317,A:AL,31,FALSE)-50),"-",(VLOOKUP($A317,'SegEnds_NonXtal_BW#'!$A:$Z,21,FALSE)+VLOOKUP($A317,A:AL,31,FALSE)-50))</f>
        <v>332</v>
      </c>
      <c r="AE317" s="3">
        <v>357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211"/>
        <v>1</v>
      </c>
      <c r="AO317" s="3" t="str">
        <f>IF(ISERROR(MATCH(A317,'SegEnds_Xtal_Prot#'!B:B, 0)), "NoXtal", "Xtal")</f>
        <v>NoXtal</v>
      </c>
      <c r="AP317" s="3">
        <f t="shared" si="196"/>
        <v>1</v>
      </c>
      <c r="AQ317" s="3">
        <f t="shared" si="197"/>
        <v>1</v>
      </c>
      <c r="AR317" s="3" t="str">
        <f t="shared" si="198"/>
        <v>-</v>
      </c>
      <c r="AS317" s="3" t="str">
        <f t="shared" si="199"/>
        <v>-</v>
      </c>
      <c r="AT317" s="3" t="str">
        <f t="shared" si="200"/>
        <v>-</v>
      </c>
      <c r="AU317" s="3" t="str">
        <f t="shared" si="201"/>
        <v>-</v>
      </c>
      <c r="AV317" s="3">
        <f t="shared" si="202"/>
        <v>4</v>
      </c>
      <c r="AW317" s="3">
        <f t="shared" si="203"/>
        <v>4</v>
      </c>
      <c r="AX317" s="3">
        <f t="shared" si="204"/>
        <v>8</v>
      </c>
      <c r="AY317" s="3">
        <f t="shared" si="205"/>
        <v>5</v>
      </c>
      <c r="AZ317" s="3">
        <f t="shared" si="206"/>
        <v>1</v>
      </c>
      <c r="BA317" s="3">
        <f>IF(ISERROR(LEN(VLOOKUP(A317,Seqs!A:E,2,FALSE))-AL317),"-",LEN(VLOOKUP(A317,Seqs!A:E,2,FALSE))-AL317)</f>
        <v>23</v>
      </c>
      <c r="BB317" s="16">
        <f t="shared" si="207"/>
        <v>28</v>
      </c>
      <c r="BC317" s="9" t="str">
        <f t="shared" si="208"/>
        <v>-</v>
      </c>
      <c r="BD317" s="3">
        <f t="shared" si="209"/>
        <v>28</v>
      </c>
      <c r="BE317" s="3">
        <f t="shared" si="210"/>
        <v>52</v>
      </c>
      <c r="BF317" s="3">
        <f>AH317-AE317</f>
        <v>28</v>
      </c>
    </row>
    <row r="318" spans="1:58" s="3" customFormat="1" x14ac:dyDescent="0.2">
      <c r="A318" s="3" t="s">
        <v>411</v>
      </c>
      <c r="B318" s="3" t="str">
        <f>LOWER(VLOOKUP(A318,Xtal_Templ!A:B,2,FALSE))</f>
        <v>pacr_human</v>
      </c>
      <c r="C318" s="3">
        <f>VLOOKUP($A318,'SegEnds_NonXtal_BW#'!$A:$Z,3,FALSE)+D318-50</f>
        <v>128</v>
      </c>
      <c r="D318" s="3">
        <v>157</v>
      </c>
      <c r="E318" s="3">
        <f>IF(ISERROR(VLOOKUP($A318,'SegEnds_NonXtal_BW#'!$A:$Z,4,FALSE)+VLOOKUP($A318,A:AL,4,FALSE)-50),"-",(VLOOKUP($A318,'SegEnds_NonXtal_BW#'!$A:$Z,4,FALSE)+VLOOKUP($A318,A:AL,4,FALSE)-50))</f>
        <v>167</v>
      </c>
      <c r="F318" s="3">
        <f t="shared" si="215"/>
        <v>168</v>
      </c>
      <c r="G318" s="3">
        <v>170</v>
      </c>
      <c r="H318" s="3">
        <f t="shared" si="221"/>
        <v>171</v>
      </c>
      <c r="I318" s="3">
        <f t="shared" si="221"/>
        <v>172</v>
      </c>
      <c r="J318" s="3">
        <v>185</v>
      </c>
      <c r="K318" s="3">
        <f>VLOOKUP($A318,'SegEnds_NonXtal_BW#'!$A:$Z,8,FALSE)+VLOOKUP($A318,A:AL,10,FALSE)-50</f>
        <v>199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212</v>
      </c>
      <c r="P318" s="3">
        <v>240</v>
      </c>
      <c r="Q318" s="3">
        <f>VLOOKUP($A318,'SegEnds_NonXtal_BW#'!$A:$Z,12,FALSE)+VLOOKUP($A318,A:AL,16,FALSE)-50</f>
        <v>246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253</v>
      </c>
      <c r="V318" s="3">
        <v>263</v>
      </c>
      <c r="W318" s="3">
        <f>IF(ISERROR(VLOOKUP($A318,'SegEnds_NonXtal_BW#'!$A:$Z,16,FALSE)+VLOOKUP($A318,A:AL,22,FALSE)-50),"-",(VLOOKUP($A318,'SegEnds_NonXtal_BW#'!$A:$Z,16,FALSE)+VLOOKUP($A318,A:AL,22,FALSE)-50))</f>
        <v>281</v>
      </c>
      <c r="X318" s="3">
        <f>IF(ISERROR(VLOOKUP($A318,'SegEnds_NonXtal_BW#'!$A:$Z,17,FALSE)+VLOOKUP($A318,A:AL,25,FALSE)-50),"-",(VLOOKUP($A318,'SegEnds_NonXtal_BW#'!$A:$Z,17,FALSE)+VLOOKUP($A318,A:AL,25,FALSE)-50))</f>
        <v>285</v>
      </c>
      <c r="Y318" s="3">
        <v>285</v>
      </c>
      <c r="Z318" s="3">
        <f t="shared" si="220"/>
        <v>287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304</v>
      </c>
      <c r="AC318" s="3">
        <f>IF(ISERROR((VLOOKUP($A318,'SegEnds_NonXtal_BW#'!$A:$Z,20,FALSE)+VLOOKUP($A318,A:AL,28,FALSE)-50)),"-",(VLOOKUP($A318,'SegEnds_NonXtal_BW#'!$A:$Z,20,FALSE)+VLOOKUP($A318,A:AL,28,FALSE)-50))</f>
        <v>323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356</v>
      </c>
      <c r="AF318" s="3">
        <f>IF(ISERROR((VLOOKUP($A318,'SegEnds_NonXtal_BW#'!$A:$Z,22,FALSE)+VLOOKUP($A318,A:AL,31,FALSE)-50)),"-",(VLOOKUP($A318,'SegEnds_NonXtal_BW#'!$A:$Z,22,FALSE)+VLOOKUP($A318,A:AL,31,FALSE)-50))</f>
        <v>360</v>
      </c>
      <c r="AG318" s="3">
        <f>IF(ISERROR(VLOOKUP($A318,'SegEnds_NonXtal_BW#'!$A:$Z,23,FALSE)+VLOOKUP($A318,A:AL,34,FALSE)-50),"-",(VLOOKUP($A318,'SegEnds_NonXtal_BW#'!$A:$Z,23,FALSE)+VLOOKUP($A318,A:AL,34,FALSE)-50))</f>
        <v>366</v>
      </c>
      <c r="AH318" s="3">
        <v>385</v>
      </c>
      <c r="AI318" s="3">
        <f>IF(ISERROR((VLOOKUP($A318,'SegEnds_NonXtal_BW#'!$A:$Z,24,FALSE)+VLOOKUP($A318,A:AL,34,FALSE)-50)),"-",(VLOOKUP($A318,'SegEnds_NonXtal_BW#'!$A:$Z,24,FALSE)+VLOOKUP($A318,A:AL,34,FALSE)-50))</f>
        <v>391</v>
      </c>
      <c r="AJ318" s="3">
        <f>IF(ISERROR(VLOOKUP($A318,'SegEnds_NonXtal_BW#'!$A:$Z,25,FALSE)+VLOOKUP($A318,A:AL,37,FALSE)-50),"-",(VLOOKUP($A318,'SegEnds_NonXtal_BW#'!$A:$Z,25,FALSE)+VLOOKUP($A318,A:AL,37,FALSE)-50))</f>
        <v>392</v>
      </c>
      <c r="AK318" s="3">
        <v>395</v>
      </c>
      <c r="AL318" s="3">
        <f>IF(ISERROR((VLOOKUP($A318,'SegEnds_NonXtal_BW#'!$A:$Z,26,FALSE)+VLOOKUP($A318,A:AL,37,FALSE)-50)),"-",(VLOOKUP($A318,'SegEnds_NonXtal_BW#'!$A:$Z,26,FALSE)+VLOOKUP($A318,A:AL,37,FALSE)-50))</f>
        <v>417</v>
      </c>
      <c r="AM318" s="28" t="str">
        <f>VLOOKUP(A318,Classification!A:B,2,FALSE)</f>
        <v>B1</v>
      </c>
      <c r="AN318" s="28" t="b">
        <f t="shared" si="211"/>
        <v>1</v>
      </c>
      <c r="AO318" s="3" t="str">
        <f>IF(ISERROR(MATCH(A318,'SegEnds_Xtal_Prot#'!B:B, 0)), "NoXtal", "Xtal")</f>
        <v>NoXtal</v>
      </c>
      <c r="AP318" s="3">
        <f t="shared" si="196"/>
        <v>1</v>
      </c>
      <c r="AQ318" s="3">
        <f t="shared" si="197"/>
        <v>1</v>
      </c>
      <c r="AR318" s="3" t="str">
        <f t="shared" si="198"/>
        <v>-</v>
      </c>
      <c r="AS318" s="3" t="str">
        <f t="shared" si="199"/>
        <v>-</v>
      </c>
      <c r="AT318" s="3" t="str">
        <f t="shared" si="200"/>
        <v>-</v>
      </c>
      <c r="AU318" s="3" t="str">
        <f t="shared" si="201"/>
        <v>-</v>
      </c>
      <c r="AV318" s="3">
        <f t="shared" si="202"/>
        <v>4</v>
      </c>
      <c r="AW318" s="3">
        <f t="shared" si="203"/>
        <v>3</v>
      </c>
      <c r="AX318" s="3">
        <f t="shared" si="204"/>
        <v>8</v>
      </c>
      <c r="AY318" s="3">
        <f t="shared" si="205"/>
        <v>6</v>
      </c>
      <c r="AZ318" s="3">
        <f t="shared" si="206"/>
        <v>1</v>
      </c>
      <c r="BA318" s="3">
        <f>IF(ISERROR(LEN(VLOOKUP(A318,Seqs!A:E,2,FALSE))-AL318),"-",LEN(VLOOKUP(A318,Seqs!A:E,2,FALSE))-AL318)</f>
        <v>40</v>
      </c>
      <c r="BB318" s="16">
        <f t="shared" si="207"/>
        <v>28</v>
      </c>
      <c r="BC318" s="9" t="str">
        <f t="shared" si="208"/>
        <v>-</v>
      </c>
      <c r="BD318" s="3">
        <f t="shared" si="209"/>
        <v>28</v>
      </c>
      <c r="BE318" s="3">
        <f t="shared" si="210"/>
        <v>52</v>
      </c>
    </row>
    <row r="319" spans="1:58" s="3" customFormat="1" x14ac:dyDescent="0.2">
      <c r="A319" s="3" t="s">
        <v>412</v>
      </c>
      <c r="B319" s="3" t="str">
        <f>LOWER(VLOOKUP(A319,Xtal_Templ!A:B,2,FALSE))</f>
        <v>pacr_human</v>
      </c>
      <c r="C319" s="3">
        <f>VLOOKUP($A319,'SegEnds_NonXtal_BW#'!$A:$Z,3,FALSE)+D319-50</f>
        <v>112</v>
      </c>
      <c r="D319" s="3">
        <v>141</v>
      </c>
      <c r="E319" s="3">
        <f>IF(ISERROR(VLOOKUP($A319,'SegEnds_NonXtal_BW#'!$A:$Z,4,FALSE)+VLOOKUP($A319,A:AL,4,FALSE)-50),"-",(VLOOKUP($A319,'SegEnds_NonXtal_BW#'!$A:$Z,4,FALSE)+VLOOKUP($A319,A:AL,4,FALSE)-50))</f>
        <v>151</v>
      </c>
      <c r="F319" s="3">
        <f t="shared" si="215"/>
        <v>152</v>
      </c>
      <c r="G319" s="3">
        <v>154</v>
      </c>
      <c r="H319" s="3">
        <f t="shared" si="221"/>
        <v>155</v>
      </c>
      <c r="I319" s="3">
        <f t="shared" si="221"/>
        <v>156</v>
      </c>
      <c r="J319" s="3">
        <v>169</v>
      </c>
      <c r="K319" s="3">
        <f>VLOOKUP($A319,'SegEnds_NonXtal_BW#'!$A:$Z,8,FALSE)+VLOOKUP($A319,A:AL,10,FALSE)-50</f>
        <v>183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199</v>
      </c>
      <c r="P319" s="3">
        <v>227</v>
      </c>
      <c r="Q319" s="3">
        <f>VLOOKUP($A319,'SegEnds_NonXtal_BW#'!$A:$Z,12,FALSE)+VLOOKUP($A319,A:AL,16,FALSE)-50</f>
        <v>233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239</v>
      </c>
      <c r="V319" s="3">
        <v>249</v>
      </c>
      <c r="W319" s="3">
        <f>IF(ISERROR(VLOOKUP($A319,'SegEnds_NonXtal_BW#'!$A:$Z,16,FALSE)+VLOOKUP($A319,A:AL,22,FALSE)-50),"-",(VLOOKUP($A319,'SegEnds_NonXtal_BW#'!$A:$Z,16,FALSE)+VLOOKUP($A319,A:AL,22,FALSE)-50))</f>
        <v>267</v>
      </c>
      <c r="X319" s="3">
        <f>IF(ISERROR(VLOOKUP($A319,'SegEnds_NonXtal_BW#'!$A:$Z,17,FALSE)+VLOOKUP($A319,A:AL,25,FALSE)-50),"-",(VLOOKUP($A319,'SegEnds_NonXtal_BW#'!$A:$Z,17,FALSE)+VLOOKUP($A319,A:AL,25,FALSE)-50))</f>
        <v>271</v>
      </c>
      <c r="Y319" s="3">
        <v>271</v>
      </c>
      <c r="Z319" s="3">
        <f t="shared" si="220"/>
        <v>273</v>
      </c>
      <c r="AA319" s="3">
        <f>IF(ISERROR(VLOOKUP($A319,'SegEnds_NonXtal_BW#'!$A:$Z,19,FALSE)+VLOOKUP($A319,A:AL,28,FALSE)-50),"-",(VLOOKUP($A319,'SegEnds_NonXtal_BW#'!$A:$Z,19,FALSE)+VLOOKUP($A319,A:AL,28,FALSE)-50))</f>
        <v>277</v>
      </c>
      <c r="AB319" s="3">
        <v>291</v>
      </c>
      <c r="AC319" s="3">
        <f>IF(ISERROR((VLOOKUP($A319,'SegEnds_NonXtal_BW#'!$A:$Z,20,FALSE)+VLOOKUP($A319,A:AL,28,FALSE)-50)),"-",(VLOOKUP($A319,'SegEnds_NonXtal_BW#'!$A:$Z,20,FALSE)+VLOOKUP($A319,A:AL,28,FALSE)-50))</f>
        <v>310</v>
      </c>
      <c r="AD319" s="3">
        <f>IF(ISERROR(VLOOKUP($A319,'SegEnds_NonXtal_BW#'!$A:$Z,21,FALSE)+VLOOKUP($A319,A:AL,31,FALSE)-50),"-",(VLOOKUP($A319,'SegEnds_NonXtal_BW#'!$A:$Z,21,FALSE)+VLOOKUP($A319,A:AL,31,FALSE)-50))</f>
        <v>318</v>
      </c>
      <c r="AE319" s="3">
        <v>343</v>
      </c>
      <c r="AF319" s="3">
        <f>IF(ISERROR((VLOOKUP($A319,'SegEnds_NonXtal_BW#'!$A:$Z,22,FALSE)+VLOOKUP($A319,A:AL,31,FALSE)-50)),"-",(VLOOKUP($A319,'SegEnds_NonXtal_BW#'!$A:$Z,22,FALSE)+VLOOKUP($A319,A:AL,31,FALSE)-50))</f>
        <v>347</v>
      </c>
      <c r="AG319" s="3">
        <f>IF(ISERROR(VLOOKUP($A319,'SegEnds_NonXtal_BW#'!$A:$Z,23,FALSE)+VLOOKUP($A319,A:AL,34,FALSE)-50),"-",(VLOOKUP($A319,'SegEnds_NonXtal_BW#'!$A:$Z,23,FALSE)+VLOOKUP($A319,A:AL,34,FALSE)-50))</f>
        <v>353</v>
      </c>
      <c r="AH319" s="3">
        <v>372</v>
      </c>
      <c r="AI319" s="3">
        <f>IF(ISERROR((VLOOKUP($A319,'SegEnds_NonXtal_BW#'!$A:$Z,24,FALSE)+VLOOKUP($A319,A:AL,34,FALSE)-50)),"-",(VLOOKUP($A319,'SegEnds_NonXtal_BW#'!$A:$Z,24,FALSE)+VLOOKUP($A319,A:AL,34,FALSE)-50))</f>
        <v>378</v>
      </c>
      <c r="AJ319" s="3">
        <f>IF(ISERROR(VLOOKUP($A319,'SegEnds_NonXtal_BW#'!$A:$Z,25,FALSE)+VLOOKUP($A319,A:AL,37,FALSE)-50),"-",(VLOOKUP($A319,'SegEnds_NonXtal_BW#'!$A:$Z,25,FALSE)+VLOOKUP($A319,A:AL,37,FALSE)-50))</f>
        <v>379</v>
      </c>
      <c r="AK319" s="3">
        <v>382</v>
      </c>
      <c r="AL319" s="3">
        <f>IF(ISERROR((VLOOKUP($A319,'SegEnds_NonXtal_BW#'!$A:$Z,26,FALSE)+VLOOKUP($A319,A:AL,37,FALSE)-50)),"-",(VLOOKUP($A319,'SegEnds_NonXtal_BW#'!$A:$Z,26,FALSE)+VLOOKUP($A319,A:AL,37,FALSE)-50))</f>
        <v>404</v>
      </c>
      <c r="AM319" s="28" t="str">
        <f>VLOOKUP(A319,Classification!A:B,2,FALSE)</f>
        <v>B1</v>
      </c>
      <c r="AN319" s="28" t="b">
        <f t="shared" si="211"/>
        <v>1</v>
      </c>
      <c r="AO319" s="3" t="str">
        <f>IF(ISERROR(MATCH(A319,'SegEnds_Xtal_Prot#'!B:B, 0)), "NoXtal", "Xtal")</f>
        <v>NoXtal</v>
      </c>
      <c r="AP319" s="3">
        <f t="shared" si="196"/>
        <v>1</v>
      </c>
      <c r="AQ319" s="3">
        <f t="shared" si="197"/>
        <v>1</v>
      </c>
      <c r="AR319" s="3" t="str">
        <f t="shared" si="198"/>
        <v>-</v>
      </c>
      <c r="AS319" s="3" t="str">
        <f t="shared" si="199"/>
        <v>-</v>
      </c>
      <c r="AT319" s="3" t="str">
        <f t="shared" si="200"/>
        <v>-</v>
      </c>
      <c r="AU319" s="3" t="str">
        <f t="shared" si="201"/>
        <v>-</v>
      </c>
      <c r="AV319" s="3">
        <f t="shared" si="202"/>
        <v>4</v>
      </c>
      <c r="AW319" s="3">
        <f t="shared" si="203"/>
        <v>4</v>
      </c>
      <c r="AX319" s="3">
        <f t="shared" si="204"/>
        <v>8</v>
      </c>
      <c r="AY319" s="3">
        <f t="shared" si="205"/>
        <v>6</v>
      </c>
      <c r="AZ319" s="3">
        <f t="shared" si="206"/>
        <v>1</v>
      </c>
      <c r="BA319" s="3">
        <f>IF(ISERROR(LEN(VLOOKUP(A319,Seqs!A:E,2,FALSE))-AL319),"-",LEN(VLOOKUP(A319,Seqs!A:E,2,FALSE))-AL319)</f>
        <v>34</v>
      </c>
      <c r="BB319" s="16">
        <f t="shared" si="207"/>
        <v>28</v>
      </c>
      <c r="BC319" s="9" t="str">
        <f t="shared" si="208"/>
        <v>-</v>
      </c>
      <c r="BD319" s="3">
        <f t="shared" si="209"/>
        <v>28</v>
      </c>
      <c r="BE319" s="3">
        <f t="shared" si="210"/>
        <v>52</v>
      </c>
    </row>
    <row r="320" spans="1:58" s="3" customFormat="1" x14ac:dyDescent="0.2">
      <c r="A320" s="3" t="s">
        <v>1172</v>
      </c>
      <c r="B320" s="3" t="str">
        <f>LOWER(VLOOKUP(A320,Xtal_Templ!A:B,2,FALSE))</f>
        <v>pacr_human</v>
      </c>
      <c r="C320" s="3">
        <f>VLOOKUP($A320,'SegEnds_NonXtal_BW#'!$A:$Z,3,FALSE)+D320-50</f>
        <v>8</v>
      </c>
      <c r="D320" s="3">
        <v>35</v>
      </c>
      <c r="E320" s="3">
        <f>IF(ISERROR(VLOOKUP($A320,'SegEnds_NonXtal_BW#'!$A:$Z,4,FALSE)+VLOOKUP($A320,A:AL,4,FALSE)-50),"-",(VLOOKUP($A320,'SegEnds_NonXtal_BW#'!$A:$Z,4,FALSE)+VLOOKUP($A320,A:AL,4,FALSE)-50))</f>
        <v>45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48</v>
      </c>
      <c r="J320" s="3">
        <v>61</v>
      </c>
      <c r="K320" s="3">
        <f>VLOOKUP($A320,'SegEnds_NonXtal_BW#'!$A:$Z,8,FALSE)+VLOOKUP($A320,A:AL,10,FALSE)-50</f>
        <v>74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81</v>
      </c>
      <c r="P320" s="3">
        <v>108</v>
      </c>
      <c r="Q320" s="3">
        <f>VLOOKUP($A320,'SegEnds_NonXtal_BW#'!$A:$Z,12,FALSE)+VLOOKUP($A320,A:AL,16,FALSE)-50</f>
        <v>114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130</v>
      </c>
      <c r="V320" s="3">
        <v>140</v>
      </c>
      <c r="W320" s="3">
        <f>IF(ISERROR(VLOOKUP($A320,'SegEnds_NonXtal_BW#'!$A:$Z,16,FALSE)+VLOOKUP($A320,A:AL,22,FALSE)-50),"-",(VLOOKUP($A320,'SegEnds_NonXtal_BW#'!$A:$Z,16,FALSE)+VLOOKUP($A320,A:AL,22,FALSE)-50))</f>
        <v>158</v>
      </c>
      <c r="X320" s="3">
        <f>IF(ISERROR(VLOOKUP($A320,'SegEnds_NonXtal_BW#'!$A:$Z,17,FALSE)+VLOOKUP($A320,A:AL,25,FALSE)-50),"-",(VLOOKUP($A320,'SegEnds_NonXtal_BW#'!$A:$Z,17,FALSE)+VLOOKUP($A320,A:AL,25,FALSE)-50))</f>
        <v>168</v>
      </c>
      <c r="Y320" s="3">
        <v>168</v>
      </c>
      <c r="Z320" s="3">
        <f t="shared" si="220"/>
        <v>170</v>
      </c>
      <c r="AA320" s="3">
        <f>IF(ISERROR(VLOOKUP($A320,'SegEnds_NonXtal_BW#'!$A:$Z,19,FALSE)+VLOOKUP($A320,A:AL,28,FALSE)-50),"-",(VLOOKUP($A320,'SegEnds_NonXtal_BW#'!$A:$Z,19,FALSE)+VLOOKUP($A320,A:AL,28,FALSE)-50))</f>
        <v>172</v>
      </c>
      <c r="AB320" s="3">
        <v>186</v>
      </c>
      <c r="AC320" s="3">
        <f>IF(ISERROR((VLOOKUP($A320,'SegEnds_NonXtal_BW#'!$A:$Z,20,FALSE)+VLOOKUP($A320,A:AL,28,FALSE)-50)),"-",(VLOOKUP($A320,'SegEnds_NonXtal_BW#'!$A:$Z,20,FALSE)+VLOOKUP($A320,A:AL,28,FALSE)-50))</f>
        <v>205</v>
      </c>
      <c r="AD320" s="3">
        <f>IF(ISERROR(VLOOKUP($A320,'SegEnds_NonXtal_BW#'!$A:$Z,21,FALSE)+VLOOKUP($A320,A:AL,31,FALSE)-50),"-",(VLOOKUP($A320,'SegEnds_NonXtal_BW#'!$A:$Z,21,FALSE)+VLOOKUP($A320,A:AL,31,FALSE)-50))</f>
        <v>251</v>
      </c>
      <c r="AE320" s="3">
        <v>272</v>
      </c>
      <c r="AF320" s="3">
        <f>IF(ISERROR((VLOOKUP($A320,'SegEnds_NonXtal_BW#'!$A:$Z,22,FALSE)+VLOOKUP($A320,A:AL,31,FALSE)-50)),"-",(VLOOKUP($A320,'SegEnds_NonXtal_BW#'!$A:$Z,22,FALSE)+VLOOKUP($A320,A:AL,31,FALSE)-50))</f>
        <v>276</v>
      </c>
      <c r="AG320" s="3">
        <f>IF(ISERROR(VLOOKUP($A320,'SegEnds_NonXtal_BW#'!$A:$Z,23,FALSE)+VLOOKUP($A320,A:AL,34,FALSE)-50),"-",(VLOOKUP($A320,'SegEnds_NonXtal_BW#'!$A:$Z,23,FALSE)+VLOOKUP($A320,A:AL,34,FALSE)-50))</f>
        <v>282</v>
      </c>
      <c r="AH320" s="3">
        <v>303</v>
      </c>
      <c r="AI320" s="3">
        <f>IF(ISERROR((VLOOKUP($A320,'SegEnds_NonXtal_BW#'!$A:$Z,24,FALSE)+VLOOKUP($A320,A:AL,34,FALSE)-50)),"-",(VLOOKUP($A320,'SegEnds_NonXtal_BW#'!$A:$Z,24,FALSE)+VLOOKUP($A320,A:AL,34,FALSE)-50))</f>
        <v>309</v>
      </c>
      <c r="AJ320" s="3">
        <f>IF(ISERROR(VLOOKUP($A320,'SegEnds_NonXtal_BW#'!$A:$Z,25,FALSE)+VLOOKUP($A320,A:AL,37,FALSE)-50),"-",(VLOOKUP($A320,'SegEnds_NonXtal_BW#'!$A:$Z,25,FALSE)+VLOOKUP($A320,A:AL,37,FALSE)-50))</f>
        <v>310</v>
      </c>
      <c r="AK320" s="3">
        <v>313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B2</v>
      </c>
      <c r="AN320" s="28" t="b">
        <f t="shared" si="211"/>
        <v>1</v>
      </c>
      <c r="AO320" s="3" t="str">
        <f>IF(ISERROR(MATCH(A320,'SegEnds_Xtal_Prot#'!B:B, 0)), "NoXtal", "Xtal")</f>
        <v>NoXtal</v>
      </c>
      <c r="AP320" s="3" t="str">
        <f t="shared" si="196"/>
        <v>-</v>
      </c>
      <c r="AQ320" s="3" t="str">
        <f t="shared" si="197"/>
        <v>-</v>
      </c>
      <c r="AR320" s="3" t="str">
        <f t="shared" si="198"/>
        <v>-</v>
      </c>
      <c r="AS320" s="3" t="str">
        <f t="shared" si="199"/>
        <v>-</v>
      </c>
      <c r="AT320" s="3" t="str">
        <f t="shared" si="200"/>
        <v>-</v>
      </c>
      <c r="AU320" s="3" t="str">
        <f t="shared" si="201"/>
        <v>-</v>
      </c>
      <c r="AV320" s="3">
        <f t="shared" si="202"/>
        <v>10</v>
      </c>
      <c r="AW320" s="3">
        <f t="shared" si="203"/>
        <v>2</v>
      </c>
      <c r="AX320" s="3">
        <f t="shared" si="204"/>
        <v>46</v>
      </c>
      <c r="AY320" s="3">
        <f t="shared" si="205"/>
        <v>6</v>
      </c>
      <c r="AZ320" s="3">
        <f t="shared" si="206"/>
        <v>1</v>
      </c>
      <c r="BA320" s="3">
        <f>IF(ISERROR(LEN(VLOOKUP(A320,Seqs!A:E,2,FALSE))-AL320),"-",LEN(VLOOKUP(A320,Seqs!A:E,2,FALSE))-AL320)</f>
        <v>234</v>
      </c>
      <c r="BB320" s="16">
        <f t="shared" si="207"/>
        <v>26</v>
      </c>
      <c r="BC320" s="9" t="str">
        <f t="shared" si="208"/>
        <v>-</v>
      </c>
      <c r="BD320" s="3">
        <f t="shared" si="209"/>
        <v>26</v>
      </c>
      <c r="BE320" s="3">
        <f t="shared" si="210"/>
        <v>86</v>
      </c>
    </row>
    <row r="321" spans="1:59" s="3" customFormat="1" x14ac:dyDescent="0.2">
      <c r="A321" s="3" t="s">
        <v>1173</v>
      </c>
      <c r="B321" s="3" t="str">
        <f>LOWER(VLOOKUP(A321,Xtal_Templ!A:B,2,FALSE))</f>
        <v>crfr1_human</v>
      </c>
      <c r="C321" s="3">
        <f>VLOOKUP($A321,'SegEnds_NonXtal_BW#'!$A:$Z,3,FALSE)+D321-50</f>
        <v>760</v>
      </c>
      <c r="D321" s="3">
        <v>787</v>
      </c>
      <c r="E321" s="3">
        <f>IF(ISERROR(VLOOKUP($A321,'SegEnds_NonXtal_BW#'!$A:$Z,4,FALSE)+VLOOKUP($A321,A:AL,4,FALSE)-50),"-",(VLOOKUP($A321,'SegEnds_NonXtal_BW#'!$A:$Z,4,FALSE)+VLOOKUP($A321,A:AL,4,FALSE)-50))</f>
        <v>797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800</v>
      </c>
      <c r="J321" s="3">
        <v>813</v>
      </c>
      <c r="K321" s="3">
        <f>VLOOKUP($A321,'SegEnds_NonXtal_BW#'!$A:$Z,8,FALSE)+VLOOKUP($A321,A:AL,10,FALSE)-50</f>
        <v>826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833</v>
      </c>
      <c r="P321" s="3">
        <v>860</v>
      </c>
      <c r="Q321" s="3">
        <f>VLOOKUP($A321,'SegEnds_NonXtal_BW#'!$A:$Z,12,FALSE)+VLOOKUP($A321,A:AL,16,FALSE)-50</f>
        <v>866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882</v>
      </c>
      <c r="V321" s="3">
        <v>892</v>
      </c>
      <c r="W321" s="3">
        <f>IF(ISERROR(VLOOKUP($A321,'SegEnds_NonXtal_BW#'!$A:$Z,16,FALSE)+VLOOKUP($A321,A:AL,22,FALSE)-50),"-",(VLOOKUP($A321,'SegEnds_NonXtal_BW#'!$A:$Z,16,FALSE)+VLOOKUP($A321,A:AL,22,FALSE)-50))</f>
        <v>910</v>
      </c>
      <c r="X321" s="3">
        <f>IF(ISERROR(VLOOKUP($A321,'SegEnds_NonXtal_BW#'!$A:$Z,17,FALSE)+VLOOKUP($A321,A:AL,25,FALSE)-50),"-",(VLOOKUP($A321,'SegEnds_NonXtal_BW#'!$A:$Z,17,FALSE)+VLOOKUP($A321,A:AL,25,FALSE)-50))</f>
        <v>917</v>
      </c>
      <c r="Y321" s="3">
        <v>917</v>
      </c>
      <c r="Z321" s="3">
        <f t="shared" si="220"/>
        <v>919</v>
      </c>
      <c r="AA321" s="3">
        <f>IF(ISERROR(VLOOKUP($A321,'SegEnds_NonXtal_BW#'!$A:$Z,19,FALSE)+VLOOKUP($A321,A:AL,28,FALSE)-50),"-",(VLOOKUP($A321,'SegEnds_NonXtal_BW#'!$A:$Z,19,FALSE)+VLOOKUP($A321,A:AL,28,FALSE)-50))</f>
        <v>921</v>
      </c>
      <c r="AB321" s="3">
        <v>935</v>
      </c>
      <c r="AC321" s="3">
        <f>IF(ISERROR((VLOOKUP($A321,'SegEnds_NonXtal_BW#'!$A:$Z,20,FALSE)+VLOOKUP($A321,A:AL,28,FALSE)-50)),"-",(VLOOKUP($A321,'SegEnds_NonXtal_BW#'!$A:$Z,20,FALSE)+VLOOKUP($A321,A:AL,28,FALSE)-50))</f>
        <v>954</v>
      </c>
      <c r="AD321" s="3">
        <f>IF(ISERROR(VLOOKUP($A321,'SegEnds_NonXtal_BW#'!$A:$Z,21,FALSE)+VLOOKUP($A321,A:AL,31,FALSE)-50),"-",(VLOOKUP($A321,'SegEnds_NonXtal_BW#'!$A:$Z,21,FALSE)+VLOOKUP($A321,A:AL,31,FALSE)-50))</f>
        <v>1014</v>
      </c>
      <c r="AE321" s="3">
        <v>1035</v>
      </c>
      <c r="AF321" s="3">
        <f>IF(ISERROR((VLOOKUP($A321,'SegEnds_NonXtal_BW#'!$A:$Z,22,FALSE)+VLOOKUP($A321,A:AL,31,FALSE)-50)),"-",(VLOOKUP($A321,'SegEnds_NonXtal_BW#'!$A:$Z,22,FALSE)+VLOOKUP($A321,A:AL,31,FALSE)-50))</f>
        <v>1038</v>
      </c>
      <c r="AG321" s="3">
        <f>IF(ISERROR(VLOOKUP($A321,'SegEnds_NonXtal_BW#'!$A:$Z,23,FALSE)+VLOOKUP($A321,A:AL,34,FALSE)-50),"-",(VLOOKUP($A321,'SegEnds_NonXtal_BW#'!$A:$Z,23,FALSE)+VLOOKUP($A321,A:AL,34,FALSE)-50))</f>
        <v>1045</v>
      </c>
      <c r="AH321" s="3">
        <v>1066</v>
      </c>
      <c r="AI321" s="3">
        <f>IF(ISERROR((VLOOKUP($A321,'SegEnds_NonXtal_BW#'!$A:$Z,24,FALSE)+VLOOKUP($A321,A:AL,34,FALSE)-50)),"-",(VLOOKUP($A321,'SegEnds_NonXtal_BW#'!$A:$Z,24,FALSE)+VLOOKUP($A321,A:AL,34,FALSE)-50))</f>
        <v>1072</v>
      </c>
      <c r="AJ321" s="3">
        <f>IF(ISERROR(VLOOKUP($A321,'SegEnds_NonXtal_BW#'!$A:$Z,25,FALSE)+VLOOKUP($A321,A:AL,37,FALSE)-50),"-",(VLOOKUP($A321,'SegEnds_NonXtal_BW#'!$A:$Z,25,FALSE)+VLOOKUP($A321,A:AL,37,FALSE)-50))</f>
        <v>1073</v>
      </c>
      <c r="AK321" s="3">
        <v>1076</v>
      </c>
      <c r="AL321" s="3">
        <f>IF(ISERROR((VLOOKUP($A321,'SegEnds_NonXtal_BW#'!$A:$Z,26,FALSE)+VLOOKUP($A321,A:AL,37,FALSE)-50)),"-",(VLOOKUP($A321,'SegEnds_NonXtal_BW#'!$A:$Z,26,FALSE)+VLOOKUP($A321,A:AL,37,FALSE)-50))</f>
        <v>1089</v>
      </c>
      <c r="AM321" s="28" t="str">
        <f>VLOOKUP(A321,Classification!A:B,2,FALSE)</f>
        <v>B2</v>
      </c>
      <c r="AN321" s="28" t="b">
        <f t="shared" si="211"/>
        <v>1</v>
      </c>
      <c r="AO321" s="3" t="str">
        <f>IF(ISERROR(MATCH(A321,'SegEnds_Xtal_Prot#'!B:B, 0)), "NoXtal", "Xtal")</f>
        <v>NoXtal</v>
      </c>
      <c r="AP321" s="3" t="str">
        <f t="shared" si="196"/>
        <v>-</v>
      </c>
      <c r="AQ321" s="3" t="str">
        <f t="shared" si="197"/>
        <v>-</v>
      </c>
      <c r="AR321" s="3" t="str">
        <f t="shared" si="198"/>
        <v>-</v>
      </c>
      <c r="AS321" s="3" t="str">
        <f t="shared" si="199"/>
        <v>-</v>
      </c>
      <c r="AT321" s="3" t="str">
        <f t="shared" si="200"/>
        <v>-</v>
      </c>
      <c r="AU321" s="3" t="str">
        <f t="shared" si="201"/>
        <v>-</v>
      </c>
      <c r="AV321" s="3">
        <f t="shared" si="202"/>
        <v>7</v>
      </c>
      <c r="AW321" s="3">
        <f t="shared" si="203"/>
        <v>2</v>
      </c>
      <c r="AX321" s="3">
        <f t="shared" si="204"/>
        <v>60</v>
      </c>
      <c r="AY321" s="3">
        <f t="shared" si="205"/>
        <v>7</v>
      </c>
      <c r="AZ321" s="3">
        <f t="shared" si="206"/>
        <v>1</v>
      </c>
      <c r="BA321" s="3">
        <f>IF(ISERROR(LEN(VLOOKUP(A321,Seqs!A:E,2,FALSE))-AL321),"-",LEN(VLOOKUP(A321,Seqs!A:E,2,FALSE))-AL321)</f>
        <v>249</v>
      </c>
      <c r="BB321" s="16">
        <f t="shared" si="207"/>
        <v>26</v>
      </c>
      <c r="BC321" s="9" t="str">
        <f t="shared" si="208"/>
        <v>-</v>
      </c>
      <c r="BD321" s="3">
        <f t="shared" si="209"/>
        <v>26</v>
      </c>
      <c r="BE321" s="3">
        <f t="shared" si="210"/>
        <v>100</v>
      </c>
    </row>
    <row r="322" spans="1:59" s="3" customFormat="1" x14ac:dyDescent="0.2">
      <c r="A322" s="3" t="s">
        <v>1174</v>
      </c>
      <c r="B322" s="3" t="str">
        <f>LOWER(VLOOKUP(A322,Xtal_Templ!A:B,2,FALSE))</f>
        <v>crfr2_human</v>
      </c>
      <c r="C322" s="3">
        <f>VLOOKUP($A322,'SegEnds_NonXtal_BW#'!$A:$Z,3,FALSE)+D322-50</f>
        <v>750</v>
      </c>
      <c r="D322" s="3">
        <v>777</v>
      </c>
      <c r="E322" s="3">
        <f>IF(ISERROR(VLOOKUP($A322,'SegEnds_NonXtal_BW#'!$A:$Z,4,FALSE)+VLOOKUP($A322,A:AL,4,FALSE)-50),"-",(VLOOKUP($A322,'SegEnds_NonXtal_BW#'!$A:$Z,4,FALSE)+VLOOKUP($A322,A:AL,4,FALSE)-50))</f>
        <v>787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790</v>
      </c>
      <c r="J322" s="3">
        <v>803</v>
      </c>
      <c r="K322" s="3">
        <f>VLOOKUP($A322,'SegEnds_NonXtal_BW#'!$A:$Z,8,FALSE)+VLOOKUP($A322,A:AL,10,FALSE)-50</f>
        <v>816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823</v>
      </c>
      <c r="P322" s="3">
        <v>850</v>
      </c>
      <c r="Q322" s="3">
        <f>VLOOKUP($A322,'SegEnds_NonXtal_BW#'!$A:$Z,12,FALSE)+VLOOKUP($A322,A:AL,16,FALSE)-50</f>
        <v>856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873</v>
      </c>
      <c r="V322" s="3">
        <v>882</v>
      </c>
      <c r="W322" s="3">
        <f>IF(ISERROR(VLOOKUP($A322,'SegEnds_NonXtal_BW#'!$A:$Z,16,FALSE)+VLOOKUP($A322,A:AL,22,FALSE)-50),"-",(VLOOKUP($A322,'SegEnds_NonXtal_BW#'!$A:$Z,16,FALSE)+VLOOKUP($A322,A:AL,22,FALSE)-50))</f>
        <v>900</v>
      </c>
      <c r="X322" s="3">
        <f>IF(ISERROR(VLOOKUP($A322,'SegEnds_NonXtal_BW#'!$A:$Z,17,FALSE)+VLOOKUP($A322,A:AL,25,FALSE)-50),"-",(VLOOKUP($A322,'SegEnds_NonXtal_BW#'!$A:$Z,17,FALSE)+VLOOKUP($A322,A:AL,25,FALSE)-50))</f>
        <v>909</v>
      </c>
      <c r="Y322" s="3">
        <v>909</v>
      </c>
      <c r="Z322" s="3">
        <f t="shared" si="220"/>
        <v>911</v>
      </c>
      <c r="AA322" s="3">
        <f>IF(ISERROR(VLOOKUP($A322,'SegEnds_NonXtal_BW#'!$A:$Z,19,FALSE)+VLOOKUP($A322,A:AL,28,FALSE)-50),"-",(VLOOKUP($A322,'SegEnds_NonXtal_BW#'!$A:$Z,19,FALSE)+VLOOKUP($A322,A:AL,28,FALSE)-50))</f>
        <v>913</v>
      </c>
      <c r="AB322" s="3">
        <v>927</v>
      </c>
      <c r="AC322" s="3">
        <f>IF(ISERROR((VLOOKUP($A322,'SegEnds_NonXtal_BW#'!$A:$Z,20,FALSE)+VLOOKUP($A322,A:AL,28,FALSE)-50)),"-",(VLOOKUP($A322,'SegEnds_NonXtal_BW#'!$A:$Z,20,FALSE)+VLOOKUP($A322,A:AL,28,FALSE)-50))</f>
        <v>946</v>
      </c>
      <c r="AD322" s="3">
        <f>IF(ISERROR(VLOOKUP($A322,'SegEnds_NonXtal_BW#'!$A:$Z,21,FALSE)+VLOOKUP($A322,A:AL,31,FALSE)-50),"-",(VLOOKUP($A322,'SegEnds_NonXtal_BW#'!$A:$Z,21,FALSE)+VLOOKUP($A322,A:AL,31,FALSE)-50))</f>
        <v>991</v>
      </c>
      <c r="AE322" s="3">
        <v>1012</v>
      </c>
      <c r="AF322" s="3">
        <f>IF(ISERROR((VLOOKUP($A322,'SegEnds_NonXtal_BW#'!$A:$Z,22,FALSE)+VLOOKUP($A322,A:AL,31,FALSE)-50)),"-",(VLOOKUP($A322,'SegEnds_NonXtal_BW#'!$A:$Z,22,FALSE)+VLOOKUP($A322,A:AL,31,FALSE)-50))</f>
        <v>1015</v>
      </c>
      <c r="AG322" s="3">
        <f>IF(ISERROR(VLOOKUP($A322,'SegEnds_NonXtal_BW#'!$A:$Z,23,FALSE)+VLOOKUP($A322,A:AL,34,FALSE)-50),"-",(VLOOKUP($A322,'SegEnds_NonXtal_BW#'!$A:$Z,23,FALSE)+VLOOKUP($A322,A:AL,34,FALSE)-50))</f>
        <v>1022</v>
      </c>
      <c r="AH322" s="3">
        <v>1043</v>
      </c>
      <c r="AI322" s="3">
        <f>IF(ISERROR((VLOOKUP($A322,'SegEnds_NonXtal_BW#'!$A:$Z,24,FALSE)+VLOOKUP($A322,A:AL,34,FALSE)-50)),"-",(VLOOKUP($A322,'SegEnds_NonXtal_BW#'!$A:$Z,24,FALSE)+VLOOKUP($A322,A:AL,34,FALSE)-50))</f>
        <v>1049</v>
      </c>
      <c r="AJ322" s="3">
        <f>IF(ISERROR(VLOOKUP($A322,'SegEnds_NonXtal_BW#'!$A:$Z,25,FALSE)+VLOOKUP($A322,A:AL,37,FALSE)-50),"-",(VLOOKUP($A322,'SegEnds_NonXtal_BW#'!$A:$Z,25,FALSE)+VLOOKUP($A322,A:AL,37,FALSE)-50))</f>
        <v>1050</v>
      </c>
      <c r="AK322" s="3">
        <v>1053</v>
      </c>
      <c r="AL322" s="3">
        <f>IF(ISERROR((VLOOKUP($A322,'SegEnds_NonXtal_BW#'!$A:$Z,26,FALSE)+VLOOKUP($A322,A:AL,37,FALSE)-50)),"-",(VLOOKUP($A322,'SegEnds_NonXtal_BW#'!$A:$Z,26,FALSE)+VLOOKUP($A322,A:AL,37,FALSE)-50))</f>
        <v>1066</v>
      </c>
      <c r="AM322" s="28" t="str">
        <f>VLOOKUP(A322,Classification!A:B,2,FALSE)</f>
        <v>B2</v>
      </c>
      <c r="AN322" s="28" t="b">
        <f t="shared" si="211"/>
        <v>1</v>
      </c>
      <c r="AO322" s="3" t="str">
        <f>IF(ISERROR(MATCH(A322,'SegEnds_Xtal_Prot#'!B:B, 0)), "NoXtal", "Xtal")</f>
        <v>NoXtal</v>
      </c>
      <c r="AP322" s="3" t="str">
        <f t="shared" si="196"/>
        <v>-</v>
      </c>
      <c r="AQ322" s="3" t="str">
        <f t="shared" si="197"/>
        <v>-</v>
      </c>
      <c r="AR322" s="3" t="str">
        <f t="shared" si="198"/>
        <v>-</v>
      </c>
      <c r="AS322" s="3" t="str">
        <f t="shared" si="199"/>
        <v>-</v>
      </c>
      <c r="AT322" s="3" t="str">
        <f t="shared" si="200"/>
        <v>-</v>
      </c>
      <c r="AU322" s="3" t="str">
        <f t="shared" si="201"/>
        <v>-</v>
      </c>
      <c r="AV322" s="3">
        <f t="shared" si="202"/>
        <v>9</v>
      </c>
      <c r="AW322" s="3">
        <f t="shared" si="203"/>
        <v>2</v>
      </c>
      <c r="AX322" s="3">
        <f t="shared" si="204"/>
        <v>45</v>
      </c>
      <c r="AY322" s="3">
        <f t="shared" si="205"/>
        <v>7</v>
      </c>
      <c r="AZ322" s="3">
        <f t="shared" si="206"/>
        <v>1</v>
      </c>
      <c r="BA322" s="3">
        <f>IF(ISERROR(LEN(VLOOKUP(A322,Seqs!A:E,2,FALSE))-AL322),"-",LEN(VLOOKUP(A322,Seqs!A:E,2,FALSE))-AL322)</f>
        <v>255</v>
      </c>
      <c r="BB322" s="16">
        <f t="shared" si="207"/>
        <v>26</v>
      </c>
      <c r="BC322" s="9" t="str">
        <f t="shared" si="208"/>
        <v>-</v>
      </c>
      <c r="BD322" s="3">
        <f t="shared" si="209"/>
        <v>26</v>
      </c>
      <c r="BE322" s="3">
        <f t="shared" si="210"/>
        <v>85</v>
      </c>
    </row>
    <row r="323" spans="1:59" s="3" customFormat="1" x14ac:dyDescent="0.2">
      <c r="A323" s="3" t="s">
        <v>1175</v>
      </c>
      <c r="B323" s="3" t="str">
        <f>LOWER(VLOOKUP(A323,Xtal_Templ!A:B,2,FALSE))</f>
        <v>crfr1_human</v>
      </c>
      <c r="C323" s="3">
        <f>VLOOKUP($A323,'SegEnds_NonXtal_BW#'!$A:$Z,3,FALSE)+D323-50</f>
        <v>920</v>
      </c>
      <c r="D323" s="3">
        <v>947</v>
      </c>
      <c r="E323" s="3">
        <f>IF(ISERROR(VLOOKUP($A323,'SegEnds_NonXtal_BW#'!$A:$Z,4,FALSE)+VLOOKUP($A323,A:AL,4,FALSE)-50),"-",(VLOOKUP($A323,'SegEnds_NonXtal_BW#'!$A:$Z,4,FALSE)+VLOOKUP($A323,A:AL,4,FALSE)-50))</f>
        <v>957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963</v>
      </c>
      <c r="J323" s="3">
        <v>976</v>
      </c>
      <c r="K323" s="3">
        <f>VLOOKUP($A323,'SegEnds_NonXtal_BW#'!$A:$Z,8,FALSE)+VLOOKUP($A323,A:AL,10,FALSE)-50</f>
        <v>989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994</v>
      </c>
      <c r="P323" s="3">
        <v>1021</v>
      </c>
      <c r="Q323" s="3">
        <f>VLOOKUP($A323,'SegEnds_NonXtal_BW#'!$A:$Z,12,FALSE)+VLOOKUP($A323,A:AL,16,FALSE)-50</f>
        <v>1027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1033</v>
      </c>
      <c r="V323" s="3">
        <v>1043</v>
      </c>
      <c r="W323" s="3">
        <f>IF(ISERROR(VLOOKUP($A323,'SegEnds_NonXtal_BW#'!$A:$Z,16,FALSE)+VLOOKUP($A323,A:AL,22,FALSE)-50),"-",(VLOOKUP($A323,'SegEnds_NonXtal_BW#'!$A:$Z,16,FALSE)+VLOOKUP($A323,A:AL,22,FALSE)-50))</f>
        <v>1061</v>
      </c>
      <c r="X323" s="3">
        <f>IF(ISERROR(VLOOKUP($A323,'SegEnds_NonXtal_BW#'!$A:$Z,17,FALSE)+VLOOKUP($A323,A:AL,25,FALSE)-50),"-",(VLOOKUP($A323,'SegEnds_NonXtal_BW#'!$A:$Z,17,FALSE)+VLOOKUP($A323,A:AL,25,FALSE)-50))</f>
        <v>1068</v>
      </c>
      <c r="Y323" s="3">
        <v>1068</v>
      </c>
      <c r="Z323" s="3">
        <f t="shared" si="220"/>
        <v>1070</v>
      </c>
      <c r="AA323" s="3">
        <f>IF(ISERROR(VLOOKUP($A323,'SegEnds_NonXtal_BW#'!$A:$Z,19,FALSE)+VLOOKUP($A323,A:AL,28,FALSE)-50),"-",(VLOOKUP($A323,'SegEnds_NonXtal_BW#'!$A:$Z,19,FALSE)+VLOOKUP($A323,A:AL,28,FALSE)-50))</f>
        <v>1073</v>
      </c>
      <c r="AB323" s="3">
        <v>1087</v>
      </c>
      <c r="AC323" s="3">
        <f>IF(ISERROR((VLOOKUP($A323,'SegEnds_NonXtal_BW#'!$A:$Z,20,FALSE)+VLOOKUP($A323,A:AL,28,FALSE)-50)),"-",(VLOOKUP($A323,'SegEnds_NonXtal_BW#'!$A:$Z,20,FALSE)+VLOOKUP($A323,A:AL,28,FALSE)-50))</f>
        <v>1106</v>
      </c>
      <c r="AD323" s="3">
        <f>IF(ISERROR(VLOOKUP($A323,'SegEnds_NonXtal_BW#'!$A:$Z,21,FALSE)+VLOOKUP($A323,A:AL,31,FALSE)-50),"-",(VLOOKUP($A323,'SegEnds_NonXtal_BW#'!$A:$Z,21,FALSE)+VLOOKUP($A323,A:AL,31,FALSE)-50))</f>
        <v>1149</v>
      </c>
      <c r="AE323" s="3">
        <v>1170</v>
      </c>
      <c r="AF323" s="3">
        <f>IF(ISERROR((VLOOKUP($A323,'SegEnds_NonXtal_BW#'!$A:$Z,22,FALSE)+VLOOKUP($A323,A:AL,31,FALSE)-50)),"-",(VLOOKUP($A323,'SegEnds_NonXtal_BW#'!$A:$Z,22,FALSE)+VLOOKUP($A323,A:AL,31,FALSE)-50))</f>
        <v>1173</v>
      </c>
      <c r="AG323" s="3">
        <f>IF(ISERROR(VLOOKUP($A323,'SegEnds_NonXtal_BW#'!$A:$Z,23,FALSE)+VLOOKUP($A323,A:AL,34,FALSE)-50),"-",(VLOOKUP($A323,'SegEnds_NonXtal_BW#'!$A:$Z,23,FALSE)+VLOOKUP($A323,A:AL,34,FALSE)-50))</f>
        <v>1180</v>
      </c>
      <c r="AH323" s="3">
        <v>1199</v>
      </c>
      <c r="AI323" s="3">
        <f>IF(ISERROR((VLOOKUP($A323,'SegEnds_NonXtal_BW#'!$A:$Z,24,FALSE)+VLOOKUP($A323,A:AL,34,FALSE)-50)),"-",(VLOOKUP($A323,'SegEnds_NonXtal_BW#'!$A:$Z,24,FALSE)+VLOOKUP($A323,A:AL,34,FALSE)-50))</f>
        <v>1205</v>
      </c>
      <c r="AJ323" s="3">
        <f>IF(ISERROR(VLOOKUP($A323,'SegEnds_NonXtal_BW#'!$A:$Z,25,FALSE)+VLOOKUP($A323,A:AL,37,FALSE)-50),"-",(VLOOKUP($A323,'SegEnds_NonXtal_BW#'!$A:$Z,25,FALSE)+VLOOKUP($A323,A:AL,37,FALSE)-50))</f>
        <v>1206</v>
      </c>
      <c r="AK323" s="3">
        <v>1209</v>
      </c>
      <c r="AL323" s="3">
        <f>IF(ISERROR((VLOOKUP($A323,'SegEnds_NonXtal_BW#'!$A:$Z,26,FALSE)+VLOOKUP($A323,A:AL,37,FALSE)-50)),"-",(VLOOKUP($A323,'SegEnds_NonXtal_BW#'!$A:$Z,26,FALSE)+VLOOKUP($A323,A:AL,37,FALSE)-50))</f>
        <v>1222</v>
      </c>
      <c r="AM323" s="28" t="str">
        <f>VLOOKUP(A323,Classification!A:B,2,FALSE)</f>
        <v>B2</v>
      </c>
      <c r="AN323" s="28" t="b">
        <f t="shared" si="211"/>
        <v>1</v>
      </c>
      <c r="AO323" s="3" t="str">
        <f>IF(ISERROR(MATCH(A323,'SegEnds_Xtal_Prot#'!B:B, 0)), "NoXtal", "Xtal")</f>
        <v>NoXtal</v>
      </c>
      <c r="AP323" s="3" t="str">
        <f t="shared" si="196"/>
        <v>-</v>
      </c>
      <c r="AQ323" s="3" t="str">
        <f t="shared" si="197"/>
        <v>-</v>
      </c>
      <c r="AR323" s="3" t="str">
        <f t="shared" si="198"/>
        <v>-</v>
      </c>
      <c r="AS323" s="3" t="str">
        <f t="shared" si="199"/>
        <v>-</v>
      </c>
      <c r="AT323" s="3" t="str">
        <f t="shared" si="200"/>
        <v>-</v>
      </c>
      <c r="AU323" s="3" t="str">
        <f t="shared" si="201"/>
        <v>-</v>
      </c>
      <c r="AV323" s="3">
        <f t="shared" si="202"/>
        <v>7</v>
      </c>
      <c r="AW323" s="3">
        <f t="shared" si="203"/>
        <v>3</v>
      </c>
      <c r="AX323" s="3">
        <f t="shared" si="204"/>
        <v>43</v>
      </c>
      <c r="AY323" s="3">
        <f t="shared" si="205"/>
        <v>7</v>
      </c>
      <c r="AZ323" s="3">
        <f t="shared" si="206"/>
        <v>1</v>
      </c>
      <c r="BA323" s="3">
        <f>IF(ISERROR(LEN(VLOOKUP(A323,Seqs!A:E,2,FALSE))-AL323),"-",LEN(VLOOKUP(A323,Seqs!A:E,2,FALSE))-AL323)</f>
        <v>363</v>
      </c>
      <c r="BB323" s="16">
        <f t="shared" si="207"/>
        <v>29</v>
      </c>
      <c r="BC323" s="9" t="str">
        <f t="shared" si="208"/>
        <v>-</v>
      </c>
      <c r="BD323" s="3">
        <f t="shared" si="209"/>
        <v>29</v>
      </c>
      <c r="BE323" s="3">
        <f t="shared" si="210"/>
        <v>83</v>
      </c>
    </row>
    <row r="324" spans="1:59" s="3" customFormat="1" x14ac:dyDescent="0.2">
      <c r="A324" s="3" t="s">
        <v>1176</v>
      </c>
      <c r="B324" s="3" t="str">
        <f>LOWER(VLOOKUP(A324,Xtal_Templ!A:B,2,FALSE))</f>
        <v>crfr1_human</v>
      </c>
      <c r="C324" s="3">
        <f>VLOOKUP($A324,'SegEnds_NonXtal_BW#'!$A:$Z,3,FALSE)+D324-50</f>
        <v>865</v>
      </c>
      <c r="D324" s="3">
        <v>892</v>
      </c>
      <c r="E324" s="3">
        <f>IF(ISERROR(VLOOKUP($A324,'SegEnds_NonXtal_BW#'!$A:$Z,4,FALSE)+VLOOKUP($A324,A:AL,4,FALSE)-50),"-",(VLOOKUP($A324,'SegEnds_NonXtal_BW#'!$A:$Z,4,FALSE)+VLOOKUP($A324,A:AL,4,FALSE)-50))</f>
        <v>902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908</v>
      </c>
      <c r="J324" s="3">
        <v>921</v>
      </c>
      <c r="K324" s="3">
        <f>VLOOKUP($A324,'SegEnds_NonXtal_BW#'!$A:$Z,8,FALSE)+VLOOKUP($A324,A:AL,10,FALSE)-50</f>
        <v>934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939</v>
      </c>
      <c r="P324" s="3">
        <v>966</v>
      </c>
      <c r="Q324" s="3">
        <f>VLOOKUP($A324,'SegEnds_NonXtal_BW#'!$A:$Z,12,FALSE)+VLOOKUP($A324,A:AL,16,FALSE)-50</f>
        <v>972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978</v>
      </c>
      <c r="V324" s="3">
        <v>988</v>
      </c>
      <c r="W324" s="3">
        <f>IF(ISERROR(VLOOKUP($A324,'SegEnds_NonXtal_BW#'!$A:$Z,16,FALSE)+VLOOKUP($A324,A:AL,22,FALSE)-50),"-",(VLOOKUP($A324,'SegEnds_NonXtal_BW#'!$A:$Z,16,FALSE)+VLOOKUP($A324,A:AL,22,FALSE)-50))</f>
        <v>1006</v>
      </c>
      <c r="X324" s="3">
        <f>IF(ISERROR(VLOOKUP($A324,'SegEnds_NonXtal_BW#'!$A:$Z,17,FALSE)+VLOOKUP($A324,A:AL,25,FALSE)-50),"-",(VLOOKUP($A324,'SegEnds_NonXtal_BW#'!$A:$Z,17,FALSE)+VLOOKUP($A324,A:AL,25,FALSE)-50))</f>
        <v>1013</v>
      </c>
      <c r="Y324" s="3">
        <v>1013</v>
      </c>
      <c r="Z324" s="3">
        <f t="shared" si="220"/>
        <v>1015</v>
      </c>
      <c r="AA324" s="3">
        <f>IF(ISERROR(VLOOKUP($A324,'SegEnds_NonXtal_BW#'!$A:$Z,19,FALSE)+VLOOKUP($A324,A:AL,28,FALSE)-50),"-",(VLOOKUP($A324,'SegEnds_NonXtal_BW#'!$A:$Z,19,FALSE)+VLOOKUP($A324,A:AL,28,FALSE)-50))</f>
        <v>1018</v>
      </c>
      <c r="AB324" s="3">
        <v>1032</v>
      </c>
      <c r="AC324" s="3">
        <f>IF(ISERROR((VLOOKUP($A324,'SegEnds_NonXtal_BW#'!$A:$Z,20,FALSE)+VLOOKUP($A324,A:AL,28,FALSE)-50)),"-",(VLOOKUP($A324,'SegEnds_NonXtal_BW#'!$A:$Z,20,FALSE)+VLOOKUP($A324,A:AL,28,FALSE)-50))</f>
        <v>1051</v>
      </c>
      <c r="AD324" s="3">
        <f>IF(ISERROR(VLOOKUP($A324,'SegEnds_NonXtal_BW#'!$A:$Z,21,FALSE)+VLOOKUP($A324,A:AL,31,FALSE)-50),"-",(VLOOKUP($A324,'SegEnds_NonXtal_BW#'!$A:$Z,21,FALSE)+VLOOKUP($A324,A:AL,31,FALSE)-50))</f>
        <v>1094</v>
      </c>
      <c r="AE324" s="3">
        <v>1115</v>
      </c>
      <c r="AF324" s="3">
        <f>IF(ISERROR((VLOOKUP($A324,'SegEnds_NonXtal_BW#'!$A:$Z,22,FALSE)+VLOOKUP($A324,A:AL,31,FALSE)-50)),"-",(VLOOKUP($A324,'SegEnds_NonXtal_BW#'!$A:$Z,22,FALSE)+VLOOKUP($A324,A:AL,31,FALSE)-50))</f>
        <v>1118</v>
      </c>
      <c r="AG324" s="3">
        <f>IF(ISERROR(VLOOKUP($A324,'SegEnds_NonXtal_BW#'!$A:$Z,23,FALSE)+VLOOKUP($A324,A:AL,34,FALSE)-50),"-",(VLOOKUP($A324,'SegEnds_NonXtal_BW#'!$A:$Z,23,FALSE)+VLOOKUP($A324,A:AL,34,FALSE)-50))</f>
        <v>1125</v>
      </c>
      <c r="AH324" s="3">
        <v>1144</v>
      </c>
      <c r="AI324" s="3">
        <f>IF(ISERROR((VLOOKUP($A324,'SegEnds_NonXtal_BW#'!$A:$Z,24,FALSE)+VLOOKUP($A324,A:AL,34,FALSE)-50)),"-",(VLOOKUP($A324,'SegEnds_NonXtal_BW#'!$A:$Z,24,FALSE)+VLOOKUP($A324,A:AL,34,FALSE)-50))</f>
        <v>1150</v>
      </c>
      <c r="AJ324" s="3">
        <f>IF(ISERROR(VLOOKUP($A324,'SegEnds_NonXtal_BW#'!$A:$Z,25,FALSE)+VLOOKUP($A324,A:AL,37,FALSE)-50),"-",(VLOOKUP($A324,'SegEnds_NonXtal_BW#'!$A:$Z,25,FALSE)+VLOOKUP($A324,A:AL,37,FALSE)-50))</f>
        <v>1151</v>
      </c>
      <c r="AK324" s="3">
        <v>1154</v>
      </c>
      <c r="AL324" s="3">
        <f>IF(ISERROR((VLOOKUP($A324,'SegEnds_NonXtal_BW#'!$A:$Z,26,FALSE)+VLOOKUP($A324,A:AL,37,FALSE)-50)),"-",(VLOOKUP($A324,'SegEnds_NonXtal_BW#'!$A:$Z,26,FALSE)+VLOOKUP($A324,A:AL,37,FALSE)-50))</f>
        <v>1167</v>
      </c>
      <c r="AM324" s="28" t="str">
        <f>VLOOKUP(A324,Classification!A:B,2,FALSE)</f>
        <v>B2</v>
      </c>
      <c r="AN324" s="28" t="b">
        <f t="shared" si="211"/>
        <v>1</v>
      </c>
      <c r="AO324" s="3" t="str">
        <f>IF(ISERROR(MATCH(A324,'SegEnds_Xtal_Prot#'!B:B, 0)), "NoXtal", "Xtal")</f>
        <v>NoXtal</v>
      </c>
      <c r="AP324" s="3" t="str">
        <f t="shared" si="196"/>
        <v>-</v>
      </c>
      <c r="AQ324" s="3" t="str">
        <f t="shared" si="197"/>
        <v>-</v>
      </c>
      <c r="AR324" s="3" t="str">
        <f t="shared" si="198"/>
        <v>-</v>
      </c>
      <c r="AS324" s="3" t="str">
        <f t="shared" si="199"/>
        <v>-</v>
      </c>
      <c r="AT324" s="3" t="str">
        <f t="shared" si="200"/>
        <v>-</v>
      </c>
      <c r="AU324" s="3" t="str">
        <f t="shared" si="201"/>
        <v>-</v>
      </c>
      <c r="AV324" s="3">
        <f t="shared" si="202"/>
        <v>7</v>
      </c>
      <c r="AW324" s="3">
        <f t="shared" si="203"/>
        <v>3</v>
      </c>
      <c r="AX324" s="3">
        <f t="shared" si="204"/>
        <v>43</v>
      </c>
      <c r="AY324" s="3">
        <f t="shared" si="205"/>
        <v>7</v>
      </c>
      <c r="AZ324" s="3">
        <f t="shared" si="206"/>
        <v>1</v>
      </c>
      <c r="BA324" s="3">
        <f>IF(ISERROR(LEN(VLOOKUP(A324,Seqs!A:E,2,FALSE))-AL324),"-",LEN(VLOOKUP(A324,Seqs!A:E,2,FALSE))-AL324)</f>
        <v>355</v>
      </c>
      <c r="BB324" s="16">
        <f t="shared" si="207"/>
        <v>29</v>
      </c>
      <c r="BC324" s="9" t="str">
        <f t="shared" si="208"/>
        <v>-</v>
      </c>
      <c r="BD324" s="3">
        <f t="shared" si="209"/>
        <v>29</v>
      </c>
      <c r="BE324" s="3">
        <f t="shared" si="210"/>
        <v>83</v>
      </c>
    </row>
    <row r="325" spans="1:59" s="3" customFormat="1" x14ac:dyDescent="0.2">
      <c r="A325" s="3" t="s">
        <v>1177</v>
      </c>
      <c r="B325" s="3" t="str">
        <f>LOWER(VLOOKUP(A325,Xtal_Templ!A:B,2,FALSE))</f>
        <v>crfr1_human</v>
      </c>
      <c r="C325" s="3">
        <f>VLOOKUP($A325,'SegEnds_NonXtal_BW#'!$A:$Z,3,FALSE)+D325-50</f>
        <v>554</v>
      </c>
      <c r="D325" s="3">
        <v>581</v>
      </c>
      <c r="E325" s="3">
        <f>IF(ISERROR(VLOOKUP($A325,'SegEnds_NonXtal_BW#'!$A:$Z,4,FALSE)+VLOOKUP($A325,A:AL,4,FALSE)-50),"-",(VLOOKUP($A325,'SegEnds_NonXtal_BW#'!$A:$Z,4,FALSE)+VLOOKUP($A325,A:AL,4,FALSE)-50))</f>
        <v>591</v>
      </c>
      <c r="F325" s="3">
        <f>G325-2</f>
        <v>592</v>
      </c>
      <c r="G325" s="3">
        <v>594</v>
      </c>
      <c r="H325" s="3">
        <f>G325+1</f>
        <v>595</v>
      </c>
      <c r="I325" s="3">
        <f>H325+1</f>
        <v>596</v>
      </c>
      <c r="J325" s="3">
        <v>612</v>
      </c>
      <c r="K325" s="3">
        <f>VLOOKUP($A325,'SegEnds_NonXtal_BW#'!$A:$Z,8,FALSE)+VLOOKUP($A325,A:AL,10,FALSE)-50</f>
        <v>625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630</v>
      </c>
      <c r="P325" s="3">
        <v>657</v>
      </c>
      <c r="Q325" s="3">
        <f>VLOOKUP($A325,'SegEnds_NonXtal_BW#'!$A:$Z,12,FALSE)+VLOOKUP($A325,A:AL,16,FALSE)-50</f>
        <v>663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670</v>
      </c>
      <c r="V325" s="3">
        <v>680</v>
      </c>
      <c r="W325" s="3">
        <f>IF(ISERROR(VLOOKUP($A325,'SegEnds_NonXtal_BW#'!$A:$Z,16,FALSE)+VLOOKUP($A325,A:AL,22,FALSE)-50),"-",(VLOOKUP($A325,'SegEnds_NonXtal_BW#'!$A:$Z,16,FALSE)+VLOOKUP($A325,A:AL,22,FALSE)-50))</f>
        <v>698</v>
      </c>
      <c r="X325" s="3">
        <f>IF(ISERROR(VLOOKUP($A325,'SegEnds_NonXtal_BW#'!$A:$Z,17,FALSE)+VLOOKUP($A325,A:AL,25,FALSE)-50),"-",(VLOOKUP($A325,'SegEnds_NonXtal_BW#'!$A:$Z,17,FALSE)+VLOOKUP($A325,A:AL,25,FALSE)-50))</f>
        <v>704</v>
      </c>
      <c r="Y325" s="3">
        <v>704</v>
      </c>
      <c r="Z325" s="3">
        <f t="shared" si="220"/>
        <v>706</v>
      </c>
      <c r="AA325" s="3">
        <f>IF(ISERROR(VLOOKUP($A325,'SegEnds_NonXtal_BW#'!$A:$Z,19,FALSE)+VLOOKUP($A325,A:AL,28,FALSE)-50),"-",(VLOOKUP($A325,'SegEnds_NonXtal_BW#'!$A:$Z,19,FALSE)+VLOOKUP($A325,A:AL,28,FALSE)-50))</f>
        <v>709</v>
      </c>
      <c r="AB325" s="3">
        <v>723</v>
      </c>
      <c r="AC325" s="3">
        <f>IF(ISERROR((VLOOKUP($A325,'SegEnds_NonXtal_BW#'!$A:$Z,20,FALSE)+VLOOKUP($A325,A:AL,28,FALSE)-50)),"-",(VLOOKUP($A325,'SegEnds_NonXtal_BW#'!$A:$Z,20,FALSE)+VLOOKUP($A325,A:AL,28,FALSE)-50))</f>
        <v>742</v>
      </c>
      <c r="AD325" s="3">
        <f>IF(ISERROR(VLOOKUP($A325,'SegEnds_NonXtal_BW#'!$A:$Z,21,FALSE)+VLOOKUP($A325,A:AL,31,FALSE)-50),"-",(VLOOKUP($A325,'SegEnds_NonXtal_BW#'!$A:$Z,21,FALSE)+VLOOKUP($A325,A:AL,31,FALSE)-50))</f>
        <v>754</v>
      </c>
      <c r="AE325" s="3">
        <v>775</v>
      </c>
      <c r="AF325" s="3">
        <f>IF(ISERROR((VLOOKUP($A325,'SegEnds_NonXtal_BW#'!$A:$Z,22,FALSE)+VLOOKUP($A325,A:AL,31,FALSE)-50)),"-",(VLOOKUP($A325,'SegEnds_NonXtal_BW#'!$A:$Z,22,FALSE)+VLOOKUP($A325,A:AL,31,FALSE)-50))</f>
        <v>778</v>
      </c>
      <c r="AG325" s="3">
        <f>IF(ISERROR(VLOOKUP($A325,'SegEnds_NonXtal_BW#'!$A:$Z,23,FALSE)+VLOOKUP($A325,A:AL,34,FALSE)-50),"-",(VLOOKUP($A325,'SegEnds_NonXtal_BW#'!$A:$Z,23,FALSE)+VLOOKUP($A325,A:AL,34,FALSE)-50))</f>
        <v>784</v>
      </c>
      <c r="AH325" s="3">
        <v>803</v>
      </c>
      <c r="AI325" s="3">
        <f>IF(ISERROR((VLOOKUP($A325,'SegEnds_NonXtal_BW#'!$A:$Z,24,FALSE)+VLOOKUP($A325,A:AL,34,FALSE)-50)),"-",(VLOOKUP($A325,'SegEnds_NonXtal_BW#'!$A:$Z,24,FALSE)+VLOOKUP($A325,A:AL,34,FALSE)-50))</f>
        <v>809</v>
      </c>
      <c r="AJ325" s="3">
        <f>IF(ISERROR(VLOOKUP($A325,'SegEnds_NonXtal_BW#'!$A:$Z,25,FALSE)+VLOOKUP($A325,A:AL,37,FALSE)-50),"-",(VLOOKUP($A325,'SegEnds_NonXtal_BW#'!$A:$Z,25,FALSE)+VLOOKUP($A325,A:AL,37,FALSE)-50))</f>
        <v>810</v>
      </c>
      <c r="AK325" s="3">
        <v>813</v>
      </c>
      <c r="AL325" s="3">
        <f>IF(ISERROR((VLOOKUP($A325,'SegEnds_NonXtal_BW#'!$A:$Z,26,FALSE)+VLOOKUP($A325,A:AL,37,FALSE)-50)),"-",(VLOOKUP($A325,'SegEnds_NonXtal_BW#'!$A:$Z,26,FALSE)+VLOOKUP($A325,A:AL,37,FALSE)-50))</f>
        <v>826</v>
      </c>
      <c r="AM325" s="28" t="str">
        <f>VLOOKUP(A325,Classification!A:B,2,FALSE)</f>
        <v>B2</v>
      </c>
      <c r="AN325" s="28" t="b">
        <f t="shared" si="211"/>
        <v>1</v>
      </c>
      <c r="AO325" s="3" t="str">
        <f>IF(ISERROR(MATCH(A325,'SegEnds_Xtal_Prot#'!B:B, 0)), "NoXtal", "Xtal")</f>
        <v>NoXtal</v>
      </c>
      <c r="AP325" s="3">
        <f t="shared" si="196"/>
        <v>1</v>
      </c>
      <c r="AQ325" s="3">
        <f t="shared" si="197"/>
        <v>1</v>
      </c>
      <c r="AR325" s="3" t="str">
        <f t="shared" si="198"/>
        <v>-</v>
      </c>
      <c r="AS325" s="3" t="str">
        <f t="shared" si="199"/>
        <v>-</v>
      </c>
      <c r="AT325" s="3" t="str">
        <f t="shared" si="200"/>
        <v>-</v>
      </c>
      <c r="AU325" s="3" t="str">
        <f t="shared" si="201"/>
        <v>-</v>
      </c>
      <c r="AV325" s="3">
        <f t="shared" si="202"/>
        <v>6</v>
      </c>
      <c r="AW325" s="3">
        <f t="shared" si="203"/>
        <v>3</v>
      </c>
      <c r="AX325" s="3">
        <f t="shared" si="204"/>
        <v>12</v>
      </c>
      <c r="AY325" s="3">
        <f t="shared" si="205"/>
        <v>6</v>
      </c>
      <c r="AZ325" s="3">
        <f t="shared" si="206"/>
        <v>1</v>
      </c>
      <c r="BA325" s="3">
        <f>IF(ISERROR(LEN(VLOOKUP(A325,Seqs!A:E,2,FALSE))-AL325),"-",LEN(VLOOKUP(A325,Seqs!A:E,2,FALSE))-AL325)</f>
        <v>48</v>
      </c>
      <c r="BB325" s="16">
        <f t="shared" si="207"/>
        <v>31</v>
      </c>
      <c r="BC325" s="9" t="str">
        <f t="shared" si="208"/>
        <v>-</v>
      </c>
      <c r="BD325" s="3">
        <f t="shared" si="209"/>
        <v>31</v>
      </c>
      <c r="BE325" s="3">
        <f t="shared" si="210"/>
        <v>52</v>
      </c>
    </row>
    <row r="326" spans="1:59" s="3" customFormat="1" x14ac:dyDescent="0.2">
      <c r="A326" s="3" t="s">
        <v>1178</v>
      </c>
      <c r="B326" s="3" t="str">
        <f>LOWER(VLOOKUP(A326,Xtal_Templ!A:B,2,FALSE))</f>
        <v>crfr1_human</v>
      </c>
      <c r="C326" s="3">
        <f>VLOOKUP($A326,'SegEnds_NonXtal_BW#'!$A:$Z,3,FALSE)+D326-50</f>
        <v>646</v>
      </c>
      <c r="D326" s="3">
        <v>673</v>
      </c>
      <c r="E326" s="3">
        <f>IF(ISERROR(VLOOKUP($A326,'SegEnds_NonXtal_BW#'!$A:$Z,4,FALSE)+VLOOKUP($A326,A:AL,4,FALSE)-50),"-",(VLOOKUP($A326,'SegEnds_NonXtal_BW#'!$A:$Z,4,FALSE)+VLOOKUP($A326,A:AL,4,FALSE)-50))</f>
        <v>683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688</v>
      </c>
      <c r="J326" s="3">
        <v>701</v>
      </c>
      <c r="K326" s="3">
        <f>VLOOKUP($A326,'SegEnds_NonXtal_BW#'!$A:$Z,8,FALSE)+VLOOKUP($A326,A:AL,10,FALSE)-50</f>
        <v>714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719</v>
      </c>
      <c r="P326" s="3">
        <v>746</v>
      </c>
      <c r="Q326" s="3">
        <f>VLOOKUP($A326,'SegEnds_NonXtal_BW#'!$A:$Z,12,FALSE)+VLOOKUP($A326,A:AL,16,FALSE)-50</f>
        <v>752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759</v>
      </c>
      <c r="V326" s="3">
        <v>769</v>
      </c>
      <c r="W326" s="3">
        <f>IF(ISERROR(VLOOKUP($A326,'SegEnds_NonXtal_BW#'!$A:$Z,16,FALSE)+VLOOKUP($A326,A:AL,22,FALSE)-50),"-",(VLOOKUP($A326,'SegEnds_NonXtal_BW#'!$A:$Z,16,FALSE)+VLOOKUP($A326,A:AL,22,FALSE)-50))</f>
        <v>787</v>
      </c>
      <c r="X326" s="3">
        <f>IF(ISERROR(VLOOKUP($A326,'SegEnds_NonXtal_BW#'!$A:$Z,17,FALSE)+VLOOKUP($A326,A:AL,25,FALSE)-50),"-",(VLOOKUP($A326,'SegEnds_NonXtal_BW#'!$A:$Z,17,FALSE)+VLOOKUP($A326,A:AL,25,FALSE)-50))</f>
        <v>793</v>
      </c>
      <c r="Y326" s="3">
        <v>793</v>
      </c>
      <c r="Z326" s="3">
        <f t="shared" si="220"/>
        <v>795</v>
      </c>
      <c r="AA326" s="3">
        <f>IF(ISERROR(VLOOKUP($A326,'SegEnds_NonXtal_BW#'!$A:$Z,19,FALSE)+VLOOKUP($A326,A:AL,28,FALSE)-50),"-",(VLOOKUP($A326,'SegEnds_NonXtal_BW#'!$A:$Z,19,FALSE)+VLOOKUP($A326,A:AL,28,FALSE)-50))</f>
        <v>798</v>
      </c>
      <c r="AB326" s="3">
        <v>812</v>
      </c>
      <c r="AC326" s="3">
        <f>IF(ISERROR((VLOOKUP($A326,'SegEnds_NonXtal_BW#'!$A:$Z,20,FALSE)+VLOOKUP($A326,A:AL,28,FALSE)-50)),"-",(VLOOKUP($A326,'SegEnds_NonXtal_BW#'!$A:$Z,20,FALSE)+VLOOKUP($A326,A:AL,28,FALSE)-50))</f>
        <v>831</v>
      </c>
      <c r="AD326" s="3">
        <f>IF(ISERROR(VLOOKUP($A326,'SegEnds_NonXtal_BW#'!$A:$Z,21,FALSE)+VLOOKUP($A326,A:AL,31,FALSE)-50),"-",(VLOOKUP($A326,'SegEnds_NonXtal_BW#'!$A:$Z,21,FALSE)+VLOOKUP($A326,A:AL,31,FALSE)-50))</f>
        <v>857</v>
      </c>
      <c r="AE326" s="3">
        <v>878</v>
      </c>
      <c r="AF326" s="3">
        <f>IF(ISERROR((VLOOKUP($A326,'SegEnds_NonXtal_BW#'!$A:$Z,22,FALSE)+VLOOKUP($A326,A:AL,31,FALSE)-50)),"-",(VLOOKUP($A326,'SegEnds_NonXtal_BW#'!$A:$Z,22,FALSE)+VLOOKUP($A326,A:AL,31,FALSE)-50))</f>
        <v>878</v>
      </c>
      <c r="AG326" s="3">
        <f>IF(ISERROR(VLOOKUP($A326,'SegEnds_NonXtal_BW#'!$A:$Z,23,FALSE)+VLOOKUP($A326,A:AL,34,FALSE)-50),"-",(VLOOKUP($A326,'SegEnds_NonXtal_BW#'!$A:$Z,23,FALSE)+VLOOKUP($A326,A:AL,34,FALSE)-50))</f>
        <v>881</v>
      </c>
      <c r="AH326" s="3">
        <v>898</v>
      </c>
      <c r="AI326" s="3">
        <f>IF(ISERROR((VLOOKUP($A326,'SegEnds_NonXtal_BW#'!$A:$Z,24,FALSE)+VLOOKUP($A326,A:AL,34,FALSE)-50)),"-",(VLOOKUP($A326,'SegEnds_NonXtal_BW#'!$A:$Z,24,FALSE)+VLOOKUP($A326,A:AL,34,FALSE)-50))</f>
        <v>904</v>
      </c>
      <c r="AJ326" s="3">
        <f>IF(ISERROR(VLOOKUP($A326,'SegEnds_NonXtal_BW#'!$A:$Z,25,FALSE)+VLOOKUP($A326,A:AL,37,FALSE)-50),"-",(VLOOKUP($A326,'SegEnds_NonXtal_BW#'!$A:$Z,25,FALSE)+VLOOKUP($A326,A:AL,37,FALSE)-50))</f>
        <v>905</v>
      </c>
      <c r="AK326" s="3">
        <v>908</v>
      </c>
      <c r="AL326" s="3">
        <f>IF(ISERROR((VLOOKUP($A326,'SegEnds_NonXtal_BW#'!$A:$Z,26,FALSE)+VLOOKUP($A326,A:AL,37,FALSE)-50)),"-",(VLOOKUP($A326,'SegEnds_NonXtal_BW#'!$A:$Z,26,FALSE)+VLOOKUP($A326,A:AL,37,FALSE)-50))</f>
        <v>921</v>
      </c>
      <c r="AM326" s="28" t="str">
        <f>VLOOKUP(A326,Classification!A:B,2,FALSE)</f>
        <v>B2</v>
      </c>
      <c r="AN326" s="28" t="b">
        <f t="shared" si="211"/>
        <v>1</v>
      </c>
      <c r="AO326" s="3" t="str">
        <f>IF(ISERROR(MATCH(A326,'SegEnds_Xtal_Prot#'!B:B, 0)), "NoXtal", "Xtal")</f>
        <v>NoXtal</v>
      </c>
      <c r="AP326" s="3" t="str">
        <f t="shared" si="196"/>
        <v>-</v>
      </c>
      <c r="AQ326" s="3" t="str">
        <f t="shared" si="197"/>
        <v>-</v>
      </c>
      <c r="AR326" s="3" t="str">
        <f t="shared" si="198"/>
        <v>-</v>
      </c>
      <c r="AS326" s="3" t="str">
        <f t="shared" si="199"/>
        <v>-</v>
      </c>
      <c r="AT326" s="3" t="str">
        <f t="shared" si="200"/>
        <v>-</v>
      </c>
      <c r="AU326" s="3" t="str">
        <f t="shared" si="201"/>
        <v>-</v>
      </c>
      <c r="AV326" s="3">
        <f t="shared" si="202"/>
        <v>6</v>
      </c>
      <c r="AW326" s="3">
        <f t="shared" si="203"/>
        <v>3</v>
      </c>
      <c r="AX326" s="3">
        <f t="shared" si="204"/>
        <v>26</v>
      </c>
      <c r="AY326" s="3">
        <f t="shared" si="205"/>
        <v>3</v>
      </c>
      <c r="AZ326" s="3">
        <f t="shared" si="206"/>
        <v>1</v>
      </c>
      <c r="BA326" s="3">
        <f>IF(ISERROR(LEN(VLOOKUP(A326,Seqs!A:E,2,FALSE))-AL326),"-",LEN(VLOOKUP(A326,Seqs!A:E,2,FALSE))-AL326)</f>
        <v>42</v>
      </c>
      <c r="BB326" s="16">
        <f t="shared" si="207"/>
        <v>28</v>
      </c>
      <c r="BC326" s="9" t="str">
        <f t="shared" si="208"/>
        <v>-</v>
      </c>
      <c r="BD326" s="3">
        <f t="shared" si="209"/>
        <v>28</v>
      </c>
      <c r="BE326" s="3">
        <f t="shared" si="210"/>
        <v>66</v>
      </c>
    </row>
    <row r="327" spans="1:59" s="3" customFormat="1" x14ac:dyDescent="0.2">
      <c r="A327" s="3" t="s">
        <v>1179</v>
      </c>
      <c r="B327" s="3" t="str">
        <f>LOWER(VLOOKUP(A327,Xtal_Templ!A:B,2,FALSE))</f>
        <v>pth1r_human</v>
      </c>
      <c r="C327" s="3">
        <f>VLOOKUP($A327,'SegEnds_NonXtal_BW#'!$A:$Z,3,FALSE)+D327-50</f>
        <v>590</v>
      </c>
      <c r="D327" s="3">
        <v>617</v>
      </c>
      <c r="E327" s="3">
        <f>IF(ISERROR(VLOOKUP($A327,'SegEnds_NonXtal_BW#'!$A:$Z,4,FALSE)+VLOOKUP($A327,A:AL,4,FALSE)-50),"-",(VLOOKUP($A327,'SegEnds_NonXtal_BW#'!$A:$Z,4,FALSE)+VLOOKUP($A327,A:AL,4,FALSE)-50))</f>
        <v>627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632</v>
      </c>
      <c r="J327" s="3">
        <v>645</v>
      </c>
      <c r="K327" s="3">
        <f>VLOOKUP($A327,'SegEnds_NonXtal_BW#'!$A:$Z,8,FALSE)+VLOOKUP($A327,A:AL,10,FALSE)-50</f>
        <v>658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663</v>
      </c>
      <c r="P327" s="3">
        <v>690</v>
      </c>
      <c r="Q327" s="3">
        <f>VLOOKUP($A327,'SegEnds_NonXtal_BW#'!$A:$Z,12,FALSE)+VLOOKUP($A327,A:AL,16,FALSE)-50</f>
        <v>696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705</v>
      </c>
      <c r="V327" s="3">
        <v>718</v>
      </c>
      <c r="W327" s="3">
        <f>IF(ISERROR(VLOOKUP($A327,'SegEnds_NonXtal_BW#'!$A:$Z,16,FALSE)+VLOOKUP($A327,A:AL,22,FALSE)-50),"-",(VLOOKUP($A327,'SegEnds_NonXtal_BW#'!$A:$Z,16,FALSE)+VLOOKUP($A327,A:AL,22,FALSE)-50))</f>
        <v>736</v>
      </c>
      <c r="X327" s="3">
        <f>IF(ISERROR(VLOOKUP($A327,'SegEnds_NonXtal_BW#'!$A:$Z,17,FALSE)+VLOOKUP($A327,A:AL,25,FALSE)-50),"-",(VLOOKUP($A327,'SegEnds_NonXtal_BW#'!$A:$Z,17,FALSE)+VLOOKUP($A327,A:AL,25,FALSE)-50))</f>
        <v>742</v>
      </c>
      <c r="Y327" s="3">
        <v>742</v>
      </c>
      <c r="Z327" s="3">
        <f t="shared" si="220"/>
        <v>744</v>
      </c>
      <c r="AA327" s="3">
        <f>IF(ISERROR(VLOOKUP($A327,'SegEnds_NonXtal_BW#'!$A:$Z,19,FALSE)+VLOOKUP($A327,A:AL,28,FALSE)-50),"-",(VLOOKUP($A327,'SegEnds_NonXtal_BW#'!$A:$Z,19,FALSE)+VLOOKUP($A327,A:AL,28,FALSE)-50))</f>
        <v>747</v>
      </c>
      <c r="AB327" s="3">
        <v>761</v>
      </c>
      <c r="AC327" s="3">
        <f>IF(ISERROR((VLOOKUP($A327,'SegEnds_NonXtal_BW#'!$A:$Z,20,FALSE)+VLOOKUP($A327,A:AL,28,FALSE)-50)),"-",(VLOOKUP($A327,'SegEnds_NonXtal_BW#'!$A:$Z,20,FALSE)+VLOOKUP($A327,A:AL,28,FALSE)-50))</f>
        <v>780</v>
      </c>
      <c r="AD327" s="3">
        <f>IF(ISERROR(VLOOKUP($A327,'SegEnds_NonXtal_BW#'!$A:$Z,21,FALSE)+VLOOKUP($A327,A:AL,31,FALSE)-50),"-",(VLOOKUP($A327,'SegEnds_NonXtal_BW#'!$A:$Z,21,FALSE)+VLOOKUP($A327,A:AL,31,FALSE)-50))</f>
        <v>792</v>
      </c>
      <c r="AE327" s="3">
        <v>813</v>
      </c>
      <c r="AF327" s="3">
        <f>IF(ISERROR((VLOOKUP($A327,'SegEnds_NonXtal_BW#'!$A:$Z,22,FALSE)+VLOOKUP($A327,A:AL,31,FALSE)-50)),"-",(VLOOKUP($A327,'SegEnds_NonXtal_BW#'!$A:$Z,22,FALSE)+VLOOKUP($A327,A:AL,31,FALSE)-50))</f>
        <v>817</v>
      </c>
      <c r="AG327" s="3">
        <f>IF(ISERROR(VLOOKUP($A327,'SegEnds_NonXtal_BW#'!$A:$Z,23,FALSE)+VLOOKUP($A327,A:AL,34,FALSE)-50),"-",(VLOOKUP($A327,'SegEnds_NonXtal_BW#'!$A:$Z,23,FALSE)+VLOOKUP($A327,A:AL,34,FALSE)-50))</f>
        <v>822</v>
      </c>
      <c r="AH327" s="3">
        <v>841</v>
      </c>
      <c r="AI327" s="3">
        <f>IF(ISERROR((VLOOKUP($A327,'SegEnds_NonXtal_BW#'!$A:$Z,24,FALSE)+VLOOKUP($A327,A:AL,34,FALSE)-50)),"-",(VLOOKUP($A327,'SegEnds_NonXtal_BW#'!$A:$Z,24,FALSE)+VLOOKUP($A327,A:AL,34,FALSE)-50))</f>
        <v>847</v>
      </c>
      <c r="AJ327" s="3">
        <f>IF(ISERROR(VLOOKUP($A327,'SegEnds_NonXtal_BW#'!$A:$Z,25,FALSE)+VLOOKUP($A327,A:AL,37,FALSE)-50),"-",(VLOOKUP($A327,'SegEnds_NonXtal_BW#'!$A:$Z,25,FALSE)+VLOOKUP($A327,A:AL,37,FALSE)-50))</f>
        <v>848</v>
      </c>
      <c r="AK327" s="3">
        <v>851</v>
      </c>
      <c r="AL327" s="3">
        <f>IF(ISERROR((VLOOKUP($A327,'SegEnds_NonXtal_BW#'!$A:$Z,26,FALSE)+VLOOKUP($A327,A:AL,37,FALSE)-50)),"-",(VLOOKUP($A327,'SegEnds_NonXtal_BW#'!$A:$Z,26,FALSE)+VLOOKUP($A327,A:AL,37,FALSE)-50))</f>
        <v>864</v>
      </c>
      <c r="AM327" s="28" t="str">
        <f>VLOOKUP(A327,Classification!A:B,2,FALSE)</f>
        <v>B2</v>
      </c>
      <c r="AN327" s="28" t="b">
        <f t="shared" si="211"/>
        <v>1</v>
      </c>
      <c r="AO327" s="3" t="str">
        <f>IF(ISERROR(MATCH(A327,'SegEnds_Xtal_Prot#'!B:B, 0)), "NoXtal", "Xtal")</f>
        <v>NoXtal</v>
      </c>
      <c r="AP327" s="3" t="str">
        <f t="shared" si="196"/>
        <v>-</v>
      </c>
      <c r="AQ327" s="3" t="str">
        <f t="shared" si="197"/>
        <v>-</v>
      </c>
      <c r="AR327" s="3" t="str">
        <f t="shared" si="198"/>
        <v>-</v>
      </c>
      <c r="AS327" s="3" t="str">
        <f t="shared" si="199"/>
        <v>-</v>
      </c>
      <c r="AT327" s="3" t="str">
        <f t="shared" si="200"/>
        <v>-</v>
      </c>
      <c r="AU327" s="3" t="str">
        <f t="shared" si="201"/>
        <v>-</v>
      </c>
      <c r="AV327" s="3">
        <f t="shared" si="202"/>
        <v>6</v>
      </c>
      <c r="AW327" s="3">
        <f t="shared" si="203"/>
        <v>3</v>
      </c>
      <c r="AX327" s="3">
        <f t="shared" si="204"/>
        <v>12</v>
      </c>
      <c r="AY327" s="3">
        <f t="shared" si="205"/>
        <v>5</v>
      </c>
      <c r="AZ327" s="3">
        <f t="shared" si="206"/>
        <v>1</v>
      </c>
      <c r="BA327" s="3">
        <f>IF(ISERROR(LEN(VLOOKUP(A327,Seqs!A:E,2,FALSE))-AL327),"-",LEN(VLOOKUP(A327,Seqs!A:E,2,FALSE))-AL327)</f>
        <v>22</v>
      </c>
      <c r="BB327" s="16">
        <f t="shared" si="207"/>
        <v>28</v>
      </c>
      <c r="BC327" s="9" t="str">
        <f t="shared" si="208"/>
        <v>-</v>
      </c>
      <c r="BD327" s="3">
        <f t="shared" si="209"/>
        <v>28</v>
      </c>
      <c r="BE327" s="3">
        <f t="shared" si="210"/>
        <v>52</v>
      </c>
      <c r="BF327" s="3">
        <f>AH327-AE327</f>
        <v>28</v>
      </c>
    </row>
    <row r="328" spans="1:59" s="3" customFormat="1" x14ac:dyDescent="0.2">
      <c r="A328" s="3" t="s">
        <v>1180</v>
      </c>
      <c r="B328" s="3" t="str">
        <f>LOWER(VLOOKUP(A328,Xtal_Templ!A:B,2,FALSE))</f>
        <v>glp1r_human</v>
      </c>
      <c r="C328" s="3">
        <f>VLOOKUP($A328,'SegEnds_NonXtal_BW#'!$A:$Z,3,FALSE)+D328-50</f>
        <v>524</v>
      </c>
      <c r="D328" s="3">
        <v>551</v>
      </c>
      <c r="E328" s="3">
        <f>IF(ISERROR(VLOOKUP($A328,'SegEnds_NonXtal_BW#'!$A:$Z,4,FALSE)+VLOOKUP($A328,A:AL,4,FALSE)-50),"-",(VLOOKUP($A328,'SegEnds_NonXtal_BW#'!$A:$Z,4,FALSE)+VLOOKUP($A328,A:AL,4,FALSE)-50))</f>
        <v>561</v>
      </c>
      <c r="F328" s="3">
        <f>G328-2</f>
        <v>562</v>
      </c>
      <c r="G328" s="3">
        <v>564</v>
      </c>
      <c r="H328" s="3">
        <f t="shared" ref="H328:I330" si="226">G328+1</f>
        <v>565</v>
      </c>
      <c r="I328" s="3">
        <f t="shared" si="226"/>
        <v>566</v>
      </c>
      <c r="J328" s="3">
        <v>579</v>
      </c>
      <c r="K328" s="3">
        <f>VLOOKUP($A328,'SegEnds_NonXtal_BW#'!$A:$Z,8,FALSE)+VLOOKUP($A328,A:AL,10,FALSE)-50</f>
        <v>592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597</v>
      </c>
      <c r="P328" s="3">
        <v>624</v>
      </c>
      <c r="Q328" s="3">
        <f>VLOOKUP($A328,'SegEnds_NonXtal_BW#'!$A:$Z,12,FALSE)+VLOOKUP($A328,A:AL,16,FALSE)-50</f>
        <v>630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640</v>
      </c>
      <c r="V328" s="3">
        <v>652</v>
      </c>
      <c r="W328" s="3">
        <f>IF(ISERROR(VLOOKUP($A328,'SegEnds_NonXtal_BW#'!$A:$Z,16,FALSE)+VLOOKUP($A328,A:AL,22,FALSE)-50),"-",(VLOOKUP($A328,'SegEnds_NonXtal_BW#'!$A:$Z,16,FALSE)+VLOOKUP($A328,A:AL,22,FALSE)-50))</f>
        <v>670</v>
      </c>
      <c r="X328" s="3">
        <f>IF(ISERROR(VLOOKUP($A328,'SegEnds_NonXtal_BW#'!$A:$Z,17,FALSE)+VLOOKUP($A328,A:AL,25,FALSE)-50),"-",(VLOOKUP($A328,'SegEnds_NonXtal_BW#'!$A:$Z,17,FALSE)+VLOOKUP($A328,A:AL,25,FALSE)-50))</f>
        <v>676</v>
      </c>
      <c r="Y328" s="3">
        <v>676</v>
      </c>
      <c r="Z328" s="3">
        <f t="shared" si="220"/>
        <v>678</v>
      </c>
      <c r="AA328" s="3">
        <f>IF(ISERROR(VLOOKUP($A328,'SegEnds_NonXtal_BW#'!$A:$Z,19,FALSE)+VLOOKUP($A328,A:AL,28,FALSE)-50),"-",(VLOOKUP($A328,'SegEnds_NonXtal_BW#'!$A:$Z,19,FALSE)+VLOOKUP($A328,A:AL,28,FALSE)-50))</f>
        <v>681</v>
      </c>
      <c r="AB328" s="3">
        <v>695</v>
      </c>
      <c r="AC328" s="3">
        <f>IF(ISERROR((VLOOKUP($A328,'SegEnds_NonXtal_BW#'!$A:$Z,20,FALSE)+VLOOKUP($A328,A:AL,28,FALSE)-50)),"-",(VLOOKUP($A328,'SegEnds_NonXtal_BW#'!$A:$Z,20,FALSE)+VLOOKUP($A328,A:AL,28,FALSE)-50))</f>
        <v>714</v>
      </c>
      <c r="AD328" s="3">
        <f>IF(ISERROR(VLOOKUP($A328,'SegEnds_NonXtal_BW#'!$A:$Z,21,FALSE)+VLOOKUP($A328,A:AL,31,FALSE)-50),"-",(VLOOKUP($A328,'SegEnds_NonXtal_BW#'!$A:$Z,21,FALSE)+VLOOKUP($A328,A:AL,31,FALSE)-50))</f>
        <v>726</v>
      </c>
      <c r="AE328" s="3">
        <v>747</v>
      </c>
      <c r="AF328" s="3">
        <f>IF(ISERROR((VLOOKUP($A328,'SegEnds_NonXtal_BW#'!$A:$Z,22,FALSE)+VLOOKUP($A328,A:AL,31,FALSE)-50)),"-",(VLOOKUP($A328,'SegEnds_NonXtal_BW#'!$A:$Z,22,FALSE)+VLOOKUP($A328,A:AL,31,FALSE)-50))</f>
        <v>750</v>
      </c>
      <c r="AG328" s="3">
        <f>IF(ISERROR(VLOOKUP($A328,'SegEnds_NonXtal_BW#'!$A:$Z,23,FALSE)+VLOOKUP($A328,A:AL,34,FALSE)-50),"-",(VLOOKUP($A328,'SegEnds_NonXtal_BW#'!$A:$Z,23,FALSE)+VLOOKUP($A328,A:AL,34,FALSE)-50))</f>
        <v>756</v>
      </c>
      <c r="AH328" s="3">
        <v>775</v>
      </c>
      <c r="AI328" s="3">
        <f>IF(ISERROR((VLOOKUP($A328,'SegEnds_NonXtal_BW#'!$A:$Z,24,FALSE)+VLOOKUP($A328,A:AL,34,FALSE)-50)),"-",(VLOOKUP($A328,'SegEnds_NonXtal_BW#'!$A:$Z,24,FALSE)+VLOOKUP($A328,A:AL,34,FALSE)-50))</f>
        <v>781</v>
      </c>
      <c r="AJ328" s="3">
        <f>IF(ISERROR(VLOOKUP($A328,'SegEnds_NonXtal_BW#'!$A:$Z,25,FALSE)+VLOOKUP($A328,A:AL,37,FALSE)-50),"-",(VLOOKUP($A328,'SegEnds_NonXtal_BW#'!$A:$Z,25,FALSE)+VLOOKUP($A328,A:AL,37,FALSE)-50))</f>
        <v>782</v>
      </c>
      <c r="AK328" s="3">
        <v>785</v>
      </c>
      <c r="AL328" s="3">
        <f>IF(ISERROR((VLOOKUP($A328,'SegEnds_NonXtal_BW#'!$A:$Z,26,FALSE)+VLOOKUP($A328,A:AL,37,FALSE)-50)),"-",(VLOOKUP($A328,'SegEnds_NonXtal_BW#'!$A:$Z,26,FALSE)+VLOOKUP($A328,A:AL,37,FALSE)-50))</f>
        <v>798</v>
      </c>
      <c r="AM328" s="28" t="str">
        <f>VLOOKUP(A328,Classification!A:B,2,FALSE)</f>
        <v>B2</v>
      </c>
      <c r="AN328" s="28" t="b">
        <f t="shared" si="211"/>
        <v>1</v>
      </c>
      <c r="AO328" s="3" t="str">
        <f>IF(ISERROR(MATCH(A328,'SegEnds_Xtal_Prot#'!B:B, 0)), "NoXtal", "Xtal")</f>
        <v>NoXtal</v>
      </c>
      <c r="AP328" s="3">
        <f t="shared" si="196"/>
        <v>1</v>
      </c>
      <c r="AQ328" s="3">
        <f t="shared" si="197"/>
        <v>1</v>
      </c>
      <c r="AR328" s="3" t="str">
        <f t="shared" si="198"/>
        <v>-</v>
      </c>
      <c r="AS328" s="3" t="str">
        <f t="shared" si="199"/>
        <v>-</v>
      </c>
      <c r="AT328" s="3" t="str">
        <f t="shared" si="200"/>
        <v>-</v>
      </c>
      <c r="AU328" s="3" t="str">
        <f t="shared" si="201"/>
        <v>-</v>
      </c>
      <c r="AV328" s="3">
        <f t="shared" si="202"/>
        <v>6</v>
      </c>
      <c r="AW328" s="3">
        <f t="shared" si="203"/>
        <v>3</v>
      </c>
      <c r="AX328" s="3">
        <f t="shared" si="204"/>
        <v>12</v>
      </c>
      <c r="AY328" s="3">
        <f t="shared" si="205"/>
        <v>6</v>
      </c>
      <c r="AZ328" s="3">
        <f t="shared" si="206"/>
        <v>1</v>
      </c>
      <c r="BA328" s="3">
        <f>IF(ISERROR(LEN(VLOOKUP(A328,Seqs!A:E,2,FALSE))-AL328),"-",LEN(VLOOKUP(A328,Seqs!A:E,2,FALSE))-AL328)</f>
        <v>25</v>
      </c>
      <c r="BB328" s="16">
        <f t="shared" si="207"/>
        <v>28</v>
      </c>
      <c r="BC328" s="9" t="str">
        <f t="shared" si="208"/>
        <v>-</v>
      </c>
      <c r="BD328" s="3">
        <f t="shared" si="209"/>
        <v>28</v>
      </c>
      <c r="BE328" s="3">
        <f t="shared" si="210"/>
        <v>52</v>
      </c>
      <c r="BF328" s="3">
        <f>AH328-AE328</f>
        <v>28</v>
      </c>
    </row>
    <row r="329" spans="1:59" s="3" customFormat="1" x14ac:dyDescent="0.2">
      <c r="A329" s="3" t="s">
        <v>1181</v>
      </c>
      <c r="B329" s="3" t="str">
        <f>LOWER(VLOOKUP(A329,Xtal_Templ!A:B,2,FALSE))</f>
        <v>crfr1_human</v>
      </c>
      <c r="C329" s="3">
        <f>VLOOKUP($A329,'SegEnds_NonXtal_BW#'!$A:$Z,3,FALSE)+D329-50</f>
        <v>344</v>
      </c>
      <c r="D329" s="3">
        <v>371</v>
      </c>
      <c r="E329" s="3">
        <f>IF(ISERROR(VLOOKUP($A329,'SegEnds_NonXtal_BW#'!$A:$Z,4,FALSE)+VLOOKUP($A329,A:AL,4,FALSE)-50),"-",(VLOOKUP($A329,'SegEnds_NonXtal_BW#'!$A:$Z,4,FALSE)+VLOOKUP($A329,A:AL,4,FALSE)-50))</f>
        <v>381</v>
      </c>
      <c r="F329" s="3">
        <f>G329-2</f>
        <v>382</v>
      </c>
      <c r="G329" s="3">
        <v>384</v>
      </c>
      <c r="H329" s="3">
        <f t="shared" si="226"/>
        <v>385</v>
      </c>
      <c r="I329" s="3">
        <f t="shared" si="226"/>
        <v>386</v>
      </c>
      <c r="J329" s="3">
        <v>399</v>
      </c>
      <c r="K329" s="3">
        <f>VLOOKUP($A329,'SegEnds_NonXtal_BW#'!$A:$Z,8,FALSE)+VLOOKUP($A329,A:AL,10,FALSE)-50</f>
        <v>412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417</v>
      </c>
      <c r="P329" s="3">
        <v>444</v>
      </c>
      <c r="Q329" s="3">
        <f>VLOOKUP($A329,'SegEnds_NonXtal_BW#'!$A:$Z,12,FALSE)+VLOOKUP($A329,A:AL,16,FALSE)-50</f>
        <v>450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462</v>
      </c>
      <c r="V329" s="3">
        <v>472</v>
      </c>
      <c r="W329" s="3">
        <f>IF(ISERROR(VLOOKUP($A329,'SegEnds_NonXtal_BW#'!$A:$Z,16,FALSE)+VLOOKUP($A329,A:AL,22,FALSE)-50),"-",(VLOOKUP($A329,'SegEnds_NonXtal_BW#'!$A:$Z,16,FALSE)+VLOOKUP($A329,A:AL,22,FALSE)-50))</f>
        <v>490</v>
      </c>
      <c r="X329" s="3">
        <f>IF(ISERROR(VLOOKUP($A329,'SegEnds_NonXtal_BW#'!$A:$Z,17,FALSE)+VLOOKUP($A329,A:AL,25,FALSE)-50),"-",(VLOOKUP($A329,'SegEnds_NonXtal_BW#'!$A:$Z,17,FALSE)+VLOOKUP($A329,A:AL,25,FALSE)-50))</f>
        <v>496</v>
      </c>
      <c r="Y329" s="3">
        <v>496</v>
      </c>
      <c r="Z329" s="3">
        <f t="shared" si="220"/>
        <v>498</v>
      </c>
      <c r="AA329" s="3">
        <f>IF(ISERROR(VLOOKUP($A329,'SegEnds_NonXtal_BW#'!$A:$Z,19,FALSE)+VLOOKUP($A329,A:AL,28,FALSE)-50),"-",(VLOOKUP($A329,'SegEnds_NonXtal_BW#'!$A:$Z,19,FALSE)+VLOOKUP($A329,A:AL,28,FALSE)-50))</f>
        <v>501</v>
      </c>
      <c r="AB329" s="3">
        <v>515</v>
      </c>
      <c r="AC329" s="3">
        <f>IF(ISERROR((VLOOKUP($A329,'SegEnds_NonXtal_BW#'!$A:$Z,20,FALSE)+VLOOKUP($A329,A:AL,28,FALSE)-50)),"-",(VLOOKUP($A329,'SegEnds_NonXtal_BW#'!$A:$Z,20,FALSE)+VLOOKUP($A329,A:AL,28,FALSE)-50))</f>
        <v>534</v>
      </c>
      <c r="AD329" s="3">
        <f>IF(ISERROR(VLOOKUP($A329,'SegEnds_NonXtal_BW#'!$A:$Z,21,FALSE)+VLOOKUP($A329,A:AL,31,FALSE)-50),"-",(VLOOKUP($A329,'SegEnds_NonXtal_BW#'!$A:$Z,21,FALSE)+VLOOKUP($A329,A:AL,31,FALSE)-50))</f>
        <v>546</v>
      </c>
      <c r="AE329" s="3">
        <v>567</v>
      </c>
      <c r="AF329" s="3">
        <f>IF(ISERROR((VLOOKUP($A329,'SegEnds_NonXtal_BW#'!$A:$Z,22,FALSE)+VLOOKUP($A329,A:AL,31,FALSE)-50)),"-",(VLOOKUP($A329,'SegEnds_NonXtal_BW#'!$A:$Z,22,FALSE)+VLOOKUP($A329,A:AL,31,FALSE)-50))</f>
        <v>570</v>
      </c>
      <c r="AG329" s="3">
        <f>IF(ISERROR(VLOOKUP($A329,'SegEnds_NonXtal_BW#'!$A:$Z,23,FALSE)+VLOOKUP($A329,A:AL,34,FALSE)-50),"-",(VLOOKUP($A329,'SegEnds_NonXtal_BW#'!$A:$Z,23,FALSE)+VLOOKUP($A329,A:AL,34,FALSE)-50))</f>
        <v>576</v>
      </c>
      <c r="AH329" s="3">
        <v>595</v>
      </c>
      <c r="AI329" s="3">
        <f>IF(ISERROR((VLOOKUP($A329,'SegEnds_NonXtal_BW#'!$A:$Z,24,FALSE)+VLOOKUP($A329,A:AL,34,FALSE)-50)),"-",(VLOOKUP($A329,'SegEnds_NonXtal_BW#'!$A:$Z,24,FALSE)+VLOOKUP($A329,A:AL,34,FALSE)-50))</f>
        <v>601</v>
      </c>
      <c r="AJ329" s="3">
        <f>IF(ISERROR(VLOOKUP($A329,'SegEnds_NonXtal_BW#'!$A:$Z,25,FALSE)+VLOOKUP($A329,A:AL,37,FALSE)-50),"-",(VLOOKUP($A329,'SegEnds_NonXtal_BW#'!$A:$Z,25,FALSE)+VLOOKUP($A329,A:AL,37,FALSE)-50))</f>
        <v>602</v>
      </c>
      <c r="AK329" s="3">
        <v>605</v>
      </c>
      <c r="AL329" s="3">
        <f>IF(ISERROR((VLOOKUP($A329,'SegEnds_NonXtal_BW#'!$A:$Z,26,FALSE)+VLOOKUP($A329,A:AL,37,FALSE)-50)),"-",(VLOOKUP($A329,'SegEnds_NonXtal_BW#'!$A:$Z,26,FALSE)+VLOOKUP($A329,A:AL,37,FALSE)-50))</f>
        <v>618</v>
      </c>
      <c r="AM329" s="28" t="str">
        <f>VLOOKUP(A329,Classification!A:B,2,FALSE)</f>
        <v>B2</v>
      </c>
      <c r="AN329" s="28" t="b">
        <f t="shared" si="211"/>
        <v>1</v>
      </c>
      <c r="AO329" s="3" t="str">
        <f>IF(ISERROR(MATCH(A329,'SegEnds_Xtal_Prot#'!B:B, 0)), "NoXtal", "Xtal")</f>
        <v>NoXtal</v>
      </c>
      <c r="AP329" s="3">
        <f t="shared" si="196"/>
        <v>1</v>
      </c>
      <c r="AQ329" s="3">
        <f t="shared" si="197"/>
        <v>1</v>
      </c>
      <c r="AR329" s="3" t="str">
        <f t="shared" si="198"/>
        <v>-</v>
      </c>
      <c r="AS329" s="3" t="str">
        <f t="shared" si="199"/>
        <v>-</v>
      </c>
      <c r="AT329" s="3" t="str">
        <f t="shared" si="200"/>
        <v>-</v>
      </c>
      <c r="AU329" s="3" t="str">
        <f t="shared" si="201"/>
        <v>-</v>
      </c>
      <c r="AV329" s="3">
        <f t="shared" si="202"/>
        <v>6</v>
      </c>
      <c r="AW329" s="3">
        <f t="shared" si="203"/>
        <v>3</v>
      </c>
      <c r="AX329" s="3">
        <f t="shared" si="204"/>
        <v>12</v>
      </c>
      <c r="AY329" s="3">
        <f t="shared" si="205"/>
        <v>6</v>
      </c>
      <c r="AZ329" s="3">
        <f t="shared" si="206"/>
        <v>1</v>
      </c>
      <c r="BA329" s="3">
        <f>IF(ISERROR(LEN(VLOOKUP(A329,Seqs!A:E,2,FALSE))-AL329),"-",LEN(VLOOKUP(A329,Seqs!A:E,2,FALSE))-AL329)</f>
        <v>34</v>
      </c>
      <c r="BB329" s="16">
        <f t="shared" si="207"/>
        <v>28</v>
      </c>
      <c r="BC329" s="9" t="str">
        <f t="shared" si="208"/>
        <v>-</v>
      </c>
      <c r="BD329" s="3">
        <f t="shared" si="209"/>
        <v>28</v>
      </c>
      <c r="BE329" s="3">
        <f t="shared" si="210"/>
        <v>52</v>
      </c>
      <c r="BF329" s="3">
        <f>AH329-AE329</f>
        <v>28</v>
      </c>
    </row>
    <row r="330" spans="1:59" s="3" customFormat="1" x14ac:dyDescent="0.2">
      <c r="A330" s="3" t="s">
        <v>1182</v>
      </c>
      <c r="B330" s="3" t="str">
        <f>LOWER(VLOOKUP(A330,Xtal_Templ!A:B,2,FALSE))</f>
        <v>glr_human</v>
      </c>
      <c r="C330" s="3">
        <f>VLOOKUP($A330,'SegEnds_NonXtal_BW#'!$A:$Z,3,FALSE)+D330-50</f>
        <v>178</v>
      </c>
      <c r="D330" s="3">
        <v>205</v>
      </c>
      <c r="E330" s="3">
        <f>IF(ISERROR(VLOOKUP($A330,'SegEnds_NonXtal_BW#'!$A:$Z,4,FALSE)+VLOOKUP($A330,A:AL,4,FALSE)-50),"-",(VLOOKUP($A330,'SegEnds_NonXtal_BW#'!$A:$Z,4,FALSE)+VLOOKUP($A330,A:AL,4,FALSE)-50))</f>
        <v>215</v>
      </c>
      <c r="F330" s="3">
        <f>G330-2</f>
        <v>216</v>
      </c>
      <c r="G330" s="3">
        <v>218</v>
      </c>
      <c r="H330" s="3">
        <f t="shared" si="226"/>
        <v>219</v>
      </c>
      <c r="I330" s="3">
        <f t="shared" si="226"/>
        <v>220</v>
      </c>
      <c r="J330" s="3">
        <v>233</v>
      </c>
      <c r="K330" s="3">
        <f>VLOOKUP($A330,'SegEnds_NonXtal_BW#'!$A:$Z,8,FALSE)+VLOOKUP($A330,A:AL,10,FALSE)-50</f>
        <v>246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251</v>
      </c>
      <c r="P330" s="3">
        <v>278</v>
      </c>
      <c r="Q330" s="3">
        <f>VLOOKUP($A330,'SegEnds_NonXtal_BW#'!$A:$Z,12,FALSE)+VLOOKUP($A330,A:AL,16,FALSE)-50</f>
        <v>284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296</v>
      </c>
      <c r="V330" s="3">
        <v>306</v>
      </c>
      <c r="W330" s="3">
        <f>IF(ISERROR(VLOOKUP($A330,'SegEnds_NonXtal_BW#'!$A:$Z,16,FALSE)+VLOOKUP($A330,A:AL,22,FALSE)-50),"-",(VLOOKUP($A330,'SegEnds_NonXtal_BW#'!$A:$Z,16,FALSE)+VLOOKUP($A330,A:AL,22,FALSE)-50))</f>
        <v>324</v>
      </c>
      <c r="X330" s="3">
        <f>IF(ISERROR(VLOOKUP($A330,'SegEnds_NonXtal_BW#'!$A:$Z,17,FALSE)+VLOOKUP($A330,A:AL,25,FALSE)-50),"-",(VLOOKUP($A330,'SegEnds_NonXtal_BW#'!$A:$Z,17,FALSE)+VLOOKUP($A330,A:AL,25,FALSE)-50))</f>
        <v>329</v>
      </c>
      <c r="Y330" s="3">
        <v>329</v>
      </c>
      <c r="Z330" s="3">
        <f t="shared" ref="Z330:Z355" si="227">Y330+2</f>
        <v>331</v>
      </c>
      <c r="AA330" s="3">
        <f>IF(ISERROR(VLOOKUP($A330,'SegEnds_NonXtal_BW#'!$A:$Z,19,FALSE)+VLOOKUP($A330,A:AL,28,FALSE)-50),"-",(VLOOKUP($A330,'SegEnds_NonXtal_BW#'!$A:$Z,19,FALSE)+VLOOKUP($A330,A:AL,28,FALSE)-50))</f>
        <v>334</v>
      </c>
      <c r="AB330" s="3">
        <v>348</v>
      </c>
      <c r="AC330" s="3">
        <f>IF(ISERROR((VLOOKUP($A330,'SegEnds_NonXtal_BW#'!$A:$Z,20,FALSE)+VLOOKUP($A330,A:AL,28,FALSE)-50)),"-",(VLOOKUP($A330,'SegEnds_NonXtal_BW#'!$A:$Z,20,FALSE)+VLOOKUP($A330,A:AL,28,FALSE)-50))</f>
        <v>367</v>
      </c>
      <c r="AD330" s="3">
        <f>IF(ISERROR(VLOOKUP($A330,'SegEnds_NonXtal_BW#'!$A:$Z,21,FALSE)+VLOOKUP($A330,A:AL,31,FALSE)-50),"-",(VLOOKUP($A330,'SegEnds_NonXtal_BW#'!$A:$Z,21,FALSE)+VLOOKUP($A330,A:AL,31,FALSE)-50))</f>
        <v>379</v>
      </c>
      <c r="AE330" s="3">
        <v>400</v>
      </c>
      <c r="AF330" s="3">
        <f>IF(ISERROR((VLOOKUP($A330,'SegEnds_NonXtal_BW#'!$A:$Z,22,FALSE)+VLOOKUP($A330,A:AL,31,FALSE)-50)),"-",(VLOOKUP($A330,'SegEnds_NonXtal_BW#'!$A:$Z,22,FALSE)+VLOOKUP($A330,A:AL,31,FALSE)-50))</f>
        <v>403</v>
      </c>
      <c r="AG330" s="3">
        <f>IF(ISERROR(VLOOKUP($A330,'SegEnds_NonXtal_BW#'!$A:$Z,23,FALSE)+VLOOKUP($A330,A:AL,34,FALSE)-50),"-",(VLOOKUP($A330,'SegEnds_NonXtal_BW#'!$A:$Z,23,FALSE)+VLOOKUP($A330,A:AL,34,FALSE)-50))</f>
        <v>410</v>
      </c>
      <c r="AH330" s="3">
        <v>432</v>
      </c>
      <c r="AI330" s="3">
        <f>IF(ISERROR((VLOOKUP($A330,'SegEnds_NonXtal_BW#'!$A:$Z,24,FALSE)+VLOOKUP($A330,A:AL,34,FALSE)-50)),"-",(VLOOKUP($A330,'SegEnds_NonXtal_BW#'!$A:$Z,24,FALSE)+VLOOKUP($A330,A:AL,34,FALSE)-50))</f>
        <v>438</v>
      </c>
      <c r="AJ330" s="3">
        <f>IF(ISERROR(VLOOKUP($A330,'SegEnds_NonXtal_BW#'!$A:$Z,25,FALSE)+VLOOKUP($A330,A:AL,37,FALSE)-50),"-",(VLOOKUP($A330,'SegEnds_NonXtal_BW#'!$A:$Z,25,FALSE)+VLOOKUP($A330,A:AL,37,FALSE)-50))</f>
        <v>439</v>
      </c>
      <c r="AK330" s="3">
        <v>442</v>
      </c>
      <c r="AL330" s="3">
        <f>IF(ISERROR((VLOOKUP($A330,'SegEnds_NonXtal_BW#'!$A:$Z,26,FALSE)+VLOOKUP($A330,A:AL,37,FALSE)-50)),"-",(VLOOKUP($A330,'SegEnds_NonXtal_BW#'!$A:$Z,26,FALSE)+VLOOKUP($A330,A:AL,37,FALSE)-50))</f>
        <v>455</v>
      </c>
      <c r="AM330" s="28" t="str">
        <f>VLOOKUP(A330,Classification!A:B,2,FALSE)</f>
        <v>B2</v>
      </c>
      <c r="AN330" s="28" t="b">
        <f t="shared" si="211"/>
        <v>1</v>
      </c>
      <c r="AO330" s="3" t="str">
        <f>IF(ISERROR(MATCH(A330,'SegEnds_Xtal_Prot#'!B:B, 0)), "NoXtal", "Xtal")</f>
        <v>NoXtal</v>
      </c>
      <c r="AP330" s="3">
        <f t="shared" ref="AP330:AP395" si="228">IF(ISERROR(F330-E330),"-",F330-E330)</f>
        <v>1</v>
      </c>
      <c r="AQ330" s="3">
        <f t="shared" ref="AQ330:AQ395" si="229">IF(ISERROR(I330-H330),"-",I330-H330)</f>
        <v>1</v>
      </c>
      <c r="AR330" s="3" t="str">
        <f t="shared" ref="AR330:AR395" si="230">IF(ISERROR(L330-K330),"-",L330-K330)</f>
        <v>-</v>
      </c>
      <c r="AS330" s="3" t="str">
        <f t="shared" ref="AS330:AS395" si="231">IF(ISERROR(O330-N330),"-",O330-N330)</f>
        <v>-</v>
      </c>
      <c r="AT330" s="3" t="str">
        <f t="shared" ref="AT330:AT395" si="232">IF(ISERROR(R330-Q330),"-",R330-Q330)</f>
        <v>-</v>
      </c>
      <c r="AU330" s="3" t="str">
        <f t="shared" ref="AU330:AU395" si="233">IF(ISERROR(U330-T330),"-",U330-T330)</f>
        <v>-</v>
      </c>
      <c r="AV330" s="3">
        <f t="shared" ref="AV330:AV395" si="234">IF(ISERROR(X330-W330),"-",X330-W330)</f>
        <v>5</v>
      </c>
      <c r="AW330" s="3">
        <f t="shared" ref="AW330:AW395" si="235">IF(ISERROR(AA330-Z330),"-",AA330-Z330)</f>
        <v>3</v>
      </c>
      <c r="AX330" s="3">
        <f t="shared" ref="AX330:AX395" si="236">IF(ISERROR(AD330-AC330),"-",AD330-AC330)</f>
        <v>12</v>
      </c>
      <c r="AY330" s="3">
        <f t="shared" ref="AY330:AY395" si="237">IF(ISERROR(AG330-AF330),"-",AG330-AF330)</f>
        <v>7</v>
      </c>
      <c r="AZ330" s="3">
        <f t="shared" ref="AZ330:AZ395" si="238">IF(ISERROR(AJ330-AI330),"-",AJ330-AI330)</f>
        <v>1</v>
      </c>
      <c r="BA330" s="3">
        <f>IF(ISERROR(LEN(VLOOKUP(A330,Seqs!A:E,2,FALSE))-AL330),"-",LEN(VLOOKUP(A330,Seqs!A:E,2,FALSE))-AL330)</f>
        <v>2</v>
      </c>
      <c r="BB330" s="16">
        <f t="shared" ref="BB330:BB395" si="239">J330-D330</f>
        <v>28</v>
      </c>
      <c r="BC330" s="9" t="str">
        <f t="shared" ref="BC330:BC395" si="240">IF(ISERROR(V330-S330),"-",V330-S330)</f>
        <v>-</v>
      </c>
      <c r="BD330" s="3">
        <f t="shared" ref="BD330:BD395" si="241">J330-D330</f>
        <v>28</v>
      </c>
      <c r="BE330" s="3">
        <f t="shared" ref="BE330:BE395" si="242">AE330-AB330</f>
        <v>52</v>
      </c>
      <c r="BF330" s="3">
        <f>AH330-AE330</f>
        <v>32</v>
      </c>
    </row>
    <row r="331" spans="1:59" s="3" customFormat="1" x14ac:dyDescent="0.2">
      <c r="A331" s="3" t="s">
        <v>1183</v>
      </c>
      <c r="B331" s="3" t="str">
        <f>LOWER(VLOOKUP(A331,Xtal_Templ!A:B,2,FALSE))</f>
        <v>pth1r_human</v>
      </c>
      <c r="C331" s="3">
        <f>VLOOKUP($A331,'SegEnds_NonXtal_BW#'!$A:$Z,3,FALSE)+D331-50</f>
        <v>573</v>
      </c>
      <c r="D331" s="3">
        <v>600</v>
      </c>
      <c r="E331" s="3">
        <f>IF(ISERROR(VLOOKUP($A331,'SegEnds_NonXtal_BW#'!$A:$Z,4,FALSE)+VLOOKUP($A331,A:AL,4,FALSE)-50),"-",(VLOOKUP($A331,'SegEnds_NonXtal_BW#'!$A:$Z,4,FALSE)+VLOOKUP($A331,A:AL,4,FALSE)-50))</f>
        <v>610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618</v>
      </c>
      <c r="J331" s="3">
        <v>631</v>
      </c>
      <c r="K331" s="3">
        <f>VLOOKUP($A331,'SegEnds_NonXtal_BW#'!$A:$Z,8,FALSE)+VLOOKUP($A331,A:AL,10,FALSE)-50</f>
        <v>644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655</v>
      </c>
      <c r="P331" s="3">
        <v>682</v>
      </c>
      <c r="Q331" s="3">
        <f>VLOOKUP($A331,'SegEnds_NonXtal_BW#'!$A:$Z,12,FALSE)+VLOOKUP($A331,A:AL,16,FALSE)-50</f>
        <v>688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694</v>
      </c>
      <c r="V331" s="3">
        <v>707</v>
      </c>
      <c r="W331" s="3">
        <f>IF(ISERROR(VLOOKUP($A331,'SegEnds_NonXtal_BW#'!$A:$Z,16,FALSE)+VLOOKUP($A331,A:AL,22,FALSE)-50),"-",(VLOOKUP($A331,'SegEnds_NonXtal_BW#'!$A:$Z,16,FALSE)+VLOOKUP($A331,A:AL,22,FALSE)-50))</f>
        <v>725</v>
      </c>
      <c r="X331" s="3">
        <f>IF(ISERROR(VLOOKUP($A331,'SegEnds_NonXtal_BW#'!$A:$Z,17,FALSE)+VLOOKUP($A331,A:AL,25,FALSE)-50),"-",(VLOOKUP($A331,'SegEnds_NonXtal_BW#'!$A:$Z,17,FALSE)+VLOOKUP($A331,A:AL,25,FALSE)-50))</f>
        <v>733</v>
      </c>
      <c r="Y331" s="3">
        <v>733</v>
      </c>
      <c r="Z331" s="3">
        <f t="shared" si="227"/>
        <v>735</v>
      </c>
      <c r="AA331" s="3">
        <f>IF(ISERROR(VLOOKUP($A331,'SegEnds_NonXtal_BW#'!$A:$Z,19,FALSE)+VLOOKUP($A331,A:AL,28,FALSE)-50),"-",(VLOOKUP($A331,'SegEnds_NonXtal_BW#'!$A:$Z,19,FALSE)+VLOOKUP($A331,A:AL,28,FALSE)-50))</f>
        <v>740</v>
      </c>
      <c r="AB331" s="3">
        <v>754</v>
      </c>
      <c r="AC331" s="3">
        <f>IF(ISERROR((VLOOKUP($A331,'SegEnds_NonXtal_BW#'!$A:$Z,20,FALSE)+VLOOKUP($A331,A:AL,28,FALSE)-50)),"-",(VLOOKUP($A331,'SegEnds_NonXtal_BW#'!$A:$Z,20,FALSE)+VLOOKUP($A331,A:AL,28,FALSE)-50))</f>
        <v>773</v>
      </c>
      <c r="AD331" s="3">
        <f>IF(ISERROR(VLOOKUP($A331,'SegEnds_NonXtal_BW#'!$A:$Z,21,FALSE)+VLOOKUP($A331,A:AL,31,FALSE)-50),"-",(VLOOKUP($A331,'SegEnds_NonXtal_BW#'!$A:$Z,21,FALSE)+VLOOKUP($A331,A:AL,31,FALSE)-50))</f>
        <v>785</v>
      </c>
      <c r="AE331" s="3">
        <v>806</v>
      </c>
      <c r="AF331" s="3">
        <f>IF(ISERROR((VLOOKUP($A331,'SegEnds_NonXtal_BW#'!$A:$Z,22,FALSE)+VLOOKUP($A331,A:AL,31,FALSE)-50)),"-",(VLOOKUP($A331,'SegEnds_NonXtal_BW#'!$A:$Z,22,FALSE)+VLOOKUP($A331,A:AL,31,FALSE)-50))</f>
        <v>810</v>
      </c>
      <c r="AG331" s="3">
        <f>IF(ISERROR(VLOOKUP($A331,'SegEnds_NonXtal_BW#'!$A:$Z,23,FALSE)+VLOOKUP($A331,A:AL,34,FALSE)-50),"-",(VLOOKUP($A331,'SegEnds_NonXtal_BW#'!$A:$Z,23,FALSE)+VLOOKUP($A331,A:AL,34,FALSE)-50))</f>
        <v>816</v>
      </c>
      <c r="AH331" s="3">
        <v>835</v>
      </c>
      <c r="AI331" s="3">
        <f>IF(ISERROR((VLOOKUP($A331,'SegEnds_NonXtal_BW#'!$A:$Z,24,FALSE)+VLOOKUP($A331,A:AL,34,FALSE)-50)),"-",(VLOOKUP($A331,'SegEnds_NonXtal_BW#'!$A:$Z,24,FALSE)+VLOOKUP($A331,A:AL,34,FALSE)-50))</f>
        <v>841</v>
      </c>
      <c r="AJ331" s="3">
        <f>IF(ISERROR(VLOOKUP($A331,'SegEnds_NonXtal_BW#'!$A:$Z,25,FALSE)+VLOOKUP($A331,A:AL,37,FALSE)-50),"-",(VLOOKUP($A331,'SegEnds_NonXtal_BW#'!$A:$Z,25,FALSE)+VLOOKUP($A331,A:AL,37,FALSE)-50))</f>
        <v>842</v>
      </c>
      <c r="AK331" s="3">
        <v>845</v>
      </c>
      <c r="AL331" s="3">
        <f>IF(ISERROR((VLOOKUP($A331,'SegEnds_NonXtal_BW#'!$A:$Z,26,FALSE)+VLOOKUP($A331,A:AL,37,FALSE)-50)),"-",(VLOOKUP($A331,'SegEnds_NonXtal_BW#'!$A:$Z,26,FALSE)+VLOOKUP($A331,A:AL,37,FALSE)-50))</f>
        <v>858</v>
      </c>
      <c r="AM331" s="28" t="str">
        <f>VLOOKUP(A331,Classification!A:B,2,FALSE)</f>
        <v>B2</v>
      </c>
      <c r="AN331" s="28" t="b">
        <f t="shared" ref="AN331:AN396" si="243">AND(IF(Y331="-",IF(AA331-W331&gt;3,TRUE,FALSE),TRUE),IF(M331="-",IF(O331-K331&gt;3,TRUE,FALSE),TRUE),IF(AG331-AF331&gt;1,TRUE,FALS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 t="shared" si="228"/>
        <v>-</v>
      </c>
      <c r="AQ331" s="3" t="str">
        <f t="shared" si="229"/>
        <v>-</v>
      </c>
      <c r="AR331" s="3" t="str">
        <f t="shared" si="230"/>
        <v>-</v>
      </c>
      <c r="AS331" s="3" t="str">
        <f t="shared" si="231"/>
        <v>-</v>
      </c>
      <c r="AT331" s="3" t="str">
        <f t="shared" si="232"/>
        <v>-</v>
      </c>
      <c r="AU331" s="3" t="str">
        <f t="shared" si="233"/>
        <v>-</v>
      </c>
      <c r="AV331" s="3">
        <f t="shared" si="234"/>
        <v>8</v>
      </c>
      <c r="AW331" s="3">
        <f t="shared" si="235"/>
        <v>5</v>
      </c>
      <c r="AX331" s="3">
        <f t="shared" si="236"/>
        <v>12</v>
      </c>
      <c r="AY331" s="3">
        <f t="shared" si="237"/>
        <v>6</v>
      </c>
      <c r="AZ331" s="3">
        <f t="shared" si="238"/>
        <v>1</v>
      </c>
      <c r="BA331" s="3">
        <f>IF(ISERROR(LEN(VLOOKUP(A331,Seqs!A:E,2,FALSE))-AL331),"-",LEN(VLOOKUP(A331,Seqs!A:E,2,FALSE))-AL331)</f>
        <v>52</v>
      </c>
      <c r="BB331" s="16">
        <f t="shared" si="239"/>
        <v>31</v>
      </c>
      <c r="BC331" s="9" t="str">
        <f t="shared" si="240"/>
        <v>-</v>
      </c>
      <c r="BD331" s="3">
        <f t="shared" si="241"/>
        <v>31</v>
      </c>
      <c r="BE331" s="3">
        <f t="shared" si="242"/>
        <v>52</v>
      </c>
    </row>
    <row r="332" spans="1:59" s="3" customFormat="1" x14ac:dyDescent="0.2">
      <c r="A332" s="3" t="s">
        <v>1184</v>
      </c>
      <c r="B332" s="3" t="str">
        <f>LOWER(VLOOKUP(A332,Xtal_Templ!A:B,2,FALSE))</f>
        <v>calrl_human</v>
      </c>
      <c r="C332" s="3">
        <f>VLOOKUP($A332,'SegEnds_NonXtal_BW#'!$A:$Z,3,FALSE)+D332-50</f>
        <v>434</v>
      </c>
      <c r="D332" s="3">
        <v>461</v>
      </c>
      <c r="E332" s="3">
        <f>IF(ISERROR(VLOOKUP($A332,'SegEnds_NonXtal_BW#'!$A:$Z,4,FALSE)+VLOOKUP($A332,A:AL,4,FALSE)-50),"-",(VLOOKUP($A332,'SegEnds_NonXtal_BW#'!$A:$Z,4,FALSE)+VLOOKUP($A332,A:AL,4,FALSE)-50))</f>
        <v>471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479</v>
      </c>
      <c r="J332" s="3">
        <v>492</v>
      </c>
      <c r="K332" s="3">
        <f>VLOOKUP($A332,'SegEnds_NonXtal_BW#'!$A:$Z,8,FALSE)+VLOOKUP($A332,A:AL,10,FALSE)-50</f>
        <v>505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516</v>
      </c>
      <c r="P332" s="3">
        <v>543</v>
      </c>
      <c r="Q332" s="3">
        <f>VLOOKUP($A332,'SegEnds_NonXtal_BW#'!$A:$Z,12,FALSE)+VLOOKUP($A332,A:AL,16,FALSE)-50</f>
        <v>549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559</v>
      </c>
      <c r="V332" s="3">
        <v>568</v>
      </c>
      <c r="W332" s="3">
        <f>IF(ISERROR(VLOOKUP($A332,'SegEnds_NonXtal_BW#'!$A:$Z,16,FALSE)+VLOOKUP($A332,A:AL,22,FALSE)-50),"-",(VLOOKUP($A332,'SegEnds_NonXtal_BW#'!$A:$Z,16,FALSE)+VLOOKUP($A332,A:AL,22,FALSE)-50))</f>
        <v>585</v>
      </c>
      <c r="X332" s="3">
        <f>IF(ISERROR(VLOOKUP($A332,'SegEnds_NonXtal_BW#'!$A:$Z,17,FALSE)+VLOOKUP($A332,A:AL,25,FALSE)-50),"-",(VLOOKUP($A332,'SegEnds_NonXtal_BW#'!$A:$Z,17,FALSE)+VLOOKUP($A332,A:AL,25,FALSE)-50))</f>
        <v>594</v>
      </c>
      <c r="Y332" s="3">
        <v>594</v>
      </c>
      <c r="Z332" s="3">
        <f t="shared" si="227"/>
        <v>596</v>
      </c>
      <c r="AA332" s="3">
        <f>IF(ISERROR(VLOOKUP($A332,'SegEnds_NonXtal_BW#'!$A:$Z,19,FALSE)+VLOOKUP($A332,A:AL,28,FALSE)-50),"-",(VLOOKUP($A332,'SegEnds_NonXtal_BW#'!$A:$Z,19,FALSE)+VLOOKUP($A332,A:AL,28,FALSE)-50))</f>
        <v>600</v>
      </c>
      <c r="AB332" s="3">
        <v>614</v>
      </c>
      <c r="AC332" s="3">
        <f>IF(ISERROR((VLOOKUP($A332,'SegEnds_NonXtal_BW#'!$A:$Z,20,FALSE)+VLOOKUP($A332,A:AL,28,FALSE)-50)),"-",(VLOOKUP($A332,'SegEnds_NonXtal_BW#'!$A:$Z,20,FALSE)+VLOOKUP($A332,A:AL,28,FALSE)-50))</f>
        <v>633</v>
      </c>
      <c r="AD332" s="3">
        <f>IF(ISERROR(VLOOKUP($A332,'SegEnds_NonXtal_BW#'!$A:$Z,21,FALSE)+VLOOKUP($A332,A:AL,31,FALSE)-50),"-",(VLOOKUP($A332,'SegEnds_NonXtal_BW#'!$A:$Z,21,FALSE)+VLOOKUP($A332,A:AL,31,FALSE)-50))</f>
        <v>650</v>
      </c>
      <c r="AE332" s="3">
        <v>671</v>
      </c>
      <c r="AF332" s="3">
        <f>IF(ISERROR((VLOOKUP($A332,'SegEnds_NonXtal_BW#'!$A:$Z,22,FALSE)+VLOOKUP($A332,A:AL,31,FALSE)-50)),"-",(VLOOKUP($A332,'SegEnds_NonXtal_BW#'!$A:$Z,22,FALSE)+VLOOKUP($A332,A:AL,31,FALSE)-50))</f>
        <v>671</v>
      </c>
      <c r="AG332" s="3">
        <f>IF(ISERROR(VLOOKUP($A332,'SegEnds_NonXtal_BW#'!$A:$Z,23,FALSE)+VLOOKUP($A332,A:AL,34,FALSE)-50),"-",(VLOOKUP($A332,'SegEnds_NonXtal_BW#'!$A:$Z,23,FALSE)+VLOOKUP($A332,A:AL,34,FALSE)-50))</f>
        <v>675</v>
      </c>
      <c r="AH332" s="3">
        <v>694</v>
      </c>
      <c r="AI332" s="3">
        <f>IF(ISERROR((VLOOKUP($A332,'SegEnds_NonXtal_BW#'!$A:$Z,24,FALSE)+VLOOKUP($A332,A:AL,34,FALSE)-50)),"-",(VLOOKUP($A332,'SegEnds_NonXtal_BW#'!$A:$Z,24,FALSE)+VLOOKUP($A332,A:AL,34,FALSE)-50))</f>
        <v>700</v>
      </c>
      <c r="AJ332" s="3" t="s">
        <v>23</v>
      </c>
      <c r="AK332" s="3" t="s">
        <v>23</v>
      </c>
      <c r="AL332" s="3" t="s">
        <v>23</v>
      </c>
      <c r="AM332" s="28" t="str">
        <f>VLOOKUP(A332,Classification!A:B,2,FALSE)</f>
        <v>B2</v>
      </c>
      <c r="AN332" s="28" t="b">
        <f t="shared" si="243"/>
        <v>1</v>
      </c>
      <c r="AO332" s="3" t="str">
        <f>IF(ISERROR(MATCH(A332,'SegEnds_Xtal_Prot#'!B:B, 0)), "NoXtal", "Xtal")</f>
        <v>NoXtal</v>
      </c>
      <c r="AP332" s="3" t="str">
        <f t="shared" si="228"/>
        <v>-</v>
      </c>
      <c r="AQ332" s="3" t="str">
        <f t="shared" si="229"/>
        <v>-</v>
      </c>
      <c r="AR332" s="3" t="str">
        <f t="shared" si="230"/>
        <v>-</v>
      </c>
      <c r="AS332" s="3" t="str">
        <f t="shared" si="231"/>
        <v>-</v>
      </c>
      <c r="AT332" s="3" t="str">
        <f t="shared" si="232"/>
        <v>-</v>
      </c>
      <c r="AU332" s="3" t="str">
        <f t="shared" si="233"/>
        <v>-</v>
      </c>
      <c r="AV332" s="3">
        <f t="shared" si="234"/>
        <v>9</v>
      </c>
      <c r="AW332" s="3">
        <f t="shared" si="235"/>
        <v>4</v>
      </c>
      <c r="AX332" s="3">
        <f t="shared" si="236"/>
        <v>17</v>
      </c>
      <c r="AY332" s="3">
        <f t="shared" si="237"/>
        <v>4</v>
      </c>
      <c r="AZ332" s="3" t="str">
        <f t="shared" si="238"/>
        <v>-</v>
      </c>
      <c r="BA332" s="3" t="str">
        <f>IF(ISERROR(LEN(VLOOKUP(A332,Seqs!A:E,2,FALSE))-AL332),"-",LEN(VLOOKUP(A332,Seqs!A:E,2,FALSE))-AL332)</f>
        <v>-</v>
      </c>
      <c r="BB332" s="16">
        <f t="shared" si="239"/>
        <v>31</v>
      </c>
      <c r="BC332" s="9" t="str">
        <f t="shared" si="240"/>
        <v>-</v>
      </c>
      <c r="BD332" s="3">
        <f t="shared" si="241"/>
        <v>31</v>
      </c>
      <c r="BE332" s="3">
        <f t="shared" si="242"/>
        <v>57</v>
      </c>
      <c r="BF332" s="3">
        <f>AH332-AE332</f>
        <v>23</v>
      </c>
      <c r="BG332" s="3" t="s">
        <v>1302</v>
      </c>
    </row>
    <row r="333" spans="1:59" s="3" customFormat="1" x14ac:dyDescent="0.2">
      <c r="A333" s="3" t="s">
        <v>1185</v>
      </c>
      <c r="B333" s="3" t="str">
        <f>LOWER(VLOOKUP(A333,Xtal_Templ!A:B,2,FALSE))</f>
        <v>calrl_human</v>
      </c>
      <c r="C333" s="3">
        <f>VLOOKUP($A333,'SegEnds_NonXtal_BW#'!$A:$Z,3,FALSE)+D333-50</f>
        <v>758</v>
      </c>
      <c r="D333" s="3">
        <v>785</v>
      </c>
      <c r="E333" s="3">
        <f>IF(ISERROR(VLOOKUP($A333,'SegEnds_NonXtal_BW#'!$A:$Z,4,FALSE)+VLOOKUP($A333,A:AL,4,FALSE)-50),"-",(VLOOKUP($A333,'SegEnds_NonXtal_BW#'!$A:$Z,4,FALSE)+VLOOKUP($A333,A:AL,4,FALSE)-50))</f>
        <v>795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803</v>
      </c>
      <c r="J333" s="3">
        <v>816</v>
      </c>
      <c r="K333" s="3">
        <f>VLOOKUP($A333,'SegEnds_NonXtal_BW#'!$A:$Z,8,FALSE)+VLOOKUP($A333,A:AL,10,FALSE)-50</f>
        <v>829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839</v>
      </c>
      <c r="P333" s="3">
        <v>866</v>
      </c>
      <c r="Q333" s="3">
        <f>VLOOKUP($A333,'SegEnds_NonXtal_BW#'!$A:$Z,12,FALSE)+VLOOKUP($A333,A:AL,16,FALSE)-50</f>
        <v>872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882</v>
      </c>
      <c r="V333" s="3">
        <v>891</v>
      </c>
      <c r="W333" s="3">
        <f>IF(ISERROR(VLOOKUP($A333,'SegEnds_NonXtal_BW#'!$A:$Z,16,FALSE)+VLOOKUP($A333,A:AL,22,FALSE)-50),"-",(VLOOKUP($A333,'SegEnds_NonXtal_BW#'!$A:$Z,16,FALSE)+VLOOKUP($A333,A:AL,22,FALSE)-50))</f>
        <v>908</v>
      </c>
      <c r="X333" s="3">
        <f>IF(ISERROR(VLOOKUP($A333,'SegEnds_NonXtal_BW#'!$A:$Z,17,FALSE)+VLOOKUP($A333,A:AL,25,FALSE)-50),"-",(VLOOKUP($A333,'SegEnds_NonXtal_BW#'!$A:$Z,17,FALSE)+VLOOKUP($A333,A:AL,25,FALSE)-50))</f>
        <v>917</v>
      </c>
      <c r="Y333" s="3">
        <v>917</v>
      </c>
      <c r="Z333" s="3">
        <f t="shared" si="227"/>
        <v>919</v>
      </c>
      <c r="AA333" s="3">
        <f>IF(ISERROR(VLOOKUP($A333,'SegEnds_NonXtal_BW#'!$A:$Z,19,FALSE)+VLOOKUP($A333,A:AL,28,FALSE)-50),"-",(VLOOKUP($A333,'SegEnds_NonXtal_BW#'!$A:$Z,19,FALSE)+VLOOKUP($A333,A:AL,28,FALSE)-50))</f>
        <v>922</v>
      </c>
      <c r="AB333" s="3">
        <v>936</v>
      </c>
      <c r="AC333" s="3">
        <f>IF(ISERROR((VLOOKUP($A333,'SegEnds_NonXtal_BW#'!$A:$Z,20,FALSE)+VLOOKUP($A333,A:AL,28,FALSE)-50)),"-",(VLOOKUP($A333,'SegEnds_NonXtal_BW#'!$A:$Z,20,FALSE)+VLOOKUP($A333,A:AL,28,FALSE)-50))</f>
        <v>955</v>
      </c>
      <c r="AD333" s="3">
        <f>IF(ISERROR(VLOOKUP($A333,'SegEnds_NonXtal_BW#'!$A:$Z,21,FALSE)+VLOOKUP($A333,A:AL,31,FALSE)-50),"-",(VLOOKUP($A333,'SegEnds_NonXtal_BW#'!$A:$Z,21,FALSE)+VLOOKUP($A333,A:AL,31,FALSE)-50))</f>
        <v>967</v>
      </c>
      <c r="AE333" s="3">
        <v>988</v>
      </c>
      <c r="AF333" s="3">
        <f>IF(ISERROR((VLOOKUP($A333,'SegEnds_NonXtal_BW#'!$A:$Z,22,FALSE)+VLOOKUP($A333,A:AL,31,FALSE)-50)),"-",(VLOOKUP($A333,'SegEnds_NonXtal_BW#'!$A:$Z,22,FALSE)+VLOOKUP($A333,A:AL,31,FALSE)-50))</f>
        <v>991</v>
      </c>
      <c r="AG333" s="3">
        <f>IF(ISERROR(VLOOKUP($A333,'SegEnds_NonXtal_BW#'!$A:$Z,23,FALSE)+VLOOKUP($A333,A:AL,34,FALSE)-50),"-",(VLOOKUP($A333,'SegEnds_NonXtal_BW#'!$A:$Z,23,FALSE)+VLOOKUP($A333,A:AL,34,FALSE)-50))</f>
        <v>998</v>
      </c>
      <c r="AH333" s="3">
        <v>1017</v>
      </c>
      <c r="AI333" s="3">
        <f>IF(ISERROR((VLOOKUP($A333,'SegEnds_NonXtal_BW#'!$A:$Z,24,FALSE)+VLOOKUP($A333,A:AL,34,FALSE)-50)),"-",(VLOOKUP($A333,'SegEnds_NonXtal_BW#'!$A:$Z,24,FALSE)+VLOOKUP($A333,A:AL,34,FALSE)-50))</f>
        <v>1023</v>
      </c>
      <c r="AJ333" s="3">
        <f>IF(ISERROR(VLOOKUP($A333,'SegEnds_NonXtal_BW#'!$A:$Z,25,FALSE)+VLOOKUP($A333,A:AL,37,FALSE)-50),"-",(VLOOKUP($A333,'SegEnds_NonXtal_BW#'!$A:$Z,25,FALSE)+VLOOKUP($A333,A:AL,37,FALSE)-50))</f>
        <v>1024</v>
      </c>
      <c r="AK333" s="3">
        <v>1027</v>
      </c>
      <c r="AL333" s="3">
        <f>IF(ISERROR((VLOOKUP($A333,'SegEnds_NonXtal_BW#'!$A:$Z,26,FALSE)+VLOOKUP($A333,A:AL,37,FALSE)-50)),"-",(VLOOKUP($A333,'SegEnds_NonXtal_BW#'!$A:$Z,26,FALSE)+VLOOKUP($A333,A:AL,37,FALSE)-50))</f>
        <v>1040</v>
      </c>
      <c r="AM333" s="28" t="str">
        <f>VLOOKUP(A333,Classification!A:B,2,FALSE)</f>
        <v>B2</v>
      </c>
      <c r="AN333" s="28" t="b">
        <f t="shared" si="243"/>
        <v>1</v>
      </c>
      <c r="AO333" s="3" t="str">
        <f>IF(ISERROR(MATCH(A333,'SegEnds_Xtal_Prot#'!B:B, 0)), "NoXtal", "Xtal")</f>
        <v>NoXtal</v>
      </c>
      <c r="AP333" s="3" t="str">
        <f t="shared" si="228"/>
        <v>-</v>
      </c>
      <c r="AQ333" s="3" t="str">
        <f t="shared" si="229"/>
        <v>-</v>
      </c>
      <c r="AR333" s="3" t="str">
        <f t="shared" si="230"/>
        <v>-</v>
      </c>
      <c r="AS333" s="3" t="str">
        <f t="shared" si="231"/>
        <v>-</v>
      </c>
      <c r="AT333" s="3" t="str">
        <f t="shared" si="232"/>
        <v>-</v>
      </c>
      <c r="AU333" s="3" t="str">
        <f t="shared" si="233"/>
        <v>-</v>
      </c>
      <c r="AV333" s="3">
        <f t="shared" si="234"/>
        <v>9</v>
      </c>
      <c r="AW333" s="3">
        <f t="shared" si="235"/>
        <v>3</v>
      </c>
      <c r="AX333" s="3">
        <f t="shared" si="236"/>
        <v>12</v>
      </c>
      <c r="AY333" s="3">
        <f t="shared" si="237"/>
        <v>7</v>
      </c>
      <c r="AZ333" s="3">
        <f t="shared" si="238"/>
        <v>1</v>
      </c>
      <c r="BA333" s="3">
        <f>IF(ISERROR(LEN(VLOOKUP(A333,Seqs!A:E,2,FALSE))-AL333),"-",LEN(VLOOKUP(A333,Seqs!A:E,2,FALSE))-AL333)</f>
        <v>39</v>
      </c>
      <c r="BB333" s="16">
        <f t="shared" si="239"/>
        <v>31</v>
      </c>
      <c r="BC333" s="9" t="str">
        <f t="shared" si="240"/>
        <v>-</v>
      </c>
      <c r="BD333" s="3">
        <f t="shared" si="241"/>
        <v>31</v>
      </c>
      <c r="BE333" s="3">
        <f t="shared" si="242"/>
        <v>52</v>
      </c>
    </row>
    <row r="334" spans="1:59" s="3" customFormat="1" x14ac:dyDescent="0.2">
      <c r="A334" s="3" t="s">
        <v>1186</v>
      </c>
      <c r="B334" s="3" t="str">
        <f>LOWER(VLOOKUP(A334,Xtal_Templ!A:B,2,FALSE))</f>
        <v>crfr1_human</v>
      </c>
      <c r="C334" s="3">
        <f>VLOOKUP($A334,'SegEnds_NonXtal_BW#'!$A:$Z,3,FALSE)+D334-50</f>
        <v>389</v>
      </c>
      <c r="D334" s="3">
        <v>416</v>
      </c>
      <c r="E334" s="3">
        <f>IF(ISERROR(VLOOKUP($A334,'SegEnds_NonXtal_BW#'!$A:$Z,4,FALSE)+VLOOKUP($A334,A:AL,4,FALSE)-50),"-",(VLOOKUP($A334,'SegEnds_NonXtal_BW#'!$A:$Z,4,FALSE)+VLOOKUP($A334,A:AL,4,FALSE)-50))</f>
        <v>426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434</v>
      </c>
      <c r="J334" s="3">
        <v>447</v>
      </c>
      <c r="K334" s="3">
        <f>VLOOKUP($A334,'SegEnds_NonXtal_BW#'!$A:$Z,8,FALSE)+VLOOKUP($A334,A:AL,10,FALSE)-50</f>
        <v>460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471</v>
      </c>
      <c r="P334" s="3">
        <v>498</v>
      </c>
      <c r="Q334" s="3">
        <f>VLOOKUP($A334,'SegEnds_NonXtal_BW#'!$A:$Z,12,FALSE)+VLOOKUP($A334,A:AL,16,FALSE)-50</f>
        <v>504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513</v>
      </c>
      <c r="V334" s="3">
        <v>523</v>
      </c>
      <c r="W334" s="3">
        <f>IF(ISERROR(VLOOKUP($A334,'SegEnds_NonXtal_BW#'!$A:$Z,16,FALSE)+VLOOKUP($A334,A:AL,22,FALSE)-50),"-",(VLOOKUP($A334,'SegEnds_NonXtal_BW#'!$A:$Z,16,FALSE)+VLOOKUP($A334,A:AL,22,FALSE)-50))</f>
        <v>541</v>
      </c>
      <c r="X334" s="3">
        <f>IF(ISERROR(VLOOKUP($A334,'SegEnds_NonXtal_BW#'!$A:$Z,17,FALSE)+VLOOKUP($A334,A:AL,25,FALSE)-50),"-",(VLOOKUP($A334,'SegEnds_NonXtal_BW#'!$A:$Z,17,FALSE)+VLOOKUP($A334,A:AL,25,FALSE)-50))</f>
        <v>549</v>
      </c>
      <c r="Y334" s="3">
        <v>549</v>
      </c>
      <c r="Z334" s="3">
        <f t="shared" si="227"/>
        <v>551</v>
      </c>
      <c r="AA334" s="3">
        <f>IF(ISERROR(VLOOKUP($A334,'SegEnds_NonXtal_BW#'!$A:$Z,19,FALSE)+VLOOKUP($A334,A:AL,28,FALSE)-50),"-",(VLOOKUP($A334,'SegEnds_NonXtal_BW#'!$A:$Z,19,FALSE)+VLOOKUP($A334,A:AL,28,FALSE)-50))</f>
        <v>555</v>
      </c>
      <c r="AB334" s="3">
        <v>569</v>
      </c>
      <c r="AC334" s="3">
        <f>IF(ISERROR((VLOOKUP($A334,'SegEnds_NonXtal_BW#'!$A:$Z,20,FALSE)+VLOOKUP($A334,A:AL,28,FALSE)-50)),"-",(VLOOKUP($A334,'SegEnds_NonXtal_BW#'!$A:$Z,20,FALSE)+VLOOKUP($A334,A:AL,28,FALSE)-50))</f>
        <v>588</v>
      </c>
      <c r="AD334" s="3">
        <f>IF(ISERROR(VLOOKUP($A334,'SegEnds_NonXtal_BW#'!$A:$Z,21,FALSE)+VLOOKUP($A334,A:AL,31,FALSE)-50),"-",(VLOOKUP($A334,'SegEnds_NonXtal_BW#'!$A:$Z,21,FALSE)+VLOOKUP($A334,A:AL,31,FALSE)-50))</f>
        <v>599</v>
      </c>
      <c r="AE334" s="3">
        <v>620</v>
      </c>
      <c r="AF334" s="3">
        <f>IF(ISERROR((VLOOKUP($A334,'SegEnds_NonXtal_BW#'!$A:$Z,22,FALSE)+VLOOKUP($A334,A:AL,31,FALSE)-50)),"-",(VLOOKUP($A334,'SegEnds_NonXtal_BW#'!$A:$Z,22,FALSE)+VLOOKUP($A334,A:AL,31,FALSE)-50))</f>
        <v>623</v>
      </c>
      <c r="AG334" s="3">
        <f>IF(ISERROR(VLOOKUP($A334,'SegEnds_NonXtal_BW#'!$A:$Z,23,FALSE)+VLOOKUP($A334,A:AL,34,FALSE)-50),"-",(VLOOKUP($A334,'SegEnds_NonXtal_BW#'!$A:$Z,23,FALSE)+VLOOKUP($A334,A:AL,34,FALSE)-50))</f>
        <v>630</v>
      </c>
      <c r="AH334" s="3">
        <v>649</v>
      </c>
      <c r="AI334" s="3">
        <f>IF(ISERROR((VLOOKUP($A334,'SegEnds_NonXtal_BW#'!$A:$Z,24,FALSE)+VLOOKUP($A334,A:AL,34,FALSE)-50)),"-",(VLOOKUP($A334,'SegEnds_NonXtal_BW#'!$A:$Z,24,FALSE)+VLOOKUP($A334,A:AL,34,FALSE)-50))</f>
        <v>655</v>
      </c>
      <c r="AJ334" s="3">
        <f>IF(ISERROR(VLOOKUP($A334,'SegEnds_NonXtal_BW#'!$A:$Z,25,FALSE)+VLOOKUP($A334,A:AL,37,FALSE)-50),"-",(VLOOKUP($A334,'SegEnds_NonXtal_BW#'!$A:$Z,25,FALSE)+VLOOKUP($A334,A:AL,37,FALSE)-50))</f>
        <v>656</v>
      </c>
      <c r="AK334" s="3">
        <v>659</v>
      </c>
      <c r="AL334" s="3">
        <f>IF(ISERROR((VLOOKUP($A334,'SegEnds_NonXtal_BW#'!$A:$Z,26,FALSE)+VLOOKUP($A334,A:AL,37,FALSE)-50)),"-",(VLOOKUP($A334,'SegEnds_NonXtal_BW#'!$A:$Z,26,FALSE)+VLOOKUP($A334,A:AL,37,FALSE)-50))</f>
        <v>672</v>
      </c>
      <c r="AM334" s="28" t="str">
        <f>VLOOKUP(A334,Classification!A:B,2,FALSE)</f>
        <v>B2</v>
      </c>
      <c r="AN334" s="28" t="b">
        <f t="shared" si="243"/>
        <v>1</v>
      </c>
      <c r="AO334" s="3" t="str">
        <f>IF(ISERROR(MATCH(A334,'SegEnds_Xtal_Prot#'!B:B, 0)), "NoXtal", "Xtal")</f>
        <v>NoXtal</v>
      </c>
      <c r="AP334" s="3" t="str">
        <f t="shared" si="228"/>
        <v>-</v>
      </c>
      <c r="AQ334" s="3" t="str">
        <f t="shared" si="229"/>
        <v>-</v>
      </c>
      <c r="AR334" s="3" t="str">
        <f t="shared" si="230"/>
        <v>-</v>
      </c>
      <c r="AS334" s="3" t="str">
        <f t="shared" si="231"/>
        <v>-</v>
      </c>
      <c r="AT334" s="3" t="str">
        <f t="shared" si="232"/>
        <v>-</v>
      </c>
      <c r="AU334" s="3" t="str">
        <f t="shared" si="233"/>
        <v>-</v>
      </c>
      <c r="AV334" s="3">
        <f t="shared" si="234"/>
        <v>8</v>
      </c>
      <c r="AW334" s="3">
        <f t="shared" si="235"/>
        <v>4</v>
      </c>
      <c r="AX334" s="3">
        <f t="shared" si="236"/>
        <v>11</v>
      </c>
      <c r="AY334" s="3">
        <f t="shared" si="237"/>
        <v>7</v>
      </c>
      <c r="AZ334" s="3">
        <f t="shared" si="238"/>
        <v>1</v>
      </c>
      <c r="BA334" s="3">
        <f>IF(ISERROR(LEN(VLOOKUP(A334,Seqs!A:E,2,FALSE))-AL334),"-",LEN(VLOOKUP(A334,Seqs!A:E,2,FALSE))-AL334)</f>
        <v>23</v>
      </c>
      <c r="BB334" s="16">
        <f t="shared" si="239"/>
        <v>31</v>
      </c>
      <c r="BC334" s="9" t="str">
        <f t="shared" si="240"/>
        <v>-</v>
      </c>
      <c r="BD334" s="3">
        <f t="shared" si="241"/>
        <v>31</v>
      </c>
      <c r="BE334" s="3">
        <f t="shared" si="242"/>
        <v>51</v>
      </c>
      <c r="BF334" s="3">
        <f>AH334-AE334</f>
        <v>29</v>
      </c>
    </row>
    <row r="335" spans="1:59" s="3" customFormat="1" x14ac:dyDescent="0.2">
      <c r="A335" s="3" t="s">
        <v>1187</v>
      </c>
      <c r="B335" s="3" t="str">
        <f>LOWER(VLOOKUP(A335,Xtal_Templ!A:B,2,FALSE))</f>
        <v>crfr1_human</v>
      </c>
      <c r="C335" s="3">
        <f>VLOOKUP($A335,'SegEnds_NonXtal_BW#'!$A:$Z,3,FALSE)+D335-50</f>
        <v>1000</v>
      </c>
      <c r="D335" s="3">
        <v>1027</v>
      </c>
      <c r="E335" s="3">
        <f>IF(ISERROR(VLOOKUP($A335,'SegEnds_NonXtal_BW#'!$A:$Z,4,FALSE)+VLOOKUP($A335,A:AL,4,FALSE)-50),"-",(VLOOKUP($A335,'SegEnds_NonXtal_BW#'!$A:$Z,4,FALSE)+VLOOKUP($A335,A:AL,4,FALSE)-50))</f>
        <v>1037</v>
      </c>
      <c r="F335" s="3">
        <f>G335-2</f>
        <v>1039</v>
      </c>
      <c r="G335" s="3">
        <v>1041</v>
      </c>
      <c r="H335" s="3">
        <f>G335+1</f>
        <v>1042</v>
      </c>
      <c r="I335" s="3">
        <f>H335+1</f>
        <v>1043</v>
      </c>
      <c r="J335" s="3">
        <v>1058</v>
      </c>
      <c r="K335" s="3">
        <f>VLOOKUP($A335,'SegEnds_NonXtal_BW#'!$A:$Z,8,FALSE)+VLOOKUP($A335,A:AL,10,FALSE)-50</f>
        <v>1071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1084</v>
      </c>
      <c r="P335" s="3">
        <v>1111</v>
      </c>
      <c r="Q335" s="3">
        <f>VLOOKUP($A335,'SegEnds_NonXtal_BW#'!$A:$Z,12,FALSE)+VLOOKUP($A335,A:AL,16,FALSE)-50</f>
        <v>1117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1126</v>
      </c>
      <c r="V335" s="3">
        <v>1136</v>
      </c>
      <c r="W335" s="3">
        <f>IF(ISERROR(VLOOKUP($A335,'SegEnds_NonXtal_BW#'!$A:$Z,16,FALSE)+VLOOKUP($A335,A:AL,22,FALSE)-50),"-",(VLOOKUP($A335,'SegEnds_NonXtal_BW#'!$A:$Z,16,FALSE)+VLOOKUP($A335,A:AL,22,FALSE)-50))</f>
        <v>1154</v>
      </c>
      <c r="X335" s="3">
        <f>IF(ISERROR(VLOOKUP($A335,'SegEnds_NonXtal_BW#'!$A:$Z,17,FALSE)+VLOOKUP($A335,A:AL,25,FALSE)-50),"-",(VLOOKUP($A335,'SegEnds_NonXtal_BW#'!$A:$Z,17,FALSE)+VLOOKUP($A335,A:AL,25,FALSE)-50))</f>
        <v>1162</v>
      </c>
      <c r="Y335" s="3">
        <v>1162</v>
      </c>
      <c r="Z335" s="3">
        <f t="shared" si="227"/>
        <v>1164</v>
      </c>
      <c r="AA335" s="3">
        <f>IF(ISERROR(VLOOKUP($A335,'SegEnds_NonXtal_BW#'!$A:$Z,19,FALSE)+VLOOKUP($A335,A:AL,28,FALSE)-50),"-",(VLOOKUP($A335,'SegEnds_NonXtal_BW#'!$A:$Z,19,FALSE)+VLOOKUP($A335,A:AL,28,FALSE)-50))</f>
        <v>1168</v>
      </c>
      <c r="AB335" s="3">
        <v>1182</v>
      </c>
      <c r="AC335" s="3">
        <f>IF(ISERROR((VLOOKUP($A335,'SegEnds_NonXtal_BW#'!$A:$Z,20,FALSE)+VLOOKUP($A335,A:AL,28,FALSE)-50)),"-",(VLOOKUP($A335,'SegEnds_NonXtal_BW#'!$A:$Z,20,FALSE)+VLOOKUP($A335,A:AL,28,FALSE)-50))</f>
        <v>1201</v>
      </c>
      <c r="AD335" s="3">
        <f>IF(ISERROR(VLOOKUP($A335,'SegEnds_NonXtal_BW#'!$A:$Z,21,FALSE)+VLOOKUP($A335,A:AL,31,FALSE)-50),"-",(VLOOKUP($A335,'SegEnds_NonXtal_BW#'!$A:$Z,21,FALSE)+VLOOKUP($A335,A:AL,31,FALSE)-50))</f>
        <v>1213</v>
      </c>
      <c r="AE335" s="3">
        <v>1234</v>
      </c>
      <c r="AF335" s="3">
        <f>IF(ISERROR((VLOOKUP($A335,'SegEnds_NonXtal_BW#'!$A:$Z,22,FALSE)+VLOOKUP($A335,A:AL,31,FALSE)-50)),"-",(VLOOKUP($A335,'SegEnds_NonXtal_BW#'!$A:$Z,22,FALSE)+VLOOKUP($A335,A:AL,31,FALSE)-50))</f>
        <v>1237</v>
      </c>
      <c r="AG335" s="3">
        <f>IF(ISERROR(VLOOKUP($A335,'SegEnds_NonXtal_BW#'!$A:$Z,23,FALSE)+VLOOKUP($A335,A:AL,34,FALSE)-50),"-",(VLOOKUP($A335,'SegEnds_NonXtal_BW#'!$A:$Z,23,FALSE)+VLOOKUP($A335,A:AL,34,FALSE)-50))</f>
        <v>1244</v>
      </c>
      <c r="AH335" s="3">
        <v>1263</v>
      </c>
      <c r="AI335" s="3">
        <f>IF(ISERROR((VLOOKUP($A335,'SegEnds_NonXtal_BW#'!$A:$Z,24,FALSE)+VLOOKUP($A335,A:AL,34,FALSE)-50)),"-",(VLOOKUP($A335,'SegEnds_NonXtal_BW#'!$A:$Z,24,FALSE)+VLOOKUP($A335,A:AL,34,FALSE)-50))</f>
        <v>1269</v>
      </c>
      <c r="AJ335" s="3">
        <f>IF(ISERROR(VLOOKUP($A335,'SegEnds_NonXtal_BW#'!$A:$Z,25,FALSE)+VLOOKUP($A335,A:AL,37,FALSE)-50),"-",(VLOOKUP($A335,'SegEnds_NonXtal_BW#'!$A:$Z,25,FALSE)+VLOOKUP($A335,A:AL,37,FALSE)-50))</f>
        <v>1270</v>
      </c>
      <c r="AK335" s="3">
        <v>1273</v>
      </c>
      <c r="AL335" s="3">
        <f>IF(ISERROR((VLOOKUP($A335,'SegEnds_NonXtal_BW#'!$A:$Z,26,FALSE)+VLOOKUP($A335,A:AL,37,FALSE)-50)),"-",(VLOOKUP($A335,'SegEnds_NonXtal_BW#'!$A:$Z,26,FALSE)+VLOOKUP($A335,A:AL,37,FALSE)-50))</f>
        <v>1286</v>
      </c>
      <c r="AM335" s="28" t="str">
        <f>VLOOKUP(A335,Classification!A:B,2,FALSE)</f>
        <v>B2</v>
      </c>
      <c r="AN335" s="28" t="b">
        <f t="shared" si="243"/>
        <v>1</v>
      </c>
      <c r="AO335" s="3" t="str">
        <f>IF(ISERROR(MATCH(A335,'SegEnds_Xtal_Prot#'!B:B, 0)), "NoXtal", "Xtal")</f>
        <v>NoXtal</v>
      </c>
      <c r="AP335" s="3">
        <f t="shared" si="228"/>
        <v>2</v>
      </c>
      <c r="AQ335" s="3">
        <f t="shared" si="229"/>
        <v>1</v>
      </c>
      <c r="AR335" s="3" t="str">
        <f t="shared" si="230"/>
        <v>-</v>
      </c>
      <c r="AS335" s="3" t="str">
        <f t="shared" si="231"/>
        <v>-</v>
      </c>
      <c r="AT335" s="3" t="str">
        <f t="shared" si="232"/>
        <v>-</v>
      </c>
      <c r="AU335" s="3" t="str">
        <f t="shared" si="233"/>
        <v>-</v>
      </c>
      <c r="AV335" s="3">
        <f t="shared" si="234"/>
        <v>8</v>
      </c>
      <c r="AW335" s="3">
        <f t="shared" si="235"/>
        <v>4</v>
      </c>
      <c r="AX335" s="3">
        <f t="shared" si="236"/>
        <v>12</v>
      </c>
      <c r="AY335" s="3">
        <f t="shared" si="237"/>
        <v>7</v>
      </c>
      <c r="AZ335" s="3">
        <f t="shared" si="238"/>
        <v>1</v>
      </c>
      <c r="BA335" s="3">
        <f>IF(ISERROR(LEN(VLOOKUP(A335,Seqs!A:E,2,FALSE))-AL335),"-",LEN(VLOOKUP(A335,Seqs!A:E,2,FALSE))-AL335)</f>
        <v>60</v>
      </c>
      <c r="BB335" s="16">
        <f t="shared" si="239"/>
        <v>31</v>
      </c>
      <c r="BC335" s="9" t="str">
        <f t="shared" si="240"/>
        <v>-</v>
      </c>
      <c r="BD335" s="3">
        <f t="shared" si="241"/>
        <v>31</v>
      </c>
      <c r="BE335" s="3">
        <f t="shared" si="242"/>
        <v>52</v>
      </c>
    </row>
    <row r="336" spans="1:59" s="3" customFormat="1" x14ac:dyDescent="0.2">
      <c r="A336" s="3" t="s">
        <v>1188</v>
      </c>
      <c r="B336" s="3" t="str">
        <f>LOWER(VLOOKUP(A336,Xtal_Templ!A:B,2,FALSE))</f>
        <v>glr_human</v>
      </c>
      <c r="C336" s="3">
        <f>VLOOKUP($A336,'SegEnds_NonXtal_BW#'!$A:$Z,3,FALSE)+D336-50</f>
        <v>391</v>
      </c>
      <c r="D336" s="3">
        <v>418</v>
      </c>
      <c r="E336" s="3">
        <f>IF(ISERROR(VLOOKUP($A336,'SegEnds_NonXtal_BW#'!$A:$Z,4,FALSE)+VLOOKUP($A336,A:AL,4,FALSE)-50),"-",(VLOOKUP($A336,'SegEnds_NonXtal_BW#'!$A:$Z,4,FALSE)+VLOOKUP($A336,A:AL,4,FALSE)-50))</f>
        <v>428</v>
      </c>
      <c r="F336" s="3">
        <f>G336-2</f>
        <v>430</v>
      </c>
      <c r="G336" s="3">
        <v>432</v>
      </c>
      <c r="H336" s="3">
        <f>G336+1</f>
        <v>433</v>
      </c>
      <c r="I336" s="3">
        <f>H336+1</f>
        <v>434</v>
      </c>
      <c r="J336" s="3">
        <v>453</v>
      </c>
      <c r="K336" s="3">
        <f>VLOOKUP($A336,'SegEnds_NonXtal_BW#'!$A:$Z,8,FALSE)+VLOOKUP($A336,A:AL,10,FALSE)-50</f>
        <v>466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473</v>
      </c>
      <c r="P336" s="3">
        <v>500</v>
      </c>
      <c r="Q336" s="3">
        <f>VLOOKUP($A336,'SegEnds_NonXtal_BW#'!$A:$Z,12,FALSE)+VLOOKUP($A336,A:AL,16,FALSE)-50</f>
        <v>506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514</v>
      </c>
      <c r="V336" s="3">
        <v>524</v>
      </c>
      <c r="W336" s="3">
        <f>IF(ISERROR(VLOOKUP($A336,'SegEnds_NonXtal_BW#'!$A:$Z,16,FALSE)+VLOOKUP($A336,A:AL,22,FALSE)-50),"-",(VLOOKUP($A336,'SegEnds_NonXtal_BW#'!$A:$Z,16,FALSE)+VLOOKUP($A336,A:AL,22,FALSE)-50))</f>
        <v>542</v>
      </c>
      <c r="X336" s="3">
        <f>IF(ISERROR(VLOOKUP($A336,'SegEnds_NonXtal_BW#'!$A:$Z,17,FALSE)+VLOOKUP($A336,A:AL,25,FALSE)-50),"-",(VLOOKUP($A336,'SegEnds_NonXtal_BW#'!$A:$Z,17,FALSE)+VLOOKUP($A336,A:AL,25,FALSE)-50))</f>
        <v>562</v>
      </c>
      <c r="Y336" s="3">
        <v>562</v>
      </c>
      <c r="Z336" s="3">
        <f t="shared" si="227"/>
        <v>564</v>
      </c>
      <c r="AA336" s="3">
        <f>IF(ISERROR(VLOOKUP($A336,'SegEnds_NonXtal_BW#'!$A:$Z,19,FALSE)+VLOOKUP($A336,A:AL,28,FALSE)-50),"-",(VLOOKUP($A336,'SegEnds_NonXtal_BW#'!$A:$Z,19,FALSE)+VLOOKUP($A336,A:AL,28,FALSE)-50))</f>
        <v>567</v>
      </c>
      <c r="AB336" s="3">
        <v>581</v>
      </c>
      <c r="AC336" s="3">
        <f>IF(ISERROR((VLOOKUP($A336,'SegEnds_NonXtal_BW#'!$A:$Z,20,FALSE)+VLOOKUP($A336,A:AL,28,FALSE)-50)),"-",(VLOOKUP($A336,'SegEnds_NonXtal_BW#'!$A:$Z,20,FALSE)+VLOOKUP($A336,A:AL,28,FALSE)-50))</f>
        <v>600</v>
      </c>
      <c r="AD336" s="3">
        <f>IF(ISERROR(VLOOKUP($A336,'SegEnds_NonXtal_BW#'!$A:$Z,21,FALSE)+VLOOKUP($A336,A:AL,31,FALSE)-50),"-",(VLOOKUP($A336,'SegEnds_NonXtal_BW#'!$A:$Z,21,FALSE)+VLOOKUP($A336,A:AL,31,FALSE)-50))</f>
        <v>604</v>
      </c>
      <c r="AE336" s="3">
        <v>625</v>
      </c>
      <c r="AF336" s="3">
        <f>IF(ISERROR((VLOOKUP($A336,'SegEnds_NonXtal_BW#'!$A:$Z,22,FALSE)+VLOOKUP($A336,A:AL,31,FALSE)-50)),"-",(VLOOKUP($A336,'SegEnds_NonXtal_BW#'!$A:$Z,22,FALSE)+VLOOKUP($A336,A:AL,31,FALSE)-50))</f>
        <v>628</v>
      </c>
      <c r="AG336" s="3">
        <f>IF(ISERROR(VLOOKUP($A336,'SegEnds_NonXtal_BW#'!$A:$Z,23,FALSE)+VLOOKUP($A336,A:AL,34,FALSE)-50),"-",(VLOOKUP($A336,'SegEnds_NonXtal_BW#'!$A:$Z,23,FALSE)+VLOOKUP($A336,A:AL,34,FALSE)-50))</f>
        <v>633</v>
      </c>
      <c r="AH336" s="3">
        <v>655</v>
      </c>
      <c r="AI336" s="3">
        <f>IF(ISERROR((VLOOKUP($A336,'SegEnds_NonXtal_BW#'!$A:$Z,24,FALSE)+VLOOKUP($A336,A:AL,34,FALSE)-50)),"-",(VLOOKUP($A336,'SegEnds_NonXtal_BW#'!$A:$Z,24,FALSE)+VLOOKUP($A336,A:AL,34,FALSE)-50))</f>
        <v>661</v>
      </c>
      <c r="AJ336" s="3">
        <f>IF(ISERROR(VLOOKUP($A336,'SegEnds_NonXtal_BW#'!$A:$Z,25,FALSE)+VLOOKUP($A336,A:AL,37,FALSE)-50),"-",(VLOOKUP($A336,'SegEnds_NonXtal_BW#'!$A:$Z,25,FALSE)+VLOOKUP($A336,A:AL,37,FALSE)-50))</f>
        <v>662</v>
      </c>
      <c r="AK336" s="3">
        <v>665</v>
      </c>
      <c r="AL336" s="3">
        <f>IF(ISERROR((VLOOKUP($A336,'SegEnds_NonXtal_BW#'!$A:$Z,26,FALSE)+VLOOKUP($A336,A:AL,37,FALSE)-50)),"-",(VLOOKUP($A336,'SegEnds_NonXtal_BW#'!$A:$Z,26,FALSE)+VLOOKUP($A336,A:AL,37,FALSE)-50))</f>
        <v>678</v>
      </c>
      <c r="AM336" s="28" t="str">
        <f>VLOOKUP(A336,Classification!A:B,2,FALSE)</f>
        <v>B2</v>
      </c>
      <c r="AN336" s="28" t="b">
        <f t="shared" si="243"/>
        <v>1</v>
      </c>
      <c r="AO336" s="3" t="str">
        <f>IF(ISERROR(MATCH(A336,'SegEnds_Xtal_Prot#'!B:B, 0)), "NoXtal", "Xtal")</f>
        <v>NoXtal</v>
      </c>
      <c r="AP336" s="3">
        <f t="shared" si="228"/>
        <v>2</v>
      </c>
      <c r="AQ336" s="3">
        <f t="shared" si="229"/>
        <v>1</v>
      </c>
      <c r="AR336" s="3" t="str">
        <f t="shared" si="230"/>
        <v>-</v>
      </c>
      <c r="AS336" s="3" t="str">
        <f t="shared" si="231"/>
        <v>-</v>
      </c>
      <c r="AT336" s="3" t="str">
        <f t="shared" si="232"/>
        <v>-</v>
      </c>
      <c r="AU336" s="3" t="str">
        <f t="shared" si="233"/>
        <v>-</v>
      </c>
      <c r="AV336" s="3">
        <f t="shared" si="234"/>
        <v>20</v>
      </c>
      <c r="AW336" s="3">
        <f t="shared" si="235"/>
        <v>3</v>
      </c>
      <c r="AX336" s="3">
        <f t="shared" si="236"/>
        <v>4</v>
      </c>
      <c r="AY336" s="3">
        <f t="shared" si="237"/>
        <v>5</v>
      </c>
      <c r="AZ336" s="3">
        <f t="shared" si="238"/>
        <v>1</v>
      </c>
      <c r="BA336" s="3">
        <f>IF(ISERROR(LEN(VLOOKUP(A336,Seqs!A:E,2,FALSE))-AL336),"-",LEN(VLOOKUP(A336,Seqs!A:E,2,FALSE))-AL336)</f>
        <v>15</v>
      </c>
      <c r="BB336" s="16">
        <f t="shared" si="239"/>
        <v>35</v>
      </c>
      <c r="BC336" s="9" t="str">
        <f t="shared" si="240"/>
        <v>-</v>
      </c>
      <c r="BD336" s="3">
        <f t="shared" si="241"/>
        <v>35</v>
      </c>
      <c r="BE336" s="3">
        <f t="shared" si="242"/>
        <v>44</v>
      </c>
      <c r="BF336" s="3">
        <f>AH336-AE336</f>
        <v>30</v>
      </c>
    </row>
    <row r="337" spans="1:58" s="3" customFormat="1" x14ac:dyDescent="0.2">
      <c r="A337" s="3" t="s">
        <v>1189</v>
      </c>
      <c r="B337" s="3" t="str">
        <f>LOWER(VLOOKUP(A337,Xtal_Templ!A:B,2,FALSE))</f>
        <v>pacr_human</v>
      </c>
      <c r="C337" s="3">
        <f>VLOOKUP($A337,'SegEnds_NonXtal_BW#'!$A:$Z,3,FALSE)+D337-50</f>
        <v>616</v>
      </c>
      <c r="D337" s="3">
        <v>643</v>
      </c>
      <c r="E337" s="3">
        <f>IF(ISERROR(VLOOKUP($A337,'SegEnds_NonXtal_BW#'!$A:$Z,4,FALSE)+VLOOKUP($A337,A:AL,4,FALSE)-50),"-",(VLOOKUP($A337,'SegEnds_NonXtal_BW#'!$A:$Z,4,FALSE)+VLOOKUP($A337,A:AL,4,FALSE)-50))</f>
        <v>653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659</v>
      </c>
      <c r="J337" s="3">
        <v>672</v>
      </c>
      <c r="K337" s="3">
        <f>VLOOKUP($A337,'SegEnds_NonXtal_BW#'!$A:$Z,8,FALSE)+VLOOKUP($A337,A:AL,10,FALSE)-50</f>
        <v>685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692</v>
      </c>
      <c r="P337" s="3">
        <v>719</v>
      </c>
      <c r="Q337" s="3">
        <f>VLOOKUP($A337,'SegEnds_NonXtal_BW#'!$A:$Z,12,FALSE)+VLOOKUP($A337,A:AL,16,FALSE)-50</f>
        <v>725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733</v>
      </c>
      <c r="V337" s="3">
        <v>743</v>
      </c>
      <c r="W337" s="3">
        <f>IF(ISERROR(VLOOKUP($A337,'SegEnds_NonXtal_BW#'!$A:$Z,16,FALSE)+VLOOKUP($A337,A:AL,22,FALSE)-50),"-",(VLOOKUP($A337,'SegEnds_NonXtal_BW#'!$A:$Z,16,FALSE)+VLOOKUP($A337,A:AL,22,FALSE)-50))</f>
        <v>761</v>
      </c>
      <c r="X337" s="3">
        <f>IF(ISERROR(VLOOKUP($A337,'SegEnds_NonXtal_BW#'!$A:$Z,17,FALSE)+VLOOKUP($A337,A:AL,25,FALSE)-50),"-",(VLOOKUP($A337,'SegEnds_NonXtal_BW#'!$A:$Z,17,FALSE)+VLOOKUP($A337,A:AL,25,FALSE)-50))</f>
        <v>778</v>
      </c>
      <c r="Y337" s="3">
        <v>778</v>
      </c>
      <c r="Z337" s="3">
        <f t="shared" si="227"/>
        <v>780</v>
      </c>
      <c r="AA337" s="3">
        <f>IF(ISERROR(VLOOKUP($A337,'SegEnds_NonXtal_BW#'!$A:$Z,19,FALSE)+VLOOKUP($A337,A:AL,28,FALSE)-50),"-",(VLOOKUP($A337,'SegEnds_NonXtal_BW#'!$A:$Z,19,FALSE)+VLOOKUP($A337,A:AL,28,FALSE)-50))</f>
        <v>783</v>
      </c>
      <c r="AB337" s="3">
        <v>797</v>
      </c>
      <c r="AC337" s="3">
        <f>IF(ISERROR((VLOOKUP($A337,'SegEnds_NonXtal_BW#'!$A:$Z,20,FALSE)+VLOOKUP($A337,A:AL,28,FALSE)-50)),"-",(VLOOKUP($A337,'SegEnds_NonXtal_BW#'!$A:$Z,20,FALSE)+VLOOKUP($A337,A:AL,28,FALSE)-50))</f>
        <v>816</v>
      </c>
      <c r="AD337" s="3">
        <f>IF(ISERROR(VLOOKUP($A337,'SegEnds_NonXtal_BW#'!$A:$Z,21,FALSE)+VLOOKUP($A337,A:AL,31,FALSE)-50),"-",(VLOOKUP($A337,'SegEnds_NonXtal_BW#'!$A:$Z,21,FALSE)+VLOOKUP($A337,A:AL,31,FALSE)-50))</f>
        <v>827</v>
      </c>
      <c r="AE337" s="3">
        <v>848</v>
      </c>
      <c r="AF337" s="3">
        <f>IF(ISERROR((VLOOKUP($A337,'SegEnds_NonXtal_BW#'!$A:$Z,22,FALSE)+VLOOKUP($A337,A:AL,31,FALSE)-50)),"-",(VLOOKUP($A337,'SegEnds_NonXtal_BW#'!$A:$Z,22,FALSE)+VLOOKUP($A337,A:AL,31,FALSE)-50))</f>
        <v>852</v>
      </c>
      <c r="AG337" s="3">
        <f>IF(ISERROR(VLOOKUP($A337,'SegEnds_NonXtal_BW#'!$A:$Z,23,FALSE)+VLOOKUP($A337,A:AL,34,FALSE)-50),"-",(VLOOKUP($A337,'SegEnds_NonXtal_BW#'!$A:$Z,23,FALSE)+VLOOKUP($A337,A:AL,34,FALSE)-50))</f>
        <v>857</v>
      </c>
      <c r="AH337" s="3">
        <v>876</v>
      </c>
      <c r="AI337" s="3">
        <f>IF(ISERROR((VLOOKUP($A337,'SegEnds_NonXtal_BW#'!$A:$Z,24,FALSE)+VLOOKUP($A337,A:AL,34,FALSE)-50)),"-",(VLOOKUP($A337,'SegEnds_NonXtal_BW#'!$A:$Z,24,FALSE)+VLOOKUP($A337,A:AL,34,FALSE)-50))</f>
        <v>882</v>
      </c>
      <c r="AJ337" s="3">
        <f>IF(ISERROR(VLOOKUP($A337,'SegEnds_NonXtal_BW#'!$A:$Z,25,FALSE)+VLOOKUP($A337,A:AL,37,FALSE)-50),"-",(VLOOKUP($A337,'SegEnds_NonXtal_BW#'!$A:$Z,25,FALSE)+VLOOKUP($A337,A:AL,37,FALSE)-50))</f>
        <v>883</v>
      </c>
      <c r="AK337" s="3">
        <v>886</v>
      </c>
      <c r="AL337" s="3">
        <f>IF(ISERROR((VLOOKUP($A337,'SegEnds_NonXtal_BW#'!$A:$Z,26,FALSE)+VLOOKUP($A337,A:AL,37,FALSE)-50)),"-",(VLOOKUP($A337,'SegEnds_NonXtal_BW#'!$A:$Z,26,FALSE)+VLOOKUP($A337,A:AL,37,FALSE)-50))</f>
        <v>899</v>
      </c>
      <c r="AM337" s="28" t="str">
        <f>VLOOKUP(A337,Classification!A:B,2,FALSE)</f>
        <v>B2</v>
      </c>
      <c r="AN337" s="28" t="b">
        <f t="shared" si="243"/>
        <v>1</v>
      </c>
      <c r="AO337" s="3" t="str">
        <f>IF(ISERROR(MATCH(A337,'SegEnds_Xtal_Prot#'!B:B, 0)), "NoXtal", "Xtal")</f>
        <v>NoXtal</v>
      </c>
      <c r="AP337" s="3" t="str">
        <f t="shared" si="228"/>
        <v>-</v>
      </c>
      <c r="AQ337" s="3" t="str">
        <f t="shared" si="229"/>
        <v>-</v>
      </c>
      <c r="AR337" s="3" t="str">
        <f t="shared" si="230"/>
        <v>-</v>
      </c>
      <c r="AS337" s="3" t="str">
        <f t="shared" si="231"/>
        <v>-</v>
      </c>
      <c r="AT337" s="3" t="str">
        <f t="shared" si="232"/>
        <v>-</v>
      </c>
      <c r="AU337" s="3" t="str">
        <f t="shared" si="233"/>
        <v>-</v>
      </c>
      <c r="AV337" s="3">
        <f t="shared" si="234"/>
        <v>17</v>
      </c>
      <c r="AW337" s="3">
        <f t="shared" si="235"/>
        <v>3</v>
      </c>
      <c r="AX337" s="3">
        <f t="shared" si="236"/>
        <v>11</v>
      </c>
      <c r="AY337" s="3">
        <f t="shared" si="237"/>
        <v>5</v>
      </c>
      <c r="AZ337" s="3">
        <f t="shared" si="238"/>
        <v>1</v>
      </c>
      <c r="BA337" s="3">
        <f>IF(ISERROR(LEN(VLOOKUP(A337,Seqs!A:E,2,FALSE))-AL337),"-",LEN(VLOOKUP(A337,Seqs!A:E,2,FALSE))-AL337)</f>
        <v>118</v>
      </c>
      <c r="BB337" s="16">
        <f t="shared" si="239"/>
        <v>29</v>
      </c>
      <c r="BC337" s="9" t="str">
        <f t="shared" si="240"/>
        <v>-</v>
      </c>
      <c r="BD337" s="3">
        <f t="shared" si="241"/>
        <v>29</v>
      </c>
      <c r="BE337" s="3">
        <f t="shared" si="242"/>
        <v>51</v>
      </c>
    </row>
    <row r="338" spans="1:58" s="3" customFormat="1" x14ac:dyDescent="0.2">
      <c r="A338" s="3" t="s">
        <v>1190</v>
      </c>
      <c r="B338" s="3" t="str">
        <f>LOWER(VLOOKUP(A338,Xtal_Templ!A:B,2,FALSE))</f>
        <v>pth1r_human</v>
      </c>
      <c r="C338" s="3">
        <f>VLOOKUP($A338,'SegEnds_NonXtal_BW#'!$A:$Z,3,FALSE)+D338-50</f>
        <v>256</v>
      </c>
      <c r="D338" s="3">
        <v>283</v>
      </c>
      <c r="E338" s="3">
        <f>IF(ISERROR(VLOOKUP($A338,'SegEnds_NonXtal_BW#'!$A:$Z,4,FALSE)+VLOOKUP($A338,A:AL,4,FALSE)-50),"-",(VLOOKUP($A338,'SegEnds_NonXtal_BW#'!$A:$Z,4,FALSE)+VLOOKUP($A338,A:AL,4,FALSE)-50))</f>
        <v>293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303</v>
      </c>
      <c r="J338" s="3">
        <v>316</v>
      </c>
      <c r="K338" s="3">
        <f>VLOOKUP($A338,'SegEnds_NonXtal_BW#'!$A:$Z,8,FALSE)+VLOOKUP($A338,A:AL,10,FALSE)-50</f>
        <v>329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336</v>
      </c>
      <c r="P338" s="3">
        <v>363</v>
      </c>
      <c r="Q338" s="3">
        <f>VLOOKUP($A338,'SegEnds_NonXtal_BW#'!$A:$Z,12,FALSE)+VLOOKUP($A338,A:AL,16,FALSE)-50</f>
        <v>369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374</v>
      </c>
      <c r="V338" s="3">
        <v>387</v>
      </c>
      <c r="W338" s="3">
        <f>IF(ISERROR(VLOOKUP($A338,'SegEnds_NonXtal_BW#'!$A:$Z,16,FALSE)+VLOOKUP($A338,A:AL,22,FALSE)-50),"-",(VLOOKUP($A338,'SegEnds_NonXtal_BW#'!$A:$Z,16,FALSE)+VLOOKUP($A338,A:AL,22,FALSE)-50))</f>
        <v>405</v>
      </c>
      <c r="X338" s="3">
        <f>IF(ISERROR(VLOOKUP($A338,'SegEnds_NonXtal_BW#'!$A:$Z,17,FALSE)+VLOOKUP($A338,A:AL,25,FALSE)-50),"-",(VLOOKUP($A338,'SegEnds_NonXtal_BW#'!$A:$Z,17,FALSE)+VLOOKUP($A338,A:AL,25,FALSE)-50))</f>
        <v>420</v>
      </c>
      <c r="Y338" s="3">
        <v>420</v>
      </c>
      <c r="Z338" s="3">
        <f t="shared" si="227"/>
        <v>422</v>
      </c>
      <c r="AA338" s="3">
        <f>IF(ISERROR(VLOOKUP($A338,'SegEnds_NonXtal_BW#'!$A:$Z,19,FALSE)+VLOOKUP($A338,A:AL,28,FALSE)-50),"-",(VLOOKUP($A338,'SegEnds_NonXtal_BW#'!$A:$Z,19,FALSE)+VLOOKUP($A338,A:AL,28,FALSE)-50))</f>
        <v>424</v>
      </c>
      <c r="AB338" s="3">
        <v>438</v>
      </c>
      <c r="AC338" s="3">
        <f>IF(ISERROR((VLOOKUP($A338,'SegEnds_NonXtal_BW#'!$A:$Z,20,FALSE)+VLOOKUP($A338,A:AL,28,FALSE)-50)),"-",(VLOOKUP($A338,'SegEnds_NonXtal_BW#'!$A:$Z,20,FALSE)+VLOOKUP($A338,A:AL,28,FALSE)-50))</f>
        <v>457</v>
      </c>
      <c r="AD338" s="3">
        <f>IF(ISERROR(VLOOKUP($A338,'SegEnds_NonXtal_BW#'!$A:$Z,21,FALSE)+VLOOKUP($A338,A:AL,31,FALSE)-50),"-",(VLOOKUP($A338,'SegEnds_NonXtal_BW#'!$A:$Z,21,FALSE)+VLOOKUP($A338,A:AL,31,FALSE)-50))</f>
        <v>471</v>
      </c>
      <c r="AE338" s="3">
        <v>492</v>
      </c>
      <c r="AF338" s="3">
        <f>IF(ISERROR((VLOOKUP($A338,'SegEnds_NonXtal_BW#'!$A:$Z,22,FALSE)+VLOOKUP($A338,A:AL,31,FALSE)-50)),"-",(VLOOKUP($A338,'SegEnds_NonXtal_BW#'!$A:$Z,22,FALSE)+VLOOKUP($A338,A:AL,31,FALSE)-50))</f>
        <v>492</v>
      </c>
      <c r="AG338" s="3">
        <f>IF(ISERROR(VLOOKUP($A338,'SegEnds_NonXtal_BW#'!$A:$Z,23,FALSE)+VLOOKUP($A338,A:AL,34,FALSE)-50),"-",(VLOOKUP($A338,'SegEnds_NonXtal_BW#'!$A:$Z,23,FALSE)+VLOOKUP($A338,A:AL,34,FALSE)-50))</f>
        <v>499</v>
      </c>
      <c r="AH338" s="3">
        <v>518</v>
      </c>
      <c r="AI338" s="3">
        <f>IF(ISERROR((VLOOKUP($A338,'SegEnds_NonXtal_BW#'!$A:$Z,24,FALSE)+VLOOKUP($A338,A:AL,34,FALSE)-50)),"-",(VLOOKUP($A338,'SegEnds_NonXtal_BW#'!$A:$Z,24,FALSE)+VLOOKUP($A338,A:AL,34,FALSE)-50))</f>
        <v>524</v>
      </c>
      <c r="AJ338" s="3">
        <f>IF(ISERROR(VLOOKUP($A338,'SegEnds_NonXtal_BW#'!$A:$Z,25,FALSE)+VLOOKUP($A338,A:AL,37,FALSE)-50),"-",(VLOOKUP($A338,'SegEnds_NonXtal_BW#'!$A:$Z,25,FALSE)+VLOOKUP($A338,A:AL,37,FALSE)-50))</f>
        <v>525</v>
      </c>
      <c r="AK338" s="3">
        <v>528</v>
      </c>
      <c r="AL338" s="3">
        <f>IF(ISERROR((VLOOKUP($A338,'SegEnds_NonXtal_BW#'!$A:$Z,26,FALSE)+VLOOKUP($A338,A:AL,37,FALSE)-50)),"-",(VLOOKUP($A338,'SegEnds_NonXtal_BW#'!$A:$Z,26,FALSE)+VLOOKUP($A338,A:AL,37,FALSE)-50))</f>
        <v>541</v>
      </c>
      <c r="AM338" s="28" t="str">
        <f>VLOOKUP(A338,Classification!A:B,2,FALSE)</f>
        <v>B2</v>
      </c>
      <c r="AN338" s="28" t="b">
        <f t="shared" si="243"/>
        <v>1</v>
      </c>
      <c r="AO338" s="3" t="str">
        <f>IF(ISERROR(MATCH(A338,'SegEnds_Xtal_Prot#'!B:B, 0)), "NoXtal", "Xtal")</f>
        <v>NoXtal</v>
      </c>
      <c r="AP338" s="3" t="str">
        <f t="shared" si="228"/>
        <v>-</v>
      </c>
      <c r="AQ338" s="3" t="str">
        <f t="shared" si="229"/>
        <v>-</v>
      </c>
      <c r="AR338" s="3" t="str">
        <f t="shared" si="230"/>
        <v>-</v>
      </c>
      <c r="AS338" s="3" t="str">
        <f t="shared" si="231"/>
        <v>-</v>
      </c>
      <c r="AT338" s="3" t="str">
        <f t="shared" si="232"/>
        <v>-</v>
      </c>
      <c r="AU338" s="3" t="str">
        <f t="shared" si="233"/>
        <v>-</v>
      </c>
      <c r="AV338" s="3">
        <f t="shared" si="234"/>
        <v>15</v>
      </c>
      <c r="AW338" s="3">
        <f t="shared" si="235"/>
        <v>2</v>
      </c>
      <c r="AX338" s="3">
        <f t="shared" si="236"/>
        <v>14</v>
      </c>
      <c r="AY338" s="3">
        <f t="shared" si="237"/>
        <v>7</v>
      </c>
      <c r="AZ338" s="3">
        <f t="shared" si="238"/>
        <v>1</v>
      </c>
      <c r="BA338" s="3">
        <f>IF(ISERROR(LEN(VLOOKUP(A338,Seqs!A:E,2,FALSE))-AL338),"-",LEN(VLOOKUP(A338,Seqs!A:E,2,FALSE))-AL338)</f>
        <v>8</v>
      </c>
      <c r="BB338" s="16">
        <f t="shared" si="239"/>
        <v>33</v>
      </c>
      <c r="BC338" s="9" t="str">
        <f t="shared" si="240"/>
        <v>-</v>
      </c>
      <c r="BD338" s="3">
        <f t="shared" si="241"/>
        <v>33</v>
      </c>
      <c r="BE338" s="3">
        <f t="shared" si="242"/>
        <v>54</v>
      </c>
      <c r="BF338" s="3">
        <f>AH338-AE338</f>
        <v>26</v>
      </c>
    </row>
    <row r="339" spans="1:58" s="3" customFormat="1" x14ac:dyDescent="0.2">
      <c r="A339" s="3" t="s">
        <v>1191</v>
      </c>
      <c r="B339" s="3" t="str">
        <f>LOWER(VLOOKUP(A339,Xtal_Templ!A:B,2,FALSE))</f>
        <v>crfr1_human</v>
      </c>
      <c r="C339" s="3">
        <f>VLOOKUP($A339,'SegEnds_NonXtal_BW#'!$A:$Z,3,FALSE)+D339-50</f>
        <v>2731</v>
      </c>
      <c r="D339" s="3">
        <v>2758</v>
      </c>
      <c r="E339" s="3">
        <f>IF(ISERROR(VLOOKUP($A339,'SegEnds_NonXtal_BW#'!$A:$Z,4,FALSE)+VLOOKUP($A339,A:AL,4,FALSE)-50),"-",(VLOOKUP($A339,'SegEnds_NonXtal_BW#'!$A:$Z,4,FALSE)+VLOOKUP($A339,A:AL,4,FALSE)-50))</f>
        <v>2768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2774</v>
      </c>
      <c r="J339" s="3">
        <v>2787</v>
      </c>
      <c r="K339" s="3">
        <f>VLOOKUP($A339,'SegEnds_NonXtal_BW#'!$A:$Z,8,FALSE)+VLOOKUP($A339,A:AL,10,FALSE)-50</f>
        <v>2800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2807</v>
      </c>
      <c r="P339" s="3">
        <v>2834</v>
      </c>
      <c r="Q339" s="3">
        <f>VLOOKUP($A339,'SegEnds_NonXtal_BW#'!$A:$Z,12,FALSE)+VLOOKUP($A339,A:AL,16,FALSE)-50</f>
        <v>2840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2848</v>
      </c>
      <c r="V339" s="3">
        <v>2858</v>
      </c>
      <c r="W339" s="3">
        <f>IF(ISERROR(VLOOKUP($A339,'SegEnds_NonXtal_BW#'!$A:$Z,16,FALSE)+VLOOKUP($A339,A:AL,22,FALSE)-50),"-",(VLOOKUP($A339,'SegEnds_NonXtal_BW#'!$A:$Z,16,FALSE)+VLOOKUP($A339,A:AL,22,FALSE)-50))</f>
        <v>2876</v>
      </c>
      <c r="X339" s="3">
        <f>IF(ISERROR(VLOOKUP($A339,'SegEnds_NonXtal_BW#'!$A:$Z,17,FALSE)+VLOOKUP($A339,A:AL,25,FALSE)-50),"-",(VLOOKUP($A339,'SegEnds_NonXtal_BW#'!$A:$Z,17,FALSE)+VLOOKUP($A339,A:AL,25,FALSE)-50))</f>
        <v>2886</v>
      </c>
      <c r="Y339" s="3">
        <v>2886</v>
      </c>
      <c r="Z339" s="3">
        <f t="shared" si="227"/>
        <v>2888</v>
      </c>
      <c r="AA339" s="3">
        <f>IF(ISERROR(VLOOKUP($A339,'SegEnds_NonXtal_BW#'!$A:$Z,19,FALSE)+VLOOKUP($A339,A:AL,28,FALSE)-50),"-",(VLOOKUP($A339,'SegEnds_NonXtal_BW#'!$A:$Z,19,FALSE)+VLOOKUP($A339,A:AL,28,FALSE)-50))</f>
        <v>2891</v>
      </c>
      <c r="AB339" s="3">
        <v>2905</v>
      </c>
      <c r="AC339" s="3">
        <f>IF(ISERROR((VLOOKUP($A339,'SegEnds_NonXtal_BW#'!$A:$Z,20,FALSE)+VLOOKUP($A339,A:AL,28,FALSE)-50)),"-",(VLOOKUP($A339,'SegEnds_NonXtal_BW#'!$A:$Z,20,FALSE)+VLOOKUP($A339,A:AL,28,FALSE)-50))</f>
        <v>2924</v>
      </c>
      <c r="AD339" s="3">
        <f>IF(ISERROR(VLOOKUP($A339,'SegEnds_NonXtal_BW#'!$A:$Z,21,FALSE)+VLOOKUP($A339,A:AL,31,FALSE)-50),"-",(VLOOKUP($A339,'SegEnds_NonXtal_BW#'!$A:$Z,21,FALSE)+VLOOKUP($A339,A:AL,31,FALSE)-50))</f>
        <v>2934</v>
      </c>
      <c r="AE339" s="3">
        <v>2955</v>
      </c>
      <c r="AF339" s="3">
        <f>IF(ISERROR((VLOOKUP($A339,'SegEnds_NonXtal_BW#'!$A:$Z,22,FALSE)+VLOOKUP($A339,A:AL,31,FALSE)-50)),"-",(VLOOKUP($A339,'SegEnds_NonXtal_BW#'!$A:$Z,22,FALSE)+VLOOKUP($A339,A:AL,31,FALSE)-50))</f>
        <v>2958</v>
      </c>
      <c r="AG339" s="3">
        <f>IF(ISERROR(VLOOKUP($A339,'SegEnds_NonXtal_BW#'!$A:$Z,23,FALSE)+VLOOKUP($A339,A:AL,34,FALSE)-50),"-",(VLOOKUP($A339,'SegEnds_NonXtal_BW#'!$A:$Z,23,FALSE)+VLOOKUP($A339,A:AL,34,FALSE)-50))</f>
        <v>2964</v>
      </c>
      <c r="AH339" s="3">
        <v>2983</v>
      </c>
      <c r="AI339" s="3">
        <f>IF(ISERROR((VLOOKUP($A339,'SegEnds_NonXtal_BW#'!$A:$Z,24,FALSE)+VLOOKUP($A339,A:AL,34,FALSE)-50)),"-",(VLOOKUP($A339,'SegEnds_NonXtal_BW#'!$A:$Z,24,FALSE)+VLOOKUP($A339,A:AL,34,FALSE)-50))</f>
        <v>2989</v>
      </c>
      <c r="AJ339" s="3">
        <f>IF(ISERROR(VLOOKUP($A339,'SegEnds_NonXtal_BW#'!$A:$Z,25,FALSE)+VLOOKUP($A339,A:AL,37,FALSE)-50),"-",(VLOOKUP($A339,'SegEnds_NonXtal_BW#'!$A:$Z,25,FALSE)+VLOOKUP($A339,A:AL,37,FALSE)-50))</f>
        <v>2990</v>
      </c>
      <c r="AK339" s="3">
        <v>2993</v>
      </c>
      <c r="AL339" s="3">
        <f>IF(ISERROR((VLOOKUP($A339,'SegEnds_NonXtal_BW#'!$A:$Z,26,FALSE)+VLOOKUP($A339,A:AL,37,FALSE)-50)),"-",(VLOOKUP($A339,'SegEnds_NonXtal_BW#'!$A:$Z,26,FALSE)+VLOOKUP($A339,A:AL,37,FALSE)-50))</f>
        <v>3006</v>
      </c>
      <c r="AM339" s="28" t="str">
        <f>VLOOKUP(A339,Classification!A:B,2,FALSE)</f>
        <v>B2</v>
      </c>
      <c r="AN339" s="28" t="b">
        <f t="shared" si="243"/>
        <v>1</v>
      </c>
      <c r="AO339" s="3" t="str">
        <f>IF(ISERROR(MATCH(A339,'SegEnds_Xtal_Prot#'!B:B, 0)), "NoXtal", "Xtal")</f>
        <v>NoXtal</v>
      </c>
      <c r="AP339" s="3" t="str">
        <f t="shared" si="228"/>
        <v>-</v>
      </c>
      <c r="AQ339" s="3" t="str">
        <f t="shared" si="229"/>
        <v>-</v>
      </c>
      <c r="AR339" s="3" t="str">
        <f t="shared" si="230"/>
        <v>-</v>
      </c>
      <c r="AS339" s="3" t="str">
        <f t="shared" si="231"/>
        <v>-</v>
      </c>
      <c r="AT339" s="3" t="str">
        <f t="shared" si="232"/>
        <v>-</v>
      </c>
      <c r="AU339" s="3" t="str">
        <f t="shared" si="233"/>
        <v>-</v>
      </c>
      <c r="AV339" s="3">
        <f t="shared" si="234"/>
        <v>10</v>
      </c>
      <c r="AW339" s="3">
        <f t="shared" si="235"/>
        <v>3</v>
      </c>
      <c r="AX339" s="3">
        <f t="shared" si="236"/>
        <v>10</v>
      </c>
      <c r="AY339" s="3">
        <f t="shared" si="237"/>
        <v>6</v>
      </c>
      <c r="AZ339" s="3">
        <f t="shared" si="238"/>
        <v>1</v>
      </c>
      <c r="BA339" s="3">
        <f>IF(ISERROR(LEN(VLOOKUP(A339,Seqs!A:E,2,FALSE))-AL339),"-",LEN(VLOOKUP(A339,Seqs!A:E,2,FALSE))-AL339)</f>
        <v>74</v>
      </c>
      <c r="BB339" s="16">
        <f t="shared" si="239"/>
        <v>29</v>
      </c>
      <c r="BC339" s="9" t="str">
        <f t="shared" si="240"/>
        <v>-</v>
      </c>
      <c r="BD339" s="3">
        <f t="shared" si="241"/>
        <v>29</v>
      </c>
      <c r="BE339" s="3">
        <f t="shared" si="242"/>
        <v>50</v>
      </c>
    </row>
    <row r="340" spans="1:58" s="3" customFormat="1" x14ac:dyDescent="0.2">
      <c r="A340" s="3" t="s">
        <v>1192</v>
      </c>
      <c r="B340" s="3" t="str">
        <f>LOWER(VLOOKUP(A340,Xtal_Templ!A:B,2,FALSE))</f>
        <v>pth1r_human</v>
      </c>
      <c r="C340" s="3">
        <f>VLOOKUP($A340,'SegEnds_NonXtal_BW#'!$A:$Z,3,FALSE)+D340-50</f>
        <v>236</v>
      </c>
      <c r="D340" s="3">
        <v>263</v>
      </c>
      <c r="E340" s="3">
        <f>IF(ISERROR(VLOOKUP($A340,'SegEnds_NonXtal_BW#'!$A:$Z,4,FALSE)+VLOOKUP($A340,A:AL,4,FALSE)-50),"-",(VLOOKUP($A340,'SegEnds_NonXtal_BW#'!$A:$Z,4,FALSE)+VLOOKUP($A340,A:AL,4,FALSE)-50))</f>
        <v>273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278</v>
      </c>
      <c r="J340" s="3">
        <v>291</v>
      </c>
      <c r="K340" s="3">
        <f>VLOOKUP($A340,'SegEnds_NonXtal_BW#'!$A:$Z,8,FALSE)+VLOOKUP($A340,A:AL,10,FALSE)-50</f>
        <v>304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312</v>
      </c>
      <c r="P340" s="3">
        <v>339</v>
      </c>
      <c r="Q340" s="3">
        <f>VLOOKUP($A340,'SegEnds_NonXtal_BW#'!$A:$Z,12,FALSE)+VLOOKUP($A340,A:AL,16,FALSE)-50</f>
        <v>345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350</v>
      </c>
      <c r="V340" s="3">
        <v>363</v>
      </c>
      <c r="W340" s="3">
        <f>IF(ISERROR(VLOOKUP($A340,'SegEnds_NonXtal_BW#'!$A:$Z,16,FALSE)+VLOOKUP($A340,A:AL,22,FALSE)-50),"-",(VLOOKUP($A340,'SegEnds_NonXtal_BW#'!$A:$Z,16,FALSE)+VLOOKUP($A340,A:AL,22,FALSE)-50))</f>
        <v>381</v>
      </c>
      <c r="X340" s="3">
        <f>IF(ISERROR(VLOOKUP($A340,'SegEnds_NonXtal_BW#'!$A:$Z,17,FALSE)+VLOOKUP($A340,A:AL,25,FALSE)-50),"-",(VLOOKUP($A340,'SegEnds_NonXtal_BW#'!$A:$Z,17,FALSE)+VLOOKUP($A340,A:AL,25,FALSE)-50))</f>
        <v>404</v>
      </c>
      <c r="Y340" s="3">
        <v>404</v>
      </c>
      <c r="Z340" s="3">
        <f t="shared" si="227"/>
        <v>406</v>
      </c>
      <c r="AA340" s="3">
        <f>IF(ISERROR(VLOOKUP($A340,'SegEnds_NonXtal_BW#'!$A:$Z,19,FALSE)+VLOOKUP($A340,A:AL,28,FALSE)-50),"-",(VLOOKUP($A340,'SegEnds_NonXtal_BW#'!$A:$Z,19,FALSE)+VLOOKUP($A340,A:AL,28,FALSE)-50))</f>
        <v>409</v>
      </c>
      <c r="AB340" s="3">
        <v>423</v>
      </c>
      <c r="AC340" s="3">
        <f>IF(ISERROR((VLOOKUP($A340,'SegEnds_NonXtal_BW#'!$A:$Z,20,FALSE)+VLOOKUP($A340,A:AL,28,FALSE)-50)),"-",(VLOOKUP($A340,'SegEnds_NonXtal_BW#'!$A:$Z,20,FALSE)+VLOOKUP($A340,A:AL,28,FALSE)-50))</f>
        <v>442</v>
      </c>
      <c r="AD340" s="3">
        <f>IF(ISERROR(VLOOKUP($A340,'SegEnds_NonXtal_BW#'!$A:$Z,21,FALSE)+VLOOKUP($A340,A:AL,31,FALSE)-50),"-",(VLOOKUP($A340,'SegEnds_NonXtal_BW#'!$A:$Z,21,FALSE)+VLOOKUP($A340,A:AL,31,FALSE)-50))</f>
        <v>451</v>
      </c>
      <c r="AE340" s="3">
        <v>472</v>
      </c>
      <c r="AF340" s="3">
        <f>IF(ISERROR((VLOOKUP($A340,'SegEnds_NonXtal_BW#'!$A:$Z,22,FALSE)+VLOOKUP($A340,A:AL,31,FALSE)-50)),"-",(VLOOKUP($A340,'SegEnds_NonXtal_BW#'!$A:$Z,22,FALSE)+VLOOKUP($A340,A:AL,31,FALSE)-50))</f>
        <v>476</v>
      </c>
      <c r="AG340" s="3">
        <f>IF(ISERROR(VLOOKUP($A340,'SegEnds_NonXtal_BW#'!$A:$Z,23,FALSE)+VLOOKUP($A340,A:AL,34,FALSE)-50),"-",(VLOOKUP($A340,'SegEnds_NonXtal_BW#'!$A:$Z,23,FALSE)+VLOOKUP($A340,A:AL,34,FALSE)-50))</f>
        <v>481</v>
      </c>
      <c r="AH340" s="3">
        <v>500</v>
      </c>
      <c r="AI340" s="3">
        <f>IF(ISERROR((VLOOKUP($A340,'SegEnds_NonXtal_BW#'!$A:$Z,24,FALSE)+VLOOKUP($A340,A:AL,34,FALSE)-50)),"-",(VLOOKUP($A340,'SegEnds_NonXtal_BW#'!$A:$Z,24,FALSE)+VLOOKUP($A340,A:AL,34,FALSE)-50))</f>
        <v>506</v>
      </c>
      <c r="AJ340" s="3">
        <f>IF(ISERROR(VLOOKUP($A340,'SegEnds_NonXtal_BW#'!$A:$Z,25,FALSE)+VLOOKUP($A340,A:AL,37,FALSE)-50),"-",(VLOOKUP($A340,'SegEnds_NonXtal_BW#'!$A:$Z,25,FALSE)+VLOOKUP($A340,A:AL,37,FALSE)-50))</f>
        <v>507</v>
      </c>
      <c r="AK340" s="3">
        <v>510</v>
      </c>
      <c r="AL340" s="3">
        <f>IF(ISERROR((VLOOKUP($A340,'SegEnds_NonXtal_BW#'!$A:$Z,26,FALSE)+VLOOKUP($A340,A:AL,37,FALSE)-50)),"-",(VLOOKUP($A340,'SegEnds_NonXtal_BW#'!$A:$Z,26,FALSE)+VLOOKUP($A340,A:AL,37,FALSE)-50))</f>
        <v>523</v>
      </c>
      <c r="AM340" s="28" t="str">
        <f>VLOOKUP(A340,Classification!A:B,2,FALSE)</f>
        <v>B2</v>
      </c>
      <c r="AN340" s="28" t="b">
        <f t="shared" si="243"/>
        <v>1</v>
      </c>
      <c r="AO340" s="3" t="str">
        <f>IF(ISERROR(MATCH(A340,'SegEnds_Xtal_Prot#'!B:B, 0)), "NoXtal", "Xtal")</f>
        <v>NoXtal</v>
      </c>
      <c r="AP340" s="3" t="str">
        <f t="shared" si="228"/>
        <v>-</v>
      </c>
      <c r="AQ340" s="3" t="str">
        <f t="shared" si="229"/>
        <v>-</v>
      </c>
      <c r="AR340" s="3" t="str">
        <f t="shared" si="230"/>
        <v>-</v>
      </c>
      <c r="AS340" s="3" t="str">
        <f t="shared" si="231"/>
        <v>-</v>
      </c>
      <c r="AT340" s="3" t="str">
        <f t="shared" si="232"/>
        <v>-</v>
      </c>
      <c r="AU340" s="3" t="str">
        <f t="shared" si="233"/>
        <v>-</v>
      </c>
      <c r="AV340" s="3">
        <f t="shared" si="234"/>
        <v>23</v>
      </c>
      <c r="AW340" s="3">
        <f t="shared" si="235"/>
        <v>3</v>
      </c>
      <c r="AX340" s="3">
        <f t="shared" si="236"/>
        <v>9</v>
      </c>
      <c r="AY340" s="3">
        <f t="shared" si="237"/>
        <v>5</v>
      </c>
      <c r="AZ340" s="3">
        <f t="shared" si="238"/>
        <v>1</v>
      </c>
      <c r="BA340" s="3">
        <f>IF(ISERROR(LEN(VLOOKUP(A340,Seqs!A:E,2,FALSE))-AL340),"-",LEN(VLOOKUP(A340,Seqs!A:E,2,FALSE))-AL340)</f>
        <v>5</v>
      </c>
      <c r="BB340" s="16">
        <f t="shared" si="239"/>
        <v>28</v>
      </c>
      <c r="BC340" s="9" t="str">
        <f t="shared" si="240"/>
        <v>-</v>
      </c>
      <c r="BD340" s="3">
        <f t="shared" si="241"/>
        <v>28</v>
      </c>
      <c r="BE340" s="3">
        <f t="shared" si="242"/>
        <v>49</v>
      </c>
      <c r="BF340" s="3">
        <f>AH340-AE340</f>
        <v>28</v>
      </c>
    </row>
    <row r="341" spans="1:58" s="3" customFormat="1" x14ac:dyDescent="0.2">
      <c r="A341" s="3" t="s">
        <v>1409</v>
      </c>
      <c r="B341" s="3" t="str">
        <f>LOWER(VLOOKUP(A341,Xtal_Templ!A:B,2,FALSE))</f>
        <v>crfr2_human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908</v>
      </c>
      <c r="K341" s="3">
        <f>VLOOKUP($A341,'SegEnds_NonXtal_BW#'!$A:$Z,8,FALSE)+VLOOKUP($A341,A:AL,10,FALSE)-50</f>
        <v>921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928</v>
      </c>
      <c r="P341" s="3">
        <v>955</v>
      </c>
      <c r="Q341" s="3">
        <f>VLOOKUP($A341,'SegEnds_NonXtal_BW#'!$A:$Z,12,FALSE)+VLOOKUP($A341,A:AL,16,FALSE)-50</f>
        <v>961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970</v>
      </c>
      <c r="V341" s="3">
        <v>979</v>
      </c>
      <c r="W341" s="3">
        <f>IF(ISERROR(VLOOKUP($A341,'SegEnds_NonXtal_BW#'!$A:$Z,16,FALSE)+VLOOKUP($A341,A:AL,22,FALSE)-50),"-",(VLOOKUP($A341,'SegEnds_NonXtal_BW#'!$A:$Z,16,FALSE)+VLOOKUP($A341,A:AL,22,FALSE)-50))</f>
        <v>997</v>
      </c>
      <c r="X341" s="3">
        <f>IF(ISERROR(VLOOKUP($A341,'SegEnds_NonXtal_BW#'!$A:$Z,17,FALSE)+VLOOKUP($A341,A:AL,25,FALSE)-50),"-",(VLOOKUP($A341,'SegEnds_NonXtal_BW#'!$A:$Z,17,FALSE)+VLOOKUP($A341,A:AL,25,FALSE)-50))</f>
        <v>1013</v>
      </c>
      <c r="Y341" s="3">
        <v>1013</v>
      </c>
      <c r="Z341" s="3">
        <f t="shared" si="227"/>
        <v>1015</v>
      </c>
      <c r="AA341" s="3">
        <f>IF(ISERROR(VLOOKUP($A341,'SegEnds_NonXtal_BW#'!$A:$Z,19,FALSE)+VLOOKUP($A341,A:AL,28,FALSE)-50),"-",(VLOOKUP($A341,'SegEnds_NonXtal_BW#'!$A:$Z,19,FALSE)+VLOOKUP($A341,A:AL,28,FALSE)-50))</f>
        <v>1018</v>
      </c>
      <c r="AB341" s="3">
        <v>1032</v>
      </c>
      <c r="AC341" s="3">
        <f>IF(ISERROR((VLOOKUP($A341,'SegEnds_NonXtal_BW#'!$A:$Z,20,FALSE)+VLOOKUP($A341,A:AL,28,FALSE)-50)),"-",(VLOOKUP($A341,'SegEnds_NonXtal_BW#'!$A:$Z,20,FALSE)+VLOOKUP($A341,A:AL,28,FALSE)-50))</f>
        <v>1051</v>
      </c>
      <c r="AD341" s="3">
        <f>IF(ISERROR(VLOOKUP($A341,'SegEnds_NonXtal_BW#'!$A:$Z,21,FALSE)+VLOOKUP($A341,A:AL,31,FALSE)-50),"-",(VLOOKUP($A341,'SegEnds_NonXtal_BW#'!$A:$Z,21,FALSE)+VLOOKUP($A341,A:AL,31,FALSE)-50))</f>
        <v>1062</v>
      </c>
      <c r="AE341" s="3">
        <v>1083</v>
      </c>
      <c r="AF341" s="3">
        <f>IF(ISERROR((VLOOKUP($A341,'SegEnds_NonXtal_BW#'!$A:$Z,22,FALSE)+VLOOKUP($A341,A:AL,31,FALSE)-50)),"-",(VLOOKUP($A341,'SegEnds_NonXtal_BW#'!$A:$Z,22,FALSE)+VLOOKUP($A341,A:AL,31,FALSE)-50))</f>
        <v>1086</v>
      </c>
      <c r="AG341" s="3">
        <f>IF(ISERROR(VLOOKUP($A341,'SegEnds_NonXtal_BW#'!$A:$Z,23,FALSE)+VLOOKUP($A341,A:AL,34,FALSE)-50),"-",(VLOOKUP($A341,'SegEnds_NonXtal_BW#'!$A:$Z,23,FALSE)+VLOOKUP($A341,A:AL,34,FALSE)-50))</f>
        <v>1092</v>
      </c>
      <c r="AH341" s="3">
        <v>1111</v>
      </c>
      <c r="AI341" s="3">
        <f>IF(ISERROR((VLOOKUP($A341,'SegEnds_NonXtal_BW#'!$A:$Z,24,FALSE)+VLOOKUP($A341,A:AL,34,FALSE)-50)),"-",(VLOOKUP($A341,'SegEnds_NonXtal_BW#'!$A:$Z,24,FALSE)+VLOOKUP($A341,A:AL,34,FALSE)-50))</f>
        <v>1117</v>
      </c>
      <c r="AJ341" s="3">
        <f>IF(ISERROR(VLOOKUP($A341,'SegEnds_NonXtal_BW#'!$A:$Z,25,FALSE)+VLOOKUP($A341,A:AL,37,FALSE)-50),"-",(VLOOKUP($A341,'SegEnds_NonXtal_BW#'!$A:$Z,25,FALSE)+VLOOKUP($A341,A:AL,37,FALSE)-50))</f>
        <v>1118</v>
      </c>
      <c r="AK341" s="3">
        <v>1121</v>
      </c>
      <c r="AL341" s="3">
        <f>IF(ISERROR((VLOOKUP($A341,'SegEnds_NonXtal_BW#'!$A:$Z,26,FALSE)+VLOOKUP($A341,A:AL,37,FALSE)-50)),"-",(VLOOKUP($A341,'SegEnds_NonXtal_BW#'!$A:$Z,26,FALSE)+VLOOKUP($A341,A:AL,37,FALSE)-50))</f>
        <v>1134</v>
      </c>
      <c r="AM341" s="28" t="str">
        <f>VLOOKUP(A341,Classification!A:B,2,FALSE)</f>
        <v>B2</v>
      </c>
      <c r="AN341" s="28" t="b">
        <f t="shared" si="243"/>
        <v>1</v>
      </c>
      <c r="AO341" s="3" t="str">
        <f>IF(ISERROR(MATCH(A341,'SegEnds_Xtal_Prot#'!B:B, 0)), "NoXtal", "Xtal")</f>
        <v>NoXtal</v>
      </c>
      <c r="AP341" s="3">
        <f t="shared" si="228"/>
        <v>1</v>
      </c>
      <c r="AQ341" s="3">
        <f t="shared" si="229"/>
        <v>1</v>
      </c>
      <c r="AR341" s="3" t="str">
        <f t="shared" si="230"/>
        <v>-</v>
      </c>
      <c r="AS341" s="3" t="str">
        <f t="shared" si="231"/>
        <v>-</v>
      </c>
      <c r="AT341" s="3" t="str">
        <f t="shared" si="232"/>
        <v>-</v>
      </c>
      <c r="AU341" s="3" t="str">
        <f t="shared" si="233"/>
        <v>-</v>
      </c>
      <c r="AV341" s="3">
        <f t="shared" si="234"/>
        <v>16</v>
      </c>
      <c r="AW341" s="3">
        <f t="shared" si="235"/>
        <v>3</v>
      </c>
      <c r="AX341" s="3">
        <f t="shared" si="236"/>
        <v>11</v>
      </c>
      <c r="AY341" s="3">
        <f t="shared" si="237"/>
        <v>6</v>
      </c>
      <c r="AZ341" s="3">
        <f t="shared" si="238"/>
        <v>1</v>
      </c>
      <c r="BA341" s="3">
        <f>IF(ISERROR(LEN(VLOOKUP(A341,Seqs!A:E,2,FALSE))-AL341),"-",LEN(VLOOKUP(A341,Seqs!A:E,2,FALSE))-AL341)</f>
        <v>87</v>
      </c>
      <c r="BB341" s="16">
        <f t="shared" si="239"/>
        <v>29</v>
      </c>
      <c r="BC341" s="9" t="str">
        <f t="shared" si="240"/>
        <v>-</v>
      </c>
      <c r="BD341" s="3">
        <f t="shared" si="241"/>
        <v>29</v>
      </c>
      <c r="BE341" s="3">
        <f t="shared" si="242"/>
        <v>51</v>
      </c>
    </row>
    <row r="342" spans="1:58" s="3" customFormat="1" x14ac:dyDescent="0.2">
      <c r="A342" s="3" t="s">
        <v>1193</v>
      </c>
      <c r="B342" s="3" t="str">
        <f>LOWER(VLOOKUP(A342,Xtal_Templ!A:B,2,FALSE))</f>
        <v>pth1r_human</v>
      </c>
      <c r="C342" s="3">
        <f>VLOOKUP($A342,'SegEnds_NonXtal_BW#'!$A:$Z,3,FALSE)+D342-50</f>
        <v>422</v>
      </c>
      <c r="D342" s="3">
        <v>449</v>
      </c>
      <c r="E342" s="3">
        <f>IF(ISERROR(VLOOKUP($A342,'SegEnds_NonXtal_BW#'!$A:$Z,4,FALSE)+VLOOKUP($A342,A:AL,4,FALSE)-50),"-",(VLOOKUP($A342,'SegEnds_NonXtal_BW#'!$A:$Z,4,FALSE)+VLOOKUP($A342,A:AL,4,FALSE)-50))</f>
        <v>459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465</v>
      </c>
      <c r="J342" s="3">
        <v>478</v>
      </c>
      <c r="K342" s="3">
        <f>VLOOKUP($A342,'SegEnds_NonXtal_BW#'!$A:$Z,8,FALSE)+VLOOKUP($A342,A:AL,10,FALSE)-50</f>
        <v>493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519</v>
      </c>
      <c r="P342" s="3">
        <v>551</v>
      </c>
      <c r="Q342" s="3">
        <f>VLOOKUP($A342,'SegEnds_NonXtal_BW#'!$A:$Z,12,FALSE)+VLOOKUP($A342,A:AL,16,FALSE)-50</f>
        <v>557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562</v>
      </c>
      <c r="V342" s="3">
        <v>575</v>
      </c>
      <c r="W342" s="3">
        <f>IF(ISERROR(VLOOKUP($A342,'SegEnds_NonXtal_BW#'!$A:$Z,16,FALSE)+VLOOKUP($A342,A:AL,22,FALSE)-50),"-",(VLOOKUP($A342,'SegEnds_NonXtal_BW#'!$A:$Z,16,FALSE)+VLOOKUP($A342,A:AL,22,FALSE)-50))</f>
        <v>593</v>
      </c>
      <c r="X342" s="3">
        <f>IF(ISERROR(VLOOKUP($A342,'SegEnds_NonXtal_BW#'!$A:$Z,17,FALSE)+VLOOKUP($A342,A:AL,25,FALSE)-50),"-",(VLOOKUP($A342,'SegEnds_NonXtal_BW#'!$A:$Z,17,FALSE)+VLOOKUP($A342,A:AL,25,FALSE)-50))</f>
        <v>609</v>
      </c>
      <c r="Y342" s="3">
        <v>609</v>
      </c>
      <c r="Z342" s="3">
        <f t="shared" si="227"/>
        <v>611</v>
      </c>
      <c r="AA342" s="3">
        <f>IF(ISERROR(VLOOKUP($A342,'SegEnds_NonXtal_BW#'!$A:$Z,19,FALSE)+VLOOKUP($A342,A:AL,28,FALSE)-50),"-",(VLOOKUP($A342,'SegEnds_NonXtal_BW#'!$A:$Z,19,FALSE)+VLOOKUP($A342,A:AL,28,FALSE)-50))</f>
        <v>621</v>
      </c>
      <c r="AB342" s="3">
        <v>635</v>
      </c>
      <c r="AC342" s="3">
        <f>IF(ISERROR((VLOOKUP($A342,'SegEnds_NonXtal_BW#'!$A:$Z,20,FALSE)+VLOOKUP($A342,A:AL,28,FALSE)-50)),"-",(VLOOKUP($A342,'SegEnds_NonXtal_BW#'!$A:$Z,20,FALSE)+VLOOKUP($A342,A:AL,28,FALSE)-50))</f>
        <v>654</v>
      </c>
      <c r="AD342" s="3">
        <f>IF(ISERROR(VLOOKUP($A342,'SegEnds_NonXtal_BW#'!$A:$Z,21,FALSE)+VLOOKUP($A342,A:AL,31,FALSE)-50),"-",(VLOOKUP($A342,'SegEnds_NonXtal_BW#'!$A:$Z,21,FALSE)+VLOOKUP($A342,A:AL,31,FALSE)-50))</f>
        <v>665</v>
      </c>
      <c r="AE342" s="3">
        <v>686</v>
      </c>
      <c r="AF342" s="3">
        <f>IF(ISERROR((VLOOKUP($A342,'SegEnds_NonXtal_BW#'!$A:$Z,22,FALSE)+VLOOKUP($A342,A:AL,31,FALSE)-50)),"-",(VLOOKUP($A342,'SegEnds_NonXtal_BW#'!$A:$Z,22,FALSE)+VLOOKUP($A342,A:AL,31,FALSE)-50))</f>
        <v>690</v>
      </c>
      <c r="AG342" s="3">
        <f>IF(ISERROR(VLOOKUP($A342,'SegEnds_NonXtal_BW#'!$A:$Z,23,FALSE)+VLOOKUP($A342,A:AL,34,FALSE)-50),"-",(VLOOKUP($A342,'SegEnds_NonXtal_BW#'!$A:$Z,23,FALSE)+VLOOKUP($A342,A:AL,34,FALSE)-50))</f>
        <v>696</v>
      </c>
      <c r="AH342" s="3">
        <v>717</v>
      </c>
      <c r="AI342" s="3">
        <f>IF(ISERROR((VLOOKUP($A342,'SegEnds_NonXtal_BW#'!$A:$Z,24,FALSE)+VLOOKUP($A342,A:AL,34,FALSE)-50)),"-",(VLOOKUP($A342,'SegEnds_NonXtal_BW#'!$A:$Z,24,FALSE)+VLOOKUP($A342,A:AL,34,FALSE)-50))</f>
        <v>723</v>
      </c>
      <c r="AJ342" s="3">
        <f>IF(ISERROR(VLOOKUP($A342,'SegEnds_NonXtal_BW#'!$A:$Z,25,FALSE)+VLOOKUP($A342,A:AL,37,FALSE)-50),"-",(VLOOKUP($A342,'SegEnds_NonXtal_BW#'!$A:$Z,25,FALSE)+VLOOKUP($A342,A:AL,37,FALSE)-50))</f>
        <v>724</v>
      </c>
      <c r="AK342" s="3">
        <v>727</v>
      </c>
      <c r="AL342" s="3">
        <f>IF(ISERROR((VLOOKUP($A342,'SegEnds_NonXtal_BW#'!$A:$Z,26,FALSE)+VLOOKUP($A342,A:AL,37,FALSE)-50)),"-",(VLOOKUP($A342,'SegEnds_NonXtal_BW#'!$A:$Z,26,FALSE)+VLOOKUP($A342,A:AL,37,FALSE)-50))</f>
        <v>740</v>
      </c>
      <c r="AM342" s="28" t="str">
        <f>VLOOKUP(A342,Classification!A:B,2,FALSE)</f>
        <v>B2</v>
      </c>
      <c r="AN342" s="28" t="b">
        <f t="shared" si="243"/>
        <v>1</v>
      </c>
      <c r="AO342" s="3" t="str">
        <f>IF(ISERROR(MATCH(A342,'SegEnds_Xtal_Prot#'!B:B, 0)), "NoXtal", "Xtal")</f>
        <v>NoXtal</v>
      </c>
      <c r="AP342" s="3" t="str">
        <f t="shared" si="228"/>
        <v>-</v>
      </c>
      <c r="AQ342" s="3" t="str">
        <f t="shared" si="229"/>
        <v>-</v>
      </c>
      <c r="AR342" s="3" t="str">
        <f t="shared" si="230"/>
        <v>-</v>
      </c>
      <c r="AS342" s="3" t="str">
        <f t="shared" si="231"/>
        <v>-</v>
      </c>
      <c r="AT342" s="3" t="str">
        <f t="shared" si="232"/>
        <v>-</v>
      </c>
      <c r="AU342" s="3" t="str">
        <f t="shared" si="233"/>
        <v>-</v>
      </c>
      <c r="AV342" s="3">
        <f t="shared" si="234"/>
        <v>16</v>
      </c>
      <c r="AW342" s="3">
        <f t="shared" si="235"/>
        <v>10</v>
      </c>
      <c r="AX342" s="3">
        <f t="shared" si="236"/>
        <v>11</v>
      </c>
      <c r="AY342" s="3">
        <f t="shared" si="237"/>
        <v>6</v>
      </c>
      <c r="AZ342" s="3">
        <f t="shared" si="238"/>
        <v>1</v>
      </c>
      <c r="BA342" s="3">
        <f>IF(ISERROR(LEN(VLOOKUP(A342,Seqs!A:E,2,FALSE))-AL342),"-",LEN(VLOOKUP(A342,Seqs!A:E,2,FALSE))-AL342)</f>
        <v>57</v>
      </c>
      <c r="BB342" s="16">
        <f t="shared" si="239"/>
        <v>29</v>
      </c>
      <c r="BC342" s="9" t="str">
        <f t="shared" si="240"/>
        <v>-</v>
      </c>
      <c r="BD342" s="3">
        <f t="shared" si="241"/>
        <v>29</v>
      </c>
      <c r="BE342" s="3">
        <f t="shared" si="242"/>
        <v>51</v>
      </c>
    </row>
    <row r="343" spans="1:58" s="3" customFormat="1" x14ac:dyDescent="0.2">
      <c r="A343" s="3" t="s">
        <v>1194</v>
      </c>
      <c r="B343" s="3" t="str">
        <f>LOWER(VLOOKUP(A343,Xtal_Templ!A:B,2,FALSE))</f>
        <v>crfr2_human</v>
      </c>
      <c r="C343" s="3">
        <f>VLOOKUP($A343,'SegEnds_NonXtal_BW#'!$A:$Z,3,FALSE)+D343-50</f>
        <v>848</v>
      </c>
      <c r="D343" s="3">
        <v>875</v>
      </c>
      <c r="E343" s="3">
        <f>IF(ISERROR(VLOOKUP($A343,'SegEnds_NonXtal_BW#'!$A:$Z,4,FALSE)+VLOOKUP($A343,A:AL,4,FALSE)-50),"-",(VLOOKUP($A343,'SegEnds_NonXtal_BW#'!$A:$Z,4,FALSE)+VLOOKUP($A343,A:AL,4,FALSE)-50))</f>
        <v>885</v>
      </c>
      <c r="F343" s="3">
        <f>G343-2</f>
        <v>886</v>
      </c>
      <c r="G343" s="3">
        <v>888</v>
      </c>
      <c r="H343" s="3">
        <f>G343+1</f>
        <v>889</v>
      </c>
      <c r="I343" s="3">
        <f>H343+1</f>
        <v>890</v>
      </c>
      <c r="J343" s="3">
        <v>903</v>
      </c>
      <c r="K343" s="3">
        <f>VLOOKUP($A343,'SegEnds_NonXtal_BW#'!$A:$Z,8,FALSE)+VLOOKUP($A343,A:AL,10,FALSE)-50</f>
        <v>916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921</v>
      </c>
      <c r="P343" s="3">
        <v>948</v>
      </c>
      <c r="Q343" s="3">
        <f>VLOOKUP($A343,'SegEnds_NonXtal_BW#'!$A:$Z,12,FALSE)+VLOOKUP($A343,A:AL,16,FALSE)-50</f>
        <v>954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962</v>
      </c>
      <c r="V343" s="3">
        <v>971</v>
      </c>
      <c r="W343" s="3">
        <f>IF(ISERROR(VLOOKUP($A343,'SegEnds_NonXtal_BW#'!$A:$Z,16,FALSE)+VLOOKUP($A343,A:AL,22,FALSE)-50),"-",(VLOOKUP($A343,'SegEnds_NonXtal_BW#'!$A:$Z,16,FALSE)+VLOOKUP($A343,A:AL,22,FALSE)-50))</f>
        <v>989</v>
      </c>
      <c r="X343" s="3">
        <f>IF(ISERROR(VLOOKUP($A343,'SegEnds_NonXtal_BW#'!$A:$Z,17,FALSE)+VLOOKUP($A343,A:AL,25,FALSE)-50),"-",(VLOOKUP($A343,'SegEnds_NonXtal_BW#'!$A:$Z,17,FALSE)+VLOOKUP($A343,A:AL,25,FALSE)-50))</f>
        <v>995</v>
      </c>
      <c r="Y343" s="3">
        <v>995</v>
      </c>
      <c r="Z343" s="3">
        <f t="shared" si="227"/>
        <v>997</v>
      </c>
      <c r="AA343" s="3">
        <f>IF(ISERROR(VLOOKUP($A343,'SegEnds_NonXtal_BW#'!$A:$Z,19,FALSE)+VLOOKUP($A343,A:AL,28,FALSE)-50),"-",(VLOOKUP($A343,'SegEnds_NonXtal_BW#'!$A:$Z,19,FALSE)+VLOOKUP($A343,A:AL,28,FALSE)-50))</f>
        <v>1000</v>
      </c>
      <c r="AB343" s="3">
        <v>1014</v>
      </c>
      <c r="AC343" s="3">
        <f>IF(ISERROR((VLOOKUP($A343,'SegEnds_NonXtal_BW#'!$A:$Z,20,FALSE)+VLOOKUP($A343,A:AL,28,FALSE)-50)),"-",(VLOOKUP($A343,'SegEnds_NonXtal_BW#'!$A:$Z,20,FALSE)+VLOOKUP($A343,A:AL,28,FALSE)-50))</f>
        <v>1033</v>
      </c>
      <c r="AD343" s="3">
        <f>IF(ISERROR(VLOOKUP($A343,'SegEnds_NonXtal_BW#'!$A:$Z,21,FALSE)+VLOOKUP($A343,A:AL,31,FALSE)-50),"-",(VLOOKUP($A343,'SegEnds_NonXtal_BW#'!$A:$Z,21,FALSE)+VLOOKUP($A343,A:AL,31,FALSE)-50))</f>
        <v>1045</v>
      </c>
      <c r="AE343" s="3">
        <v>1066</v>
      </c>
      <c r="AF343" s="3">
        <f>IF(ISERROR((VLOOKUP($A343,'SegEnds_NonXtal_BW#'!$A:$Z,22,FALSE)+VLOOKUP($A343,A:AL,31,FALSE)-50)),"-",(VLOOKUP($A343,'SegEnds_NonXtal_BW#'!$A:$Z,22,FALSE)+VLOOKUP($A343,A:AL,31,FALSE)-50))</f>
        <v>1069</v>
      </c>
      <c r="AG343" s="3">
        <f>IF(ISERROR(VLOOKUP($A343,'SegEnds_NonXtal_BW#'!$A:$Z,23,FALSE)+VLOOKUP($A343,A:AL,34,FALSE)-50),"-",(VLOOKUP($A343,'SegEnds_NonXtal_BW#'!$A:$Z,23,FALSE)+VLOOKUP($A343,A:AL,34,FALSE)-50))</f>
        <v>1075</v>
      </c>
      <c r="AH343" s="3">
        <v>1094</v>
      </c>
      <c r="AI343" s="3">
        <f>IF(ISERROR((VLOOKUP($A343,'SegEnds_NonXtal_BW#'!$A:$Z,24,FALSE)+VLOOKUP($A343,A:AL,34,FALSE)-50)),"-",(VLOOKUP($A343,'SegEnds_NonXtal_BW#'!$A:$Z,24,FALSE)+VLOOKUP($A343,A:AL,34,FALSE)-50))</f>
        <v>1100</v>
      </c>
      <c r="AJ343" s="3">
        <f>IF(ISERROR(VLOOKUP($A343,'SegEnds_NonXtal_BW#'!$A:$Z,25,FALSE)+VLOOKUP($A343,A:AL,37,FALSE)-50),"-",(VLOOKUP($A343,'SegEnds_NonXtal_BW#'!$A:$Z,25,FALSE)+VLOOKUP($A343,A:AL,37,FALSE)-50))</f>
        <v>1101</v>
      </c>
      <c r="AK343" s="3">
        <v>1104</v>
      </c>
      <c r="AL343" s="3">
        <f>IF(ISERROR((VLOOKUP($A343,'SegEnds_NonXtal_BW#'!$A:$Z,26,FALSE)+VLOOKUP($A343,A:AL,37,FALSE)-50)),"-",(VLOOKUP($A343,'SegEnds_NonXtal_BW#'!$A:$Z,26,FALSE)+VLOOKUP($A343,A:AL,37,FALSE)-50))</f>
        <v>1117</v>
      </c>
      <c r="AM343" s="28" t="str">
        <f>VLOOKUP(A343,Classification!A:B,2,FALSE)</f>
        <v>B2</v>
      </c>
      <c r="AN343" s="28" t="b">
        <f t="shared" si="243"/>
        <v>1</v>
      </c>
      <c r="AO343" s="3" t="str">
        <f>IF(ISERROR(MATCH(A343,'SegEnds_Xtal_Prot#'!B:B, 0)), "NoXtal", "Xtal")</f>
        <v>NoXtal</v>
      </c>
      <c r="AP343" s="3">
        <f t="shared" si="228"/>
        <v>1</v>
      </c>
      <c r="AQ343" s="3">
        <f t="shared" si="229"/>
        <v>1</v>
      </c>
      <c r="AR343" s="3" t="str">
        <f t="shared" si="230"/>
        <v>-</v>
      </c>
      <c r="AS343" s="3" t="str">
        <f t="shared" si="231"/>
        <v>-</v>
      </c>
      <c r="AT343" s="3" t="str">
        <f t="shared" si="232"/>
        <v>-</v>
      </c>
      <c r="AU343" s="3" t="str">
        <f t="shared" si="233"/>
        <v>-</v>
      </c>
      <c r="AV343" s="3">
        <f t="shared" si="234"/>
        <v>6</v>
      </c>
      <c r="AW343" s="3">
        <f t="shared" si="235"/>
        <v>3</v>
      </c>
      <c r="AX343" s="3">
        <f t="shared" si="236"/>
        <v>12</v>
      </c>
      <c r="AY343" s="3">
        <f t="shared" si="237"/>
        <v>6</v>
      </c>
      <c r="AZ343" s="3">
        <f t="shared" si="238"/>
        <v>1</v>
      </c>
      <c r="BA343" s="3">
        <f>IF(ISERROR(LEN(VLOOKUP(A343,Seqs!A:E,2,FALSE))-AL343),"-",LEN(VLOOKUP(A343,Seqs!A:E,2,FALSE))-AL343)</f>
        <v>357</v>
      </c>
      <c r="BB343" s="16">
        <f t="shared" si="239"/>
        <v>28</v>
      </c>
      <c r="BC343" s="9" t="str">
        <f t="shared" si="240"/>
        <v>-</v>
      </c>
      <c r="BD343" s="3">
        <f t="shared" si="241"/>
        <v>28</v>
      </c>
      <c r="BE343" s="3">
        <f t="shared" si="242"/>
        <v>52</v>
      </c>
    </row>
    <row r="344" spans="1:58" s="3" customFormat="1" x14ac:dyDescent="0.2">
      <c r="A344" s="3" t="s">
        <v>1195</v>
      </c>
      <c r="B344" s="3" t="str">
        <f>LOWER(VLOOKUP(A344,Xtal_Templ!A:B,2,FALSE))</f>
        <v>crfr2_human</v>
      </c>
      <c r="C344" s="3">
        <f>VLOOKUP($A344,'SegEnds_NonXtal_BW#'!$A:$Z,3,FALSE)+D344-50</f>
        <v>835</v>
      </c>
      <c r="D344" s="3">
        <v>862</v>
      </c>
      <c r="E344" s="3">
        <f>IF(ISERROR(VLOOKUP($A344,'SegEnds_NonXtal_BW#'!$A:$Z,4,FALSE)+VLOOKUP($A344,A:AL,4,FALSE)-50),"-",(VLOOKUP($A344,'SegEnds_NonXtal_BW#'!$A:$Z,4,FALSE)+VLOOKUP($A344,A:AL,4,FALSE)-50))</f>
        <v>872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877</v>
      </c>
      <c r="J344" s="3">
        <v>890</v>
      </c>
      <c r="K344" s="3">
        <f>VLOOKUP($A344,'SegEnds_NonXtal_BW#'!$A:$Z,8,FALSE)+VLOOKUP($A344,A:AL,10,FALSE)-50</f>
        <v>903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908</v>
      </c>
      <c r="P344" s="3">
        <v>935</v>
      </c>
      <c r="Q344" s="3">
        <f>VLOOKUP($A344,'SegEnds_NonXtal_BW#'!$A:$Z,12,FALSE)+VLOOKUP($A344,A:AL,16,FALSE)-50</f>
        <v>941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949</v>
      </c>
      <c r="V344" s="3">
        <v>958</v>
      </c>
      <c r="W344" s="3">
        <f>IF(ISERROR(VLOOKUP($A344,'SegEnds_NonXtal_BW#'!$A:$Z,16,FALSE)+VLOOKUP($A344,A:AL,22,FALSE)-50),"-",(VLOOKUP($A344,'SegEnds_NonXtal_BW#'!$A:$Z,16,FALSE)+VLOOKUP($A344,A:AL,22,FALSE)-50))</f>
        <v>976</v>
      </c>
      <c r="X344" s="3">
        <f>IF(ISERROR(VLOOKUP($A344,'SegEnds_NonXtal_BW#'!$A:$Z,17,FALSE)+VLOOKUP($A344,A:AL,25,FALSE)-50),"-",(VLOOKUP($A344,'SegEnds_NonXtal_BW#'!$A:$Z,17,FALSE)+VLOOKUP($A344,A:AL,25,FALSE)-50))</f>
        <v>982</v>
      </c>
      <c r="Y344" s="3">
        <v>982</v>
      </c>
      <c r="Z344" s="3">
        <f t="shared" si="227"/>
        <v>984</v>
      </c>
      <c r="AA344" s="3">
        <f>IF(ISERROR(VLOOKUP($A344,'SegEnds_NonXtal_BW#'!$A:$Z,19,FALSE)+VLOOKUP($A344,A:AL,28,FALSE)-50),"-",(VLOOKUP($A344,'SegEnds_NonXtal_BW#'!$A:$Z,19,FALSE)+VLOOKUP($A344,A:AL,28,FALSE)-50))</f>
        <v>987</v>
      </c>
      <c r="AB344" s="3">
        <v>1001</v>
      </c>
      <c r="AC344" s="3">
        <f>IF(ISERROR((VLOOKUP($A344,'SegEnds_NonXtal_BW#'!$A:$Z,20,FALSE)+VLOOKUP($A344,A:AL,28,FALSE)-50)),"-",(VLOOKUP($A344,'SegEnds_NonXtal_BW#'!$A:$Z,20,FALSE)+VLOOKUP($A344,A:AL,28,FALSE)-50))</f>
        <v>1020</v>
      </c>
      <c r="AD344" s="3">
        <f>IF(ISERROR(VLOOKUP($A344,'SegEnds_NonXtal_BW#'!$A:$Z,21,FALSE)+VLOOKUP($A344,A:AL,31,FALSE)-50),"-",(VLOOKUP($A344,'SegEnds_NonXtal_BW#'!$A:$Z,21,FALSE)+VLOOKUP($A344,A:AL,31,FALSE)-50))</f>
        <v>1032</v>
      </c>
      <c r="AE344" s="3">
        <v>1053</v>
      </c>
      <c r="AF344" s="3">
        <f>IF(ISERROR((VLOOKUP($A344,'SegEnds_NonXtal_BW#'!$A:$Z,22,FALSE)+VLOOKUP($A344,A:AL,31,FALSE)-50)),"-",(VLOOKUP($A344,'SegEnds_NonXtal_BW#'!$A:$Z,22,FALSE)+VLOOKUP($A344,A:AL,31,FALSE)-50))</f>
        <v>1056</v>
      </c>
      <c r="AG344" s="3">
        <f>IF(ISERROR(VLOOKUP($A344,'SegEnds_NonXtal_BW#'!$A:$Z,23,FALSE)+VLOOKUP($A344,A:AL,34,FALSE)-50),"-",(VLOOKUP($A344,'SegEnds_NonXtal_BW#'!$A:$Z,23,FALSE)+VLOOKUP($A344,A:AL,34,FALSE)-50))</f>
        <v>1062</v>
      </c>
      <c r="AH344" s="3">
        <v>1081</v>
      </c>
      <c r="AI344" s="3">
        <f>IF(ISERROR((VLOOKUP($A344,'SegEnds_NonXtal_BW#'!$A:$Z,24,FALSE)+VLOOKUP($A344,A:AL,34,FALSE)-50)),"-",(VLOOKUP($A344,'SegEnds_NonXtal_BW#'!$A:$Z,24,FALSE)+VLOOKUP($A344,A:AL,34,FALSE)-50))</f>
        <v>1087</v>
      </c>
      <c r="AJ344" s="3">
        <f>IF(ISERROR(VLOOKUP($A344,'SegEnds_NonXtal_BW#'!$A:$Z,25,FALSE)+VLOOKUP($A344,A:AL,37,FALSE)-50),"-",(VLOOKUP($A344,'SegEnds_NonXtal_BW#'!$A:$Z,25,FALSE)+VLOOKUP($A344,A:AL,37,FALSE)-50))</f>
        <v>1088</v>
      </c>
      <c r="AK344" s="3">
        <v>1091</v>
      </c>
      <c r="AL344" s="3">
        <f>IF(ISERROR((VLOOKUP($A344,'SegEnds_NonXtal_BW#'!$A:$Z,26,FALSE)+VLOOKUP($A344,A:AL,37,FALSE)-50)),"-",(VLOOKUP($A344,'SegEnds_NonXtal_BW#'!$A:$Z,26,FALSE)+VLOOKUP($A344,A:AL,37,FALSE)-50))</f>
        <v>1104</v>
      </c>
      <c r="AM344" s="28" t="str">
        <f>VLOOKUP(A344,Classification!A:B,2,FALSE)</f>
        <v>B2</v>
      </c>
      <c r="AN344" s="28" t="b">
        <f t="shared" si="243"/>
        <v>1</v>
      </c>
      <c r="AO344" s="3" t="str">
        <f>IF(ISERROR(MATCH(A344,'SegEnds_Xtal_Prot#'!B:B, 0)), "NoXtal", "Xtal")</f>
        <v>NoXtal</v>
      </c>
      <c r="AP344" s="3" t="str">
        <f t="shared" si="228"/>
        <v>-</v>
      </c>
      <c r="AQ344" s="3" t="str">
        <f t="shared" si="229"/>
        <v>-</v>
      </c>
      <c r="AR344" s="3" t="str">
        <f t="shared" si="230"/>
        <v>-</v>
      </c>
      <c r="AS344" s="3" t="str">
        <f t="shared" si="231"/>
        <v>-</v>
      </c>
      <c r="AT344" s="3" t="str">
        <f t="shared" si="232"/>
        <v>-</v>
      </c>
      <c r="AU344" s="3" t="str">
        <f t="shared" si="233"/>
        <v>-</v>
      </c>
      <c r="AV344" s="3">
        <f t="shared" si="234"/>
        <v>6</v>
      </c>
      <c r="AW344" s="3">
        <f t="shared" si="235"/>
        <v>3</v>
      </c>
      <c r="AX344" s="3">
        <f t="shared" si="236"/>
        <v>12</v>
      </c>
      <c r="AY344" s="3">
        <f t="shared" si="237"/>
        <v>6</v>
      </c>
      <c r="AZ344" s="3">
        <f t="shared" si="238"/>
        <v>1</v>
      </c>
      <c r="BA344" s="3">
        <f>IF(ISERROR(LEN(VLOOKUP(A344,Seqs!A:E,2,FALSE))-AL344),"-",LEN(VLOOKUP(A344,Seqs!A:E,2,FALSE))-AL344)</f>
        <v>355</v>
      </c>
      <c r="BB344" s="16">
        <f t="shared" si="239"/>
        <v>28</v>
      </c>
      <c r="BC344" s="9" t="str">
        <f t="shared" si="240"/>
        <v>-</v>
      </c>
      <c r="BD344" s="3">
        <f t="shared" si="241"/>
        <v>28</v>
      </c>
      <c r="BE344" s="3">
        <f t="shared" si="242"/>
        <v>52</v>
      </c>
    </row>
    <row r="345" spans="1:58" s="3" customFormat="1" x14ac:dyDescent="0.2">
      <c r="A345" s="3" t="s">
        <v>1196</v>
      </c>
      <c r="B345" s="3" t="str">
        <f>LOWER(VLOOKUP(A345,Xtal_Templ!A:B,2,FALSE))</f>
        <v>crfr2_human</v>
      </c>
      <c r="C345" s="3">
        <f>VLOOKUP($A345,'SegEnds_NonXtal_BW#'!$A:$Z,3,FALSE)+D345-50</f>
        <v>852</v>
      </c>
      <c r="D345" s="3">
        <v>879</v>
      </c>
      <c r="E345" s="3">
        <f>IF(ISERROR(VLOOKUP($A345,'SegEnds_NonXtal_BW#'!$A:$Z,4,FALSE)+VLOOKUP($A345,A:AL,4,FALSE)-50),"-",(VLOOKUP($A345,'SegEnds_NonXtal_BW#'!$A:$Z,4,FALSE)+VLOOKUP($A345,A:AL,4,FALSE)-50))</f>
        <v>889</v>
      </c>
      <c r="F345" s="3">
        <f>G345-2</f>
        <v>890</v>
      </c>
      <c r="G345" s="3">
        <v>892</v>
      </c>
      <c r="H345" s="3">
        <f>G345+1</f>
        <v>893</v>
      </c>
      <c r="I345" s="3">
        <f>H345+1</f>
        <v>894</v>
      </c>
      <c r="J345" s="3">
        <v>907</v>
      </c>
      <c r="K345" s="3">
        <f>VLOOKUP($A345,'SegEnds_NonXtal_BW#'!$A:$Z,8,FALSE)+VLOOKUP($A345,A:AL,10,FALSE)-50</f>
        <v>920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925</v>
      </c>
      <c r="P345" s="3">
        <v>952</v>
      </c>
      <c r="Q345" s="3">
        <f>VLOOKUP($A345,'SegEnds_NonXtal_BW#'!$A:$Z,12,FALSE)+VLOOKUP($A345,A:AL,16,FALSE)-50</f>
        <v>958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966</v>
      </c>
      <c r="V345" s="3">
        <v>975</v>
      </c>
      <c r="W345" s="3">
        <f>IF(ISERROR(VLOOKUP($A345,'SegEnds_NonXtal_BW#'!$A:$Z,16,FALSE)+VLOOKUP($A345,A:AL,22,FALSE)-50),"-",(VLOOKUP($A345,'SegEnds_NonXtal_BW#'!$A:$Z,16,FALSE)+VLOOKUP($A345,A:AL,22,FALSE)-50))</f>
        <v>993</v>
      </c>
      <c r="X345" s="3">
        <f>IF(ISERROR(VLOOKUP($A345,'SegEnds_NonXtal_BW#'!$A:$Z,17,FALSE)+VLOOKUP($A345,A:AL,25,FALSE)-50),"-",(VLOOKUP($A345,'SegEnds_NonXtal_BW#'!$A:$Z,17,FALSE)+VLOOKUP($A345,A:AL,25,FALSE)-50))</f>
        <v>999</v>
      </c>
      <c r="Y345" s="3">
        <v>999</v>
      </c>
      <c r="Z345" s="3">
        <f t="shared" si="227"/>
        <v>1001</v>
      </c>
      <c r="AA345" s="3">
        <f>IF(ISERROR(VLOOKUP($A345,'SegEnds_NonXtal_BW#'!$A:$Z,19,FALSE)+VLOOKUP($A345,A:AL,28,FALSE)-50),"-",(VLOOKUP($A345,'SegEnds_NonXtal_BW#'!$A:$Z,19,FALSE)+VLOOKUP($A345,A:AL,28,FALSE)-50))</f>
        <v>1004</v>
      </c>
      <c r="AB345" s="3">
        <v>1018</v>
      </c>
      <c r="AC345" s="3">
        <f>IF(ISERROR((VLOOKUP($A345,'SegEnds_NonXtal_BW#'!$A:$Z,20,FALSE)+VLOOKUP($A345,A:AL,28,FALSE)-50)),"-",(VLOOKUP($A345,'SegEnds_NonXtal_BW#'!$A:$Z,20,FALSE)+VLOOKUP($A345,A:AL,28,FALSE)-50))</f>
        <v>1037</v>
      </c>
      <c r="AD345" s="3">
        <f>IF(ISERROR(VLOOKUP($A345,'SegEnds_NonXtal_BW#'!$A:$Z,21,FALSE)+VLOOKUP($A345,A:AL,31,FALSE)-50),"-",(VLOOKUP($A345,'SegEnds_NonXtal_BW#'!$A:$Z,21,FALSE)+VLOOKUP($A345,A:AL,31,FALSE)-50))</f>
        <v>1049</v>
      </c>
      <c r="AE345" s="3">
        <v>1070</v>
      </c>
      <c r="AF345" s="3">
        <f>IF(ISERROR((VLOOKUP($A345,'SegEnds_NonXtal_BW#'!$A:$Z,22,FALSE)+VLOOKUP($A345,A:AL,31,FALSE)-50)),"-",(VLOOKUP($A345,'SegEnds_NonXtal_BW#'!$A:$Z,22,FALSE)+VLOOKUP($A345,A:AL,31,FALSE)-50))</f>
        <v>1073</v>
      </c>
      <c r="AG345" s="3">
        <f>IF(ISERROR(VLOOKUP($A345,'SegEnds_NonXtal_BW#'!$A:$Z,23,FALSE)+VLOOKUP($A345,A:AL,34,FALSE)-50),"-",(VLOOKUP($A345,'SegEnds_NonXtal_BW#'!$A:$Z,23,FALSE)+VLOOKUP($A345,A:AL,34,FALSE)-50))</f>
        <v>1079</v>
      </c>
      <c r="AH345" s="3">
        <v>1098</v>
      </c>
      <c r="AI345" s="3">
        <f>IF(ISERROR((VLOOKUP($A345,'SegEnds_NonXtal_BW#'!$A:$Z,24,FALSE)+VLOOKUP($A345,A:AL,34,FALSE)-50)),"-",(VLOOKUP($A345,'SegEnds_NonXtal_BW#'!$A:$Z,24,FALSE)+VLOOKUP($A345,A:AL,34,FALSE)-50))</f>
        <v>1104</v>
      </c>
      <c r="AJ345" s="3">
        <f>IF(ISERROR(VLOOKUP($A345,'SegEnds_NonXtal_BW#'!$A:$Z,25,FALSE)+VLOOKUP($A345,A:AL,37,FALSE)-50),"-",(VLOOKUP($A345,'SegEnds_NonXtal_BW#'!$A:$Z,25,FALSE)+VLOOKUP($A345,A:AL,37,FALSE)-50))</f>
        <v>1105</v>
      </c>
      <c r="AK345" s="3">
        <v>1108</v>
      </c>
      <c r="AL345" s="3">
        <f>IF(ISERROR((VLOOKUP($A345,'SegEnds_NonXtal_BW#'!$A:$Z,26,FALSE)+VLOOKUP($A345,A:AL,37,FALSE)-50)),"-",(VLOOKUP($A345,'SegEnds_NonXtal_BW#'!$A:$Z,26,FALSE)+VLOOKUP($A345,A:AL,37,FALSE)-50))</f>
        <v>1121</v>
      </c>
      <c r="AM345" s="28" t="str">
        <f>VLOOKUP(A345,Classification!A:B,2,FALSE)</f>
        <v>B2</v>
      </c>
      <c r="AN345" s="28" t="b">
        <f t="shared" si="243"/>
        <v>1</v>
      </c>
      <c r="AO345" s="3" t="str">
        <f>IF(ISERROR(MATCH(A345,'SegEnds_Xtal_Prot#'!B:B, 0)), "NoXtal", "Xtal")</f>
        <v>NoXtal</v>
      </c>
      <c r="AP345" s="3">
        <f t="shared" si="228"/>
        <v>1</v>
      </c>
      <c r="AQ345" s="3">
        <f t="shared" si="229"/>
        <v>1</v>
      </c>
      <c r="AR345" s="3" t="str">
        <f t="shared" si="230"/>
        <v>-</v>
      </c>
      <c r="AS345" s="3" t="str">
        <f t="shared" si="231"/>
        <v>-</v>
      </c>
      <c r="AT345" s="3" t="str">
        <f t="shared" si="232"/>
        <v>-</v>
      </c>
      <c r="AU345" s="3" t="str">
        <f t="shared" si="233"/>
        <v>-</v>
      </c>
      <c r="AV345" s="3">
        <f t="shared" si="234"/>
        <v>6</v>
      </c>
      <c r="AW345" s="3">
        <f t="shared" si="235"/>
        <v>3</v>
      </c>
      <c r="AX345" s="3">
        <f t="shared" si="236"/>
        <v>12</v>
      </c>
      <c r="AY345" s="3">
        <f t="shared" si="237"/>
        <v>6</v>
      </c>
      <c r="AZ345" s="3">
        <f t="shared" si="238"/>
        <v>1</v>
      </c>
      <c r="BA345" s="3">
        <f>IF(ISERROR(LEN(VLOOKUP(A345,Seqs!A:E,2,FALSE))-AL345),"-",LEN(VLOOKUP(A345,Seqs!A:E,2,FALSE))-AL345)</f>
        <v>326</v>
      </c>
      <c r="BB345" s="16">
        <f t="shared" si="239"/>
        <v>28</v>
      </c>
      <c r="BC345" s="9" t="str">
        <f t="shared" si="240"/>
        <v>-</v>
      </c>
      <c r="BD345" s="3">
        <f t="shared" si="241"/>
        <v>28</v>
      </c>
      <c r="BE345" s="3">
        <f t="shared" si="242"/>
        <v>52</v>
      </c>
    </row>
    <row r="346" spans="1:58" s="3" customFormat="1" x14ac:dyDescent="0.2">
      <c r="A346" s="3" t="s">
        <v>1197</v>
      </c>
      <c r="B346" s="3" t="str">
        <f>LOWER(VLOOKUP(A346,Xtal_Templ!A:B,2,FALSE))</f>
        <v>crfr1_human</v>
      </c>
      <c r="C346" s="3">
        <f>VLOOKUP($A346,'SegEnds_NonXtal_BW#'!$A:$Z,3,FALSE)+D346-50</f>
        <v>415</v>
      </c>
      <c r="D346" s="3">
        <v>442</v>
      </c>
      <c r="E346" s="3">
        <f>IF(ISERROR(VLOOKUP($A346,'SegEnds_NonXtal_BW#'!$A:$Z,4,FALSE)+VLOOKUP($A346,A:AL,4,FALSE)-50),"-",(VLOOKUP($A346,'SegEnds_NonXtal_BW#'!$A:$Z,4,FALSE)+VLOOKUP($A346,A:AL,4,FALSE)-50))</f>
        <v>452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457</v>
      </c>
      <c r="J346" s="3">
        <v>470</v>
      </c>
      <c r="K346" s="3">
        <f>VLOOKUP($A346,'SegEnds_NonXtal_BW#'!$A:$Z,8,FALSE)+VLOOKUP($A346,A:AL,10,FALSE)-50</f>
        <v>483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488</v>
      </c>
      <c r="P346" s="3">
        <v>515</v>
      </c>
      <c r="Q346" s="3">
        <f>VLOOKUP($A346,'SegEnds_NonXtal_BW#'!$A:$Z,12,FALSE)+VLOOKUP($A346,A:AL,16,FALSE)-50</f>
        <v>521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528</v>
      </c>
      <c r="V346" s="3">
        <v>538</v>
      </c>
      <c r="W346" s="3">
        <f>IF(ISERROR(VLOOKUP($A346,'SegEnds_NonXtal_BW#'!$A:$Z,16,FALSE)+VLOOKUP($A346,A:AL,22,FALSE)-50),"-",(VLOOKUP($A346,'SegEnds_NonXtal_BW#'!$A:$Z,16,FALSE)+VLOOKUP($A346,A:AL,22,FALSE)-50))</f>
        <v>556</v>
      </c>
      <c r="X346" s="3">
        <f>IF(ISERROR(VLOOKUP($A346,'SegEnds_NonXtal_BW#'!$A:$Z,17,FALSE)+VLOOKUP($A346,A:AL,25,FALSE)-50),"-",(VLOOKUP($A346,'SegEnds_NonXtal_BW#'!$A:$Z,17,FALSE)+VLOOKUP($A346,A:AL,25,FALSE)-50))</f>
        <v>562</v>
      </c>
      <c r="Y346" s="3">
        <v>562</v>
      </c>
      <c r="Z346" s="3">
        <f t="shared" si="227"/>
        <v>564</v>
      </c>
      <c r="AA346" s="3">
        <f>IF(ISERROR(VLOOKUP($A346,'SegEnds_NonXtal_BW#'!$A:$Z,19,FALSE)+VLOOKUP($A346,A:AL,28,FALSE)-50),"-",(VLOOKUP($A346,'SegEnds_NonXtal_BW#'!$A:$Z,19,FALSE)+VLOOKUP($A346,A:AL,28,FALSE)-50))</f>
        <v>567</v>
      </c>
      <c r="AB346" s="3">
        <v>581</v>
      </c>
      <c r="AC346" s="3">
        <f>IF(ISERROR((VLOOKUP($A346,'SegEnds_NonXtal_BW#'!$A:$Z,20,FALSE)+VLOOKUP($A346,A:AL,28,FALSE)-50)),"-",(VLOOKUP($A346,'SegEnds_NonXtal_BW#'!$A:$Z,20,FALSE)+VLOOKUP($A346,A:AL,28,FALSE)-50))</f>
        <v>600</v>
      </c>
      <c r="AD346" s="3">
        <f>IF(ISERROR(VLOOKUP($A346,'SegEnds_NonXtal_BW#'!$A:$Z,21,FALSE)+VLOOKUP($A346,A:AL,31,FALSE)-50),"-",(VLOOKUP($A346,'SegEnds_NonXtal_BW#'!$A:$Z,21,FALSE)+VLOOKUP($A346,A:AL,31,FALSE)-50))</f>
        <v>612</v>
      </c>
      <c r="AE346" s="3">
        <v>633</v>
      </c>
      <c r="AF346" s="3">
        <f>IF(ISERROR((VLOOKUP($A346,'SegEnds_NonXtal_BW#'!$A:$Z,22,FALSE)+VLOOKUP($A346,A:AL,31,FALSE)-50)),"-",(VLOOKUP($A346,'SegEnds_NonXtal_BW#'!$A:$Z,22,FALSE)+VLOOKUP($A346,A:AL,31,FALSE)-50))</f>
        <v>636</v>
      </c>
      <c r="AG346" s="3">
        <f>IF(ISERROR(VLOOKUP($A346,'SegEnds_NonXtal_BW#'!$A:$Z,23,FALSE)+VLOOKUP($A346,A:AL,34,FALSE)-50),"-",(VLOOKUP($A346,'SegEnds_NonXtal_BW#'!$A:$Z,23,FALSE)+VLOOKUP($A346,A:AL,34,FALSE)-50))</f>
        <v>642</v>
      </c>
      <c r="AH346" s="3">
        <v>661</v>
      </c>
      <c r="AI346" s="3">
        <f>IF(ISERROR((VLOOKUP($A346,'SegEnds_NonXtal_BW#'!$A:$Z,24,FALSE)+VLOOKUP($A346,A:AL,34,FALSE)-50)),"-",(VLOOKUP($A346,'SegEnds_NonXtal_BW#'!$A:$Z,24,FALSE)+VLOOKUP($A346,A:AL,34,FALSE)-50))</f>
        <v>667</v>
      </c>
      <c r="AJ346" s="3">
        <f>IF(ISERROR(VLOOKUP($A346,'SegEnds_NonXtal_BW#'!$A:$Z,25,FALSE)+VLOOKUP($A346,A:AL,37,FALSE)-50),"-",(VLOOKUP($A346,'SegEnds_NonXtal_BW#'!$A:$Z,25,FALSE)+VLOOKUP($A346,A:AL,37,FALSE)-50))</f>
        <v>668</v>
      </c>
      <c r="AK346" s="3">
        <v>671</v>
      </c>
      <c r="AL346" s="3">
        <f>IF(ISERROR((VLOOKUP($A346,'SegEnds_NonXtal_BW#'!$A:$Z,26,FALSE)+VLOOKUP($A346,A:AL,37,FALSE)-50)),"-",(VLOOKUP($A346,'SegEnds_NonXtal_BW#'!$A:$Z,26,FALSE)+VLOOKUP($A346,A:AL,37,FALSE)-50))</f>
        <v>684</v>
      </c>
      <c r="AM346" s="28" t="str">
        <f>VLOOKUP(A346,Classification!A:B,2,FALSE)</f>
        <v>B2</v>
      </c>
      <c r="AN346" s="28" t="b">
        <f t="shared" si="243"/>
        <v>1</v>
      </c>
      <c r="AO346" s="3" t="str">
        <f>IF(ISERROR(MATCH(A346,'SegEnds_Xtal_Prot#'!B:B, 0)), "NoXtal", "Xtal")</f>
        <v>NoXtal</v>
      </c>
      <c r="AP346" s="3" t="str">
        <f t="shared" si="228"/>
        <v>-</v>
      </c>
      <c r="AQ346" s="3" t="str">
        <f t="shared" si="229"/>
        <v>-</v>
      </c>
      <c r="AR346" s="3" t="str">
        <f t="shared" si="230"/>
        <v>-</v>
      </c>
      <c r="AS346" s="3" t="str">
        <f t="shared" si="231"/>
        <v>-</v>
      </c>
      <c r="AT346" s="3" t="str">
        <f t="shared" si="232"/>
        <v>-</v>
      </c>
      <c r="AU346" s="3" t="str">
        <f t="shared" si="233"/>
        <v>-</v>
      </c>
      <c r="AV346" s="3">
        <f t="shared" si="234"/>
        <v>6</v>
      </c>
      <c r="AW346" s="3">
        <f t="shared" si="235"/>
        <v>3</v>
      </c>
      <c r="AX346" s="3">
        <f t="shared" si="236"/>
        <v>12</v>
      </c>
      <c r="AY346" s="3">
        <f t="shared" si="237"/>
        <v>6</v>
      </c>
      <c r="AZ346" s="3">
        <f t="shared" si="238"/>
        <v>1</v>
      </c>
      <c r="BA346" s="3">
        <f>IF(ISERROR(LEN(VLOOKUP(A346,Seqs!A:E,2,FALSE))-AL346),"-",LEN(VLOOKUP(A346,Seqs!A:E,2,FALSE))-AL346)</f>
        <v>6</v>
      </c>
      <c r="BB346" s="16">
        <f t="shared" si="239"/>
        <v>28</v>
      </c>
      <c r="BC346" s="9" t="str">
        <f t="shared" si="240"/>
        <v>-</v>
      </c>
      <c r="BD346" s="3">
        <f t="shared" si="241"/>
        <v>28</v>
      </c>
      <c r="BE346" s="3">
        <f t="shared" si="242"/>
        <v>52</v>
      </c>
      <c r="BF346" s="3">
        <f>AH346-AE346</f>
        <v>28</v>
      </c>
    </row>
    <row r="347" spans="1:58" s="3" customFormat="1" x14ac:dyDescent="0.2">
      <c r="A347" s="3" t="s">
        <v>1693</v>
      </c>
      <c r="B347" s="3" t="str">
        <f>LOWER(VLOOKUP(A347,Xtal_Templ!A:B,2,FALSE))</f>
        <v>crfr1_human</v>
      </c>
      <c r="C347" s="3">
        <f>VLOOKUP($A347,'SegEnds_NonXtal_BW#'!$A:$Z,3,FALSE)+D347-50</f>
        <v>935</v>
      </c>
      <c r="D347" s="3">
        <v>962</v>
      </c>
      <c r="E347" s="3">
        <f>IF(ISERROR(VLOOKUP($A347,'SegEnds_NonXtal_BW#'!$A:$Z,4,FALSE)+VLOOKUP($A347,A:AL,4,FALSE)-50),"-",(VLOOKUP($A347,'SegEnds_NonXtal_BW#'!$A:$Z,4,FALSE)+VLOOKUP($A347,A:AL,4,FALSE)-50))</f>
        <v>972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978</v>
      </c>
      <c r="J347" s="3">
        <v>991</v>
      </c>
      <c r="K347" s="3">
        <f>VLOOKUP($A347,'SegEnds_NonXtal_BW#'!$A:$Z,8,FALSE)+VLOOKUP($A347,A:AL,10,FALSE)-50</f>
        <v>1004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1009</v>
      </c>
      <c r="P347" s="3">
        <v>1036</v>
      </c>
      <c r="Q347" s="3">
        <f>VLOOKUP($A347,'SegEnds_NonXtal_BW#'!$A:$Z,12,FALSE)+VLOOKUP($A347,A:AL,16,FALSE)-50</f>
        <v>1042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1048</v>
      </c>
      <c r="V347" s="3">
        <v>1058</v>
      </c>
      <c r="W347" s="3">
        <f>IF(ISERROR(VLOOKUP($A347,'SegEnds_NonXtal_BW#'!$A:$Z,16,FALSE)+VLOOKUP($A347,A:AL,22,FALSE)-50),"-",(VLOOKUP($A347,'SegEnds_NonXtal_BW#'!$A:$Z,16,FALSE)+VLOOKUP($A347,A:AL,22,FALSE)-50))</f>
        <v>1076</v>
      </c>
      <c r="X347" s="3">
        <f>IF(ISERROR(VLOOKUP($A347,'SegEnds_NonXtal_BW#'!$A:$Z,17,FALSE)+VLOOKUP($A347,A:AL,25,FALSE)-50),"-",(VLOOKUP($A347,'SegEnds_NonXtal_BW#'!$A:$Z,17,FALSE)+VLOOKUP($A347,A:AL,25,FALSE)-50))</f>
        <v>1083</v>
      </c>
      <c r="Y347" s="3">
        <v>1083</v>
      </c>
      <c r="Z347" s="3">
        <f t="shared" si="227"/>
        <v>1085</v>
      </c>
      <c r="AA347" s="3">
        <f>IF(ISERROR(VLOOKUP($A347,'SegEnds_NonXtal_BW#'!$A:$Z,19,FALSE)+VLOOKUP($A347,A:AL,28,FALSE)-50),"-",(VLOOKUP($A347,'SegEnds_NonXtal_BW#'!$A:$Z,19,FALSE)+VLOOKUP($A347,A:AL,28,FALSE)-50))</f>
        <v>1088</v>
      </c>
      <c r="AB347" s="3">
        <v>1102</v>
      </c>
      <c r="AC347" s="3">
        <f>IF(ISERROR((VLOOKUP($A347,'SegEnds_NonXtal_BW#'!$A:$Z,20,FALSE)+VLOOKUP($A347,A:AL,28,FALSE)-50)),"-",(VLOOKUP($A347,'SegEnds_NonXtal_BW#'!$A:$Z,20,FALSE)+VLOOKUP($A347,A:AL,28,FALSE)-50))</f>
        <v>1121</v>
      </c>
      <c r="AD347" s="3">
        <f>IF(ISERROR(VLOOKUP($A347,'SegEnds_NonXtal_BW#'!$A:$Z,21,FALSE)+VLOOKUP($A347,A:AL,31,FALSE)-50),"-",(VLOOKUP($A347,'SegEnds_NonXtal_BW#'!$A:$Z,21,FALSE)+VLOOKUP($A347,A:AL,31,FALSE)-50))</f>
        <v>1131</v>
      </c>
      <c r="AE347" s="3">
        <v>1152</v>
      </c>
      <c r="AF347" s="3">
        <f>IF(ISERROR((VLOOKUP($A347,'SegEnds_NonXtal_BW#'!$A:$Z,22,FALSE)+VLOOKUP($A347,A:AL,31,FALSE)-50)),"-",(VLOOKUP($A347,'SegEnds_NonXtal_BW#'!$A:$Z,22,FALSE)+VLOOKUP($A347,A:AL,31,FALSE)-50))</f>
        <v>1155</v>
      </c>
      <c r="AG347" s="3">
        <f>IF(ISERROR(VLOOKUP($A347,'SegEnds_NonXtal_BW#'!$A:$Z,23,FALSE)+VLOOKUP($A347,A:AL,34,FALSE)-50),"-",(VLOOKUP($A347,'SegEnds_NonXtal_BW#'!$A:$Z,23,FALSE)+VLOOKUP($A347,A:AL,34,FALSE)-50))</f>
        <v>1162</v>
      </c>
      <c r="AH347" s="3">
        <v>1181</v>
      </c>
      <c r="AI347" s="3">
        <f>IF(ISERROR((VLOOKUP($A347,'SegEnds_NonXtal_BW#'!$A:$Z,24,FALSE)+VLOOKUP($A347,A:AL,34,FALSE)-50)),"-",(VLOOKUP($A347,'SegEnds_NonXtal_BW#'!$A:$Z,24,FALSE)+VLOOKUP($A347,A:AL,34,FALSE)-50))</f>
        <v>1187</v>
      </c>
      <c r="AJ347" s="3">
        <f>IF(ISERROR(VLOOKUP($A347,'SegEnds_NonXtal_BW#'!$A:$Z,25,FALSE)+VLOOKUP($A347,A:AL,37,FALSE)-50),"-",(VLOOKUP($A347,'SegEnds_NonXtal_BW#'!$A:$Z,25,FALSE)+VLOOKUP($A347,A:AL,37,FALSE)-50))</f>
        <v>1188</v>
      </c>
      <c r="AK347" s="3">
        <v>1191</v>
      </c>
      <c r="AL347" s="3">
        <f>IF(ISERROR((VLOOKUP($A347,'SegEnds_NonXtal_BW#'!$A:$Z,26,FALSE)+VLOOKUP($A347,A:AL,37,FALSE)-50)),"-",(VLOOKUP($A347,'SegEnds_NonXtal_BW#'!$A:$Z,26,FALSE)+VLOOKUP($A347,A:AL,37,FALSE)-50))</f>
        <v>1204</v>
      </c>
      <c r="AM347" s="28" t="str">
        <f>VLOOKUP(A347,Classification!A:B,2,FALSE)</f>
        <v>B2</v>
      </c>
      <c r="AN347" s="28" t="b">
        <f t="shared" si="243"/>
        <v>1</v>
      </c>
      <c r="AO347" s="3" t="str">
        <f>IF(ISERROR(MATCH(A347,'SegEnds_Xtal_Prot#'!B:B, 0)), "NoXtal", "Xtal")</f>
        <v>NoXtal</v>
      </c>
      <c r="AP347" s="3" t="str">
        <f t="shared" si="228"/>
        <v>-</v>
      </c>
      <c r="AQ347" s="3" t="str">
        <f t="shared" si="229"/>
        <v>-</v>
      </c>
      <c r="AR347" s="3" t="str">
        <f t="shared" si="230"/>
        <v>-</v>
      </c>
      <c r="AS347" s="3" t="str">
        <f t="shared" si="231"/>
        <v>-</v>
      </c>
      <c r="AT347" s="3" t="str">
        <f t="shared" si="232"/>
        <v>-</v>
      </c>
      <c r="AU347" s="3" t="str">
        <f t="shared" si="233"/>
        <v>-</v>
      </c>
      <c r="AV347" s="3">
        <f t="shared" si="234"/>
        <v>7</v>
      </c>
      <c r="AW347" s="3">
        <f t="shared" si="235"/>
        <v>3</v>
      </c>
      <c r="AX347" s="3">
        <f t="shared" si="236"/>
        <v>10</v>
      </c>
      <c r="AY347" s="3">
        <f t="shared" si="237"/>
        <v>7</v>
      </c>
      <c r="AZ347" s="3">
        <f t="shared" si="238"/>
        <v>1</v>
      </c>
      <c r="BA347" s="3">
        <f>IF(ISERROR(LEN(VLOOKUP(A347,Seqs!A:E,2,FALSE))-AL347),"-",LEN(VLOOKUP(A347,Seqs!A:E,2,FALSE))-AL347)</f>
        <v>380</v>
      </c>
      <c r="BB347" s="16">
        <f t="shared" si="239"/>
        <v>29</v>
      </c>
      <c r="BC347" s="9" t="str">
        <f t="shared" si="240"/>
        <v>-</v>
      </c>
      <c r="BD347" s="3">
        <f t="shared" si="241"/>
        <v>29</v>
      </c>
      <c r="BE347" s="3">
        <f t="shared" si="242"/>
        <v>50</v>
      </c>
    </row>
    <row r="348" spans="1:58" s="3" customFormat="1" x14ac:dyDescent="0.2">
      <c r="A348" s="3" t="s">
        <v>1694</v>
      </c>
      <c r="B348" s="3" t="str">
        <f>LOWER(VLOOKUP(A348,Xtal_Templ!A:B,2,FALSE))</f>
        <v>glp1r_human</v>
      </c>
      <c r="C348" s="3">
        <f>VLOOKUP($A348,'SegEnds_NonXtal_BW#'!$A:$Z,3,FALSE)+D348-50</f>
        <v>535</v>
      </c>
      <c r="D348" s="3">
        <v>562</v>
      </c>
      <c r="E348" s="3">
        <f>IF(ISERROR(VLOOKUP($A348,'SegEnds_NonXtal_BW#'!$A:$Z,4,FALSE)+VLOOKUP($A348,A:AL,4,FALSE)-50),"-",(VLOOKUP($A348,'SegEnds_NonXtal_BW#'!$A:$Z,4,FALSE)+VLOOKUP($A348,A:AL,4,FALSE)-50))</f>
        <v>572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577</v>
      </c>
      <c r="J348" s="3">
        <v>590</v>
      </c>
      <c r="K348" s="3">
        <f>VLOOKUP($A348,'SegEnds_NonXtal_BW#'!$A:$Z,8,FALSE)+VLOOKUP($A348,A:AL,10,FALSE)-50</f>
        <v>603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610</v>
      </c>
      <c r="P348" s="3">
        <v>637</v>
      </c>
      <c r="Q348" s="3">
        <f>VLOOKUP($A348,'SegEnds_NonXtal_BW#'!$A:$Z,12,FALSE)+VLOOKUP($A348,A:AL,16,FALSE)-50</f>
        <v>643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648</v>
      </c>
      <c r="V348" s="3">
        <v>660</v>
      </c>
      <c r="W348" s="3">
        <f>IF(ISERROR(VLOOKUP($A348,'SegEnds_NonXtal_BW#'!$A:$Z,16,FALSE)+VLOOKUP($A348,A:AL,22,FALSE)-50),"-",(VLOOKUP($A348,'SegEnds_NonXtal_BW#'!$A:$Z,16,FALSE)+VLOOKUP($A348,A:AL,22,FALSE)-50))</f>
        <v>678</v>
      </c>
      <c r="X348" s="3">
        <f>IF(ISERROR(VLOOKUP($A348,'SegEnds_NonXtal_BW#'!$A:$Z,17,FALSE)+VLOOKUP($A348,A:AL,25,FALSE)-50),"-",(VLOOKUP($A348,'SegEnds_NonXtal_BW#'!$A:$Z,17,FALSE)+VLOOKUP($A348,A:AL,25,FALSE)-50))</f>
        <v>684</v>
      </c>
      <c r="Y348" s="3">
        <v>684</v>
      </c>
      <c r="Z348" s="3">
        <f t="shared" si="227"/>
        <v>686</v>
      </c>
      <c r="AA348" s="3">
        <f>IF(ISERROR(VLOOKUP($A348,'SegEnds_NonXtal_BW#'!$A:$Z,19,FALSE)+VLOOKUP($A348,A:AL,28,FALSE)-50),"-",(VLOOKUP($A348,'SegEnds_NonXtal_BW#'!$A:$Z,19,FALSE)+VLOOKUP($A348,A:AL,28,FALSE)-50))</f>
        <v>689</v>
      </c>
      <c r="AB348" s="3">
        <v>703</v>
      </c>
      <c r="AC348" s="3">
        <f>IF(ISERROR((VLOOKUP($A348,'SegEnds_NonXtal_BW#'!$A:$Z,20,FALSE)+VLOOKUP($A348,A:AL,28,FALSE)-50)),"-",(VLOOKUP($A348,'SegEnds_NonXtal_BW#'!$A:$Z,20,FALSE)+VLOOKUP($A348,A:AL,28,FALSE)-50))</f>
        <v>722</v>
      </c>
      <c r="AD348" s="3">
        <f>IF(ISERROR(VLOOKUP($A348,'SegEnds_NonXtal_BW#'!$A:$Z,21,FALSE)+VLOOKUP($A348,A:AL,31,FALSE)-50),"-",(VLOOKUP($A348,'SegEnds_NonXtal_BW#'!$A:$Z,21,FALSE)+VLOOKUP($A348,A:AL,31,FALSE)-50))</f>
        <v>734</v>
      </c>
      <c r="AE348" s="3">
        <v>755</v>
      </c>
      <c r="AF348" s="3">
        <f>IF(ISERROR((VLOOKUP($A348,'SegEnds_NonXtal_BW#'!$A:$Z,22,FALSE)+VLOOKUP($A348,A:AL,31,FALSE)-50)),"-",(VLOOKUP($A348,'SegEnds_NonXtal_BW#'!$A:$Z,22,FALSE)+VLOOKUP($A348,A:AL,31,FALSE)-50))</f>
        <v>758</v>
      </c>
      <c r="AG348" s="3">
        <f>IF(ISERROR(VLOOKUP($A348,'SegEnds_NonXtal_BW#'!$A:$Z,23,FALSE)+VLOOKUP($A348,A:AL,34,FALSE)-50),"-",(VLOOKUP($A348,'SegEnds_NonXtal_BW#'!$A:$Z,23,FALSE)+VLOOKUP($A348,A:AL,34,FALSE)-50))</f>
        <v>764</v>
      </c>
      <c r="AH348" s="3">
        <v>783</v>
      </c>
      <c r="AI348" s="3">
        <f>IF(ISERROR((VLOOKUP($A348,'SegEnds_NonXtal_BW#'!$A:$Z,24,FALSE)+VLOOKUP($A348,A:AL,34,FALSE)-50)),"-",(VLOOKUP($A348,'SegEnds_NonXtal_BW#'!$A:$Z,24,FALSE)+VLOOKUP($A348,A:AL,34,FALSE)-50))</f>
        <v>789</v>
      </c>
      <c r="AJ348" s="3">
        <f>IF(ISERROR(VLOOKUP($A348,'SegEnds_NonXtal_BW#'!$A:$Z,25,FALSE)+VLOOKUP($A348,A:AL,37,FALSE)-50),"-",(VLOOKUP($A348,'SegEnds_NonXtal_BW#'!$A:$Z,25,FALSE)+VLOOKUP($A348,A:AL,37,FALSE)-50))</f>
        <v>790</v>
      </c>
      <c r="AK348" s="3">
        <v>793</v>
      </c>
      <c r="AL348" s="3">
        <f>IF(ISERROR((VLOOKUP($A348,'SegEnds_NonXtal_BW#'!$A:$Z,26,FALSE)+VLOOKUP($A348,A:AL,37,FALSE)-50)),"-",(VLOOKUP($A348,'SegEnds_NonXtal_BW#'!$A:$Z,26,FALSE)+VLOOKUP($A348,A:AL,37,FALSE)-50))</f>
        <v>806</v>
      </c>
      <c r="AM348" s="28" t="str">
        <f>VLOOKUP(A348,Classification!A:B,2,FALSE)</f>
        <v>B2</v>
      </c>
      <c r="AN348" s="28" t="b">
        <f t="shared" si="243"/>
        <v>1</v>
      </c>
      <c r="AO348" s="3" t="str">
        <f>IF(ISERROR(MATCH(A348,'SegEnds_Xtal_Prot#'!B:B, 0)), "NoXtal", "Xtal")</f>
        <v>NoXtal</v>
      </c>
      <c r="AP348" s="3" t="str">
        <f t="shared" si="228"/>
        <v>-</v>
      </c>
      <c r="AQ348" s="3" t="str">
        <f t="shared" si="229"/>
        <v>-</v>
      </c>
      <c r="AR348" s="3" t="str">
        <f t="shared" si="230"/>
        <v>-</v>
      </c>
      <c r="AS348" s="3" t="str">
        <f t="shared" si="231"/>
        <v>-</v>
      </c>
      <c r="AT348" s="3" t="str">
        <f t="shared" si="232"/>
        <v>-</v>
      </c>
      <c r="AU348" s="3" t="str">
        <f t="shared" si="233"/>
        <v>-</v>
      </c>
      <c r="AV348" s="3">
        <f t="shared" si="234"/>
        <v>6</v>
      </c>
      <c r="AW348" s="3">
        <f t="shared" si="235"/>
        <v>3</v>
      </c>
      <c r="AX348" s="3">
        <f t="shared" si="236"/>
        <v>12</v>
      </c>
      <c r="AY348" s="3">
        <f t="shared" si="237"/>
        <v>6</v>
      </c>
      <c r="AZ348" s="3">
        <f t="shared" si="238"/>
        <v>1</v>
      </c>
      <c r="BA348" s="3">
        <f>IF(ISERROR(LEN(VLOOKUP(A348,Seqs!A:E,2,FALSE))-AL348),"-",LEN(VLOOKUP(A348,Seqs!A:E,2,FALSE))-AL348)</f>
        <v>29</v>
      </c>
      <c r="BB348" s="16">
        <f t="shared" si="239"/>
        <v>28</v>
      </c>
      <c r="BC348" s="9" t="str">
        <f t="shared" si="240"/>
        <v>-</v>
      </c>
      <c r="BD348" s="3">
        <f t="shared" si="241"/>
        <v>28</v>
      </c>
      <c r="BE348" s="3">
        <f t="shared" si="242"/>
        <v>52</v>
      </c>
      <c r="BF348" s="3">
        <f>AH348-AE348</f>
        <v>28</v>
      </c>
    </row>
    <row r="349" spans="1:58" s="3" customFormat="1" x14ac:dyDescent="0.2">
      <c r="A349" s="3" t="s">
        <v>415</v>
      </c>
      <c r="B349" s="3" t="str">
        <f>LOWER(VLOOKUP(A349,Xtal_Templ!A:B,2,FALSE))</f>
        <v>calcr_human</v>
      </c>
      <c r="C349" s="3">
        <f>VLOOKUP($A349,'SegEnds_NonXtal_BW#'!$A:$Z,3,FALSE)+D349-50</f>
        <v>2456</v>
      </c>
      <c r="D349" s="3">
        <v>2483</v>
      </c>
      <c r="E349" s="3">
        <f>IF(ISERROR(VLOOKUP($A349,'SegEnds_NonXtal_BW#'!$A:$Z,4,FALSE)+VLOOKUP($A349,A:AL,4,FALSE)-50),"-",(VLOOKUP($A349,'SegEnds_NonXtal_BW#'!$A:$Z,4,FALSE)+VLOOKUP($A349,A:AL,4,FALSE)-50))</f>
        <v>2493</v>
      </c>
      <c r="F349" s="3">
        <f>G349-2</f>
        <v>2494</v>
      </c>
      <c r="G349" s="3">
        <v>2496</v>
      </c>
      <c r="H349" s="3">
        <f t="shared" ref="H349:I351" si="244">G349+1</f>
        <v>2497</v>
      </c>
      <c r="I349" s="3">
        <f t="shared" si="244"/>
        <v>2498</v>
      </c>
      <c r="J349" s="3">
        <v>2511</v>
      </c>
      <c r="K349" s="3">
        <f>VLOOKUP($A349,'SegEnds_NonXtal_BW#'!$A:$Z,8,FALSE)+VLOOKUP($A349,A:AL,10,FALSE)-50</f>
        <v>2524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2529</v>
      </c>
      <c r="P349" s="3">
        <v>2556</v>
      </c>
      <c r="Q349" s="3">
        <f>VLOOKUP($A349,'SegEnds_NonXtal_BW#'!$A:$Z,12,FALSE)+VLOOKUP($A349,A:AL,16,FALSE)-50</f>
        <v>2562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2570</v>
      </c>
      <c r="V349" s="3">
        <v>2579</v>
      </c>
      <c r="W349" s="3">
        <f>IF(ISERROR(VLOOKUP($A349,'SegEnds_NonXtal_BW#'!$A:$Z,16,FALSE)+VLOOKUP($A349,A:AL,22,FALSE)-50),"-",(VLOOKUP($A349,'SegEnds_NonXtal_BW#'!$A:$Z,16,FALSE)+VLOOKUP($A349,A:AL,22,FALSE)-50))</f>
        <v>2597</v>
      </c>
      <c r="X349" s="3">
        <f>IF(ISERROR(VLOOKUP($A349,'SegEnds_NonXtal_BW#'!$A:$Z,17,FALSE)+VLOOKUP($A349,A:AL,25,FALSE)-50),"-",(VLOOKUP($A349,'SegEnds_NonXtal_BW#'!$A:$Z,17,FALSE)+VLOOKUP($A349,A:AL,25,FALSE)-50))</f>
        <v>2603</v>
      </c>
      <c r="Y349" s="3">
        <v>2603</v>
      </c>
      <c r="Z349" s="3">
        <f t="shared" si="227"/>
        <v>2605</v>
      </c>
      <c r="AA349" s="3">
        <f>IF(ISERROR(VLOOKUP($A349,'SegEnds_NonXtal_BW#'!$A:$Z,19,FALSE)+VLOOKUP($A349,A:AL,28,FALSE)-50),"-",(VLOOKUP($A349,'SegEnds_NonXtal_BW#'!$A:$Z,19,FALSE)+VLOOKUP($A349,A:AL,28,FALSE)-50))</f>
        <v>2608</v>
      </c>
      <c r="AB349" s="3">
        <v>2622</v>
      </c>
      <c r="AC349" s="3">
        <f>IF(ISERROR((VLOOKUP($A349,'SegEnds_NonXtal_BW#'!$A:$Z,20,FALSE)+VLOOKUP($A349,A:AL,28,FALSE)-50)),"-",(VLOOKUP($A349,'SegEnds_NonXtal_BW#'!$A:$Z,20,FALSE)+VLOOKUP($A349,A:AL,28,FALSE)-50))</f>
        <v>2641</v>
      </c>
      <c r="AD349" s="3">
        <f>IF(ISERROR(VLOOKUP($A349,'SegEnds_NonXtal_BW#'!$A:$Z,21,FALSE)+VLOOKUP($A349,A:AL,31,FALSE)-50),"-",(VLOOKUP($A349,'SegEnds_NonXtal_BW#'!$A:$Z,21,FALSE)+VLOOKUP($A349,A:AL,31,FALSE)-50))</f>
        <v>2649</v>
      </c>
      <c r="AE349" s="3">
        <v>2670</v>
      </c>
      <c r="AF349" s="3">
        <f>IF(ISERROR((VLOOKUP($A349,'SegEnds_NonXtal_BW#'!$A:$Z,22,FALSE)+VLOOKUP($A349,A:AL,31,FALSE)-50)),"-",(VLOOKUP($A349,'SegEnds_NonXtal_BW#'!$A:$Z,22,FALSE)+VLOOKUP($A349,A:AL,31,FALSE)-50))</f>
        <v>2673</v>
      </c>
      <c r="AG349" s="3">
        <f>IF(ISERROR(VLOOKUP($A349,'SegEnds_NonXtal_BW#'!$A:$Z,23,FALSE)+VLOOKUP($A349,A:AL,34,FALSE)-50),"-",(VLOOKUP($A349,'SegEnds_NonXtal_BW#'!$A:$Z,23,FALSE)+VLOOKUP($A349,A:AL,34,FALSE)-50))</f>
        <v>2679</v>
      </c>
      <c r="AH349" s="3">
        <v>2698</v>
      </c>
      <c r="AI349" s="3">
        <f>IF(ISERROR((VLOOKUP($A349,'SegEnds_NonXtal_BW#'!$A:$Z,24,FALSE)+VLOOKUP($A349,A:AL,34,FALSE)-50)),"-",(VLOOKUP($A349,'SegEnds_NonXtal_BW#'!$A:$Z,24,FALSE)+VLOOKUP($A349,A:AL,34,FALSE)-50))</f>
        <v>2704</v>
      </c>
      <c r="AJ349" s="3">
        <f>IF(ISERROR(VLOOKUP($A349,'SegEnds_NonXtal_BW#'!$A:$Z,25,FALSE)+VLOOKUP($A349,A:AL,37,FALSE)-50),"-",(VLOOKUP($A349,'SegEnds_NonXtal_BW#'!$A:$Z,25,FALSE)+VLOOKUP($A349,A:AL,37,FALSE)-50))</f>
        <v>2705</v>
      </c>
      <c r="AK349" s="3">
        <v>2708</v>
      </c>
      <c r="AL349" s="3">
        <f>IF(ISERROR((VLOOKUP($A349,'SegEnds_NonXtal_BW#'!$A:$Z,26,FALSE)+VLOOKUP($A349,A:AL,37,FALSE)-50)),"-",(VLOOKUP($A349,'SegEnds_NonXtal_BW#'!$A:$Z,26,FALSE)+VLOOKUP($A349,A:AL,37,FALSE)-50))</f>
        <v>2721</v>
      </c>
      <c r="AM349" s="28" t="str">
        <f>VLOOKUP(A349,Classification!A:B,2,FALSE)</f>
        <v>B2</v>
      </c>
      <c r="AN349" s="28" t="b">
        <f t="shared" si="243"/>
        <v>1</v>
      </c>
      <c r="AO349" s="3" t="str">
        <f>IF(ISERROR(MATCH(A349,'SegEnds_Xtal_Prot#'!B:B, 0)), "NoXtal", "Xtal")</f>
        <v>NoXtal</v>
      </c>
      <c r="AP349" s="3">
        <f t="shared" si="228"/>
        <v>1</v>
      </c>
      <c r="AQ349" s="3">
        <f t="shared" si="229"/>
        <v>1</v>
      </c>
      <c r="AR349" s="3" t="str">
        <f t="shared" si="230"/>
        <v>-</v>
      </c>
      <c r="AS349" s="3" t="str">
        <f t="shared" si="231"/>
        <v>-</v>
      </c>
      <c r="AT349" s="3" t="str">
        <f t="shared" si="232"/>
        <v>-</v>
      </c>
      <c r="AU349" s="3" t="str">
        <f t="shared" si="233"/>
        <v>-</v>
      </c>
      <c r="AV349" s="3">
        <f t="shared" si="234"/>
        <v>6</v>
      </c>
      <c r="AW349" s="3">
        <f t="shared" si="235"/>
        <v>3</v>
      </c>
      <c r="AX349" s="3">
        <f t="shared" si="236"/>
        <v>8</v>
      </c>
      <c r="AY349" s="3">
        <f t="shared" si="237"/>
        <v>6</v>
      </c>
      <c r="AZ349" s="3">
        <f t="shared" si="238"/>
        <v>1</v>
      </c>
      <c r="BA349" s="3">
        <f>IF(ISERROR(LEN(VLOOKUP(A349,Seqs!A:E,2,FALSE))-AL349),"-",LEN(VLOOKUP(A349,Seqs!A:E,2,FALSE))-AL349)</f>
        <v>293</v>
      </c>
      <c r="BB349" s="16">
        <f t="shared" si="239"/>
        <v>28</v>
      </c>
      <c r="BC349" s="9" t="str">
        <f t="shared" si="240"/>
        <v>-</v>
      </c>
      <c r="BD349" s="3">
        <f t="shared" si="241"/>
        <v>28</v>
      </c>
      <c r="BE349" s="3">
        <f t="shared" si="242"/>
        <v>48</v>
      </c>
    </row>
    <row r="350" spans="1:58" s="3" customFormat="1" x14ac:dyDescent="0.2">
      <c r="A350" s="3" t="s">
        <v>416</v>
      </c>
      <c r="B350" s="3" t="str">
        <f>LOWER(VLOOKUP(A350,Xtal_Templ!A:B,2,FALSE))</f>
        <v>calrl_human</v>
      </c>
      <c r="C350" s="3">
        <f>VLOOKUP($A350,'SegEnds_NonXtal_BW#'!$A:$Z,3,FALSE)+D350-50</f>
        <v>2364</v>
      </c>
      <c r="D350" s="3">
        <v>2391</v>
      </c>
      <c r="E350" s="3">
        <f>IF(ISERROR(VLOOKUP($A350,'SegEnds_NonXtal_BW#'!$A:$Z,4,FALSE)+VLOOKUP($A350,A:AL,4,FALSE)-50),"-",(VLOOKUP($A350,'SegEnds_NonXtal_BW#'!$A:$Z,4,FALSE)+VLOOKUP($A350,A:AL,4,FALSE)-50))</f>
        <v>2401</v>
      </c>
      <c r="F350" s="3">
        <f>G350-2</f>
        <v>2402</v>
      </c>
      <c r="G350" s="3">
        <v>2404</v>
      </c>
      <c r="H350" s="3">
        <f t="shared" si="244"/>
        <v>2405</v>
      </c>
      <c r="I350" s="3">
        <f t="shared" si="244"/>
        <v>2406</v>
      </c>
      <c r="J350" s="3">
        <v>2419</v>
      </c>
      <c r="K350" s="3">
        <f>VLOOKUP($A350,'SegEnds_NonXtal_BW#'!$A:$Z,8,FALSE)+VLOOKUP($A350,A:AL,10,FALSE)-50</f>
        <v>2432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2437</v>
      </c>
      <c r="P350" s="3">
        <v>2464</v>
      </c>
      <c r="Q350" s="3">
        <f>VLOOKUP($A350,'SegEnds_NonXtal_BW#'!$A:$Z,12,FALSE)+VLOOKUP($A350,A:AL,16,FALSE)-50</f>
        <v>2470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2478</v>
      </c>
      <c r="V350" s="3">
        <v>2487</v>
      </c>
      <c r="W350" s="3">
        <f>IF(ISERROR(VLOOKUP($A350,'SegEnds_NonXtal_BW#'!$A:$Z,16,FALSE)+VLOOKUP($A350,A:AL,22,FALSE)-50),"-",(VLOOKUP($A350,'SegEnds_NonXtal_BW#'!$A:$Z,16,FALSE)+VLOOKUP($A350,A:AL,22,FALSE)-50))</f>
        <v>2504</v>
      </c>
      <c r="X350" s="3">
        <f>IF(ISERROR(VLOOKUP($A350,'SegEnds_NonXtal_BW#'!$A:$Z,17,FALSE)+VLOOKUP($A350,A:AL,25,FALSE)-50),"-",(VLOOKUP($A350,'SegEnds_NonXtal_BW#'!$A:$Z,17,FALSE)+VLOOKUP($A350,A:AL,25,FALSE)-50))</f>
        <v>2511</v>
      </c>
      <c r="Y350" s="3">
        <v>2511</v>
      </c>
      <c r="Z350" s="3">
        <f t="shared" si="227"/>
        <v>2513</v>
      </c>
      <c r="AA350" s="3">
        <f>IF(ISERROR(VLOOKUP($A350,'SegEnds_NonXtal_BW#'!$A:$Z,19,FALSE)+VLOOKUP($A350,A:AL,28,FALSE)-50),"-",(VLOOKUP($A350,'SegEnds_NonXtal_BW#'!$A:$Z,19,FALSE)+VLOOKUP($A350,A:AL,28,FALSE)-50))</f>
        <v>2516</v>
      </c>
      <c r="AB350" s="3">
        <v>2530</v>
      </c>
      <c r="AC350" s="3">
        <f>IF(ISERROR((VLOOKUP($A350,'SegEnds_NonXtal_BW#'!$A:$Z,20,FALSE)+VLOOKUP($A350,A:AL,28,FALSE)-50)),"-",(VLOOKUP($A350,'SegEnds_NonXtal_BW#'!$A:$Z,20,FALSE)+VLOOKUP($A350,A:AL,28,FALSE)-50))</f>
        <v>2549</v>
      </c>
      <c r="AD350" s="3">
        <f>IF(ISERROR(VLOOKUP($A350,'SegEnds_NonXtal_BW#'!$A:$Z,21,FALSE)+VLOOKUP($A350,A:AL,31,FALSE)-50),"-",(VLOOKUP($A350,'SegEnds_NonXtal_BW#'!$A:$Z,21,FALSE)+VLOOKUP($A350,A:AL,31,FALSE)-50))</f>
        <v>2557</v>
      </c>
      <c r="AE350" s="3">
        <v>2578</v>
      </c>
      <c r="AF350" s="3">
        <f>IF(ISERROR((VLOOKUP($A350,'SegEnds_NonXtal_BW#'!$A:$Z,22,FALSE)+VLOOKUP($A350,A:AL,31,FALSE)-50)),"-",(VLOOKUP($A350,'SegEnds_NonXtal_BW#'!$A:$Z,22,FALSE)+VLOOKUP($A350,A:AL,31,FALSE)-50))</f>
        <v>2581</v>
      </c>
      <c r="AG350" s="3">
        <f>IF(ISERROR(VLOOKUP($A350,'SegEnds_NonXtal_BW#'!$A:$Z,23,FALSE)+VLOOKUP($A350,A:AL,34,FALSE)-50),"-",(VLOOKUP($A350,'SegEnds_NonXtal_BW#'!$A:$Z,23,FALSE)+VLOOKUP($A350,A:AL,34,FALSE)-50))</f>
        <v>2587</v>
      </c>
      <c r="AH350" s="3">
        <v>2606</v>
      </c>
      <c r="AI350" s="3">
        <f>IF(ISERROR((VLOOKUP($A350,'SegEnds_NonXtal_BW#'!$A:$Z,24,FALSE)+VLOOKUP($A350,A:AL,34,FALSE)-50)),"-",(VLOOKUP($A350,'SegEnds_NonXtal_BW#'!$A:$Z,24,FALSE)+VLOOKUP($A350,A:AL,34,FALSE)-50))</f>
        <v>2612</v>
      </c>
      <c r="AJ350" s="3">
        <f>IF(ISERROR(VLOOKUP($A350,'SegEnds_NonXtal_BW#'!$A:$Z,25,FALSE)+VLOOKUP($A350,A:AL,37,FALSE)-50),"-",(VLOOKUP($A350,'SegEnds_NonXtal_BW#'!$A:$Z,25,FALSE)+VLOOKUP($A350,A:AL,37,FALSE)-50))</f>
        <v>2613</v>
      </c>
      <c r="AK350" s="3">
        <v>2616</v>
      </c>
      <c r="AL350" s="3">
        <f>IF(ISERROR((VLOOKUP($A350,'SegEnds_NonXtal_BW#'!$A:$Z,26,FALSE)+VLOOKUP($A350,A:AL,37,FALSE)-50)),"-",(VLOOKUP($A350,'SegEnds_NonXtal_BW#'!$A:$Z,26,FALSE)+VLOOKUP($A350,A:AL,37,FALSE)-50))</f>
        <v>2629</v>
      </c>
      <c r="AM350" s="28" t="str">
        <f>VLOOKUP(A350,Classification!A:B,2,FALSE)</f>
        <v>B2</v>
      </c>
      <c r="AN350" s="28" t="b">
        <f t="shared" si="243"/>
        <v>1</v>
      </c>
      <c r="AO350" s="3" t="str">
        <f>IF(ISERROR(MATCH(A350,'SegEnds_Xtal_Prot#'!B:B, 0)), "NoXtal", "Xtal")</f>
        <v>NoXtal</v>
      </c>
      <c r="AP350" s="3">
        <f t="shared" si="228"/>
        <v>1</v>
      </c>
      <c r="AQ350" s="3">
        <f t="shared" si="229"/>
        <v>1</v>
      </c>
      <c r="AR350" s="3" t="str">
        <f t="shared" si="230"/>
        <v>-</v>
      </c>
      <c r="AS350" s="3" t="str">
        <f t="shared" si="231"/>
        <v>-</v>
      </c>
      <c r="AT350" s="3" t="str">
        <f t="shared" si="232"/>
        <v>-</v>
      </c>
      <c r="AU350" s="3" t="str">
        <f t="shared" si="233"/>
        <v>-</v>
      </c>
      <c r="AV350" s="3">
        <f t="shared" si="234"/>
        <v>7</v>
      </c>
      <c r="AW350" s="3">
        <f t="shared" si="235"/>
        <v>3</v>
      </c>
      <c r="AX350" s="3">
        <f t="shared" si="236"/>
        <v>8</v>
      </c>
      <c r="AY350" s="3">
        <f t="shared" si="237"/>
        <v>6</v>
      </c>
      <c r="AZ350" s="3">
        <f t="shared" si="238"/>
        <v>1</v>
      </c>
      <c r="BA350" s="3">
        <f>IF(ISERROR(LEN(VLOOKUP(A350,Seqs!A:E,2,FALSE))-AL350),"-",LEN(VLOOKUP(A350,Seqs!A:E,2,FALSE))-AL350)</f>
        <v>294</v>
      </c>
      <c r="BB350" s="16">
        <f t="shared" si="239"/>
        <v>28</v>
      </c>
      <c r="BC350" s="9" t="str">
        <f t="shared" si="240"/>
        <v>-</v>
      </c>
      <c r="BD350" s="3">
        <f t="shared" si="241"/>
        <v>28</v>
      </c>
      <c r="BE350" s="3">
        <f t="shared" si="242"/>
        <v>48</v>
      </c>
    </row>
    <row r="351" spans="1:58" s="3" customFormat="1" x14ac:dyDescent="0.2">
      <c r="A351" s="3" t="s">
        <v>417</v>
      </c>
      <c r="B351" s="3" t="str">
        <f>LOWER(VLOOKUP(A351,Xtal_Templ!A:B,2,FALSE))</f>
        <v>crfr1_human</v>
      </c>
      <c r="C351" s="3">
        <f>VLOOKUP($A351,'SegEnds_NonXtal_BW#'!$A:$Z,3,FALSE)+D351-50</f>
        <v>2527</v>
      </c>
      <c r="D351" s="3">
        <v>2554</v>
      </c>
      <c r="E351" s="3">
        <f>IF(ISERROR(VLOOKUP($A351,'SegEnds_NonXtal_BW#'!$A:$Z,4,FALSE)+VLOOKUP($A351,A:AL,4,FALSE)-50),"-",(VLOOKUP($A351,'SegEnds_NonXtal_BW#'!$A:$Z,4,FALSE)+VLOOKUP($A351,A:AL,4,FALSE)-50))</f>
        <v>2564</v>
      </c>
      <c r="F351" s="3">
        <f>G351-2</f>
        <v>2565</v>
      </c>
      <c r="G351" s="3">
        <v>2567</v>
      </c>
      <c r="H351" s="3">
        <f t="shared" si="244"/>
        <v>2568</v>
      </c>
      <c r="I351" s="3">
        <f t="shared" si="244"/>
        <v>2569</v>
      </c>
      <c r="J351" s="3">
        <v>2582</v>
      </c>
      <c r="K351" s="3">
        <f>VLOOKUP($A351,'SegEnds_NonXtal_BW#'!$A:$Z,8,FALSE)+VLOOKUP($A351,A:AL,10,FALSE)-50</f>
        <v>2595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2600</v>
      </c>
      <c r="P351" s="3">
        <v>2627</v>
      </c>
      <c r="Q351" s="3">
        <f>VLOOKUP($A351,'SegEnds_NonXtal_BW#'!$A:$Z,12,FALSE)+VLOOKUP($A351,A:AL,16,FALSE)-50</f>
        <v>2633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2640</v>
      </c>
      <c r="V351" s="3">
        <v>2650</v>
      </c>
      <c r="W351" s="3">
        <f>IF(ISERROR(VLOOKUP($A351,'SegEnds_NonXtal_BW#'!$A:$Z,16,FALSE)+VLOOKUP($A351,A:AL,22,FALSE)-50),"-",(VLOOKUP($A351,'SegEnds_NonXtal_BW#'!$A:$Z,16,FALSE)+VLOOKUP($A351,A:AL,22,FALSE)-50))</f>
        <v>2668</v>
      </c>
      <c r="X351" s="3">
        <f>IF(ISERROR(VLOOKUP($A351,'SegEnds_NonXtal_BW#'!$A:$Z,17,FALSE)+VLOOKUP($A351,A:AL,25,FALSE)-50),"-",(VLOOKUP($A351,'SegEnds_NonXtal_BW#'!$A:$Z,17,FALSE)+VLOOKUP($A351,A:AL,25,FALSE)-50))</f>
        <v>2674</v>
      </c>
      <c r="Y351" s="3">
        <v>2674</v>
      </c>
      <c r="Z351" s="3">
        <f t="shared" si="227"/>
        <v>2676</v>
      </c>
      <c r="AA351" s="3">
        <f>IF(ISERROR(VLOOKUP($A351,'SegEnds_NonXtal_BW#'!$A:$Z,19,FALSE)+VLOOKUP($A351,A:AL,28,FALSE)-50),"-",(VLOOKUP($A351,'SegEnds_NonXtal_BW#'!$A:$Z,19,FALSE)+VLOOKUP($A351,A:AL,28,FALSE)-50))</f>
        <v>2679</v>
      </c>
      <c r="AB351" s="3">
        <v>2693</v>
      </c>
      <c r="AC351" s="3">
        <f>IF(ISERROR((VLOOKUP($A351,'SegEnds_NonXtal_BW#'!$A:$Z,20,FALSE)+VLOOKUP($A351,A:AL,28,FALSE)-50)),"-",(VLOOKUP($A351,'SegEnds_NonXtal_BW#'!$A:$Z,20,FALSE)+VLOOKUP($A351,A:AL,28,FALSE)-50))</f>
        <v>2712</v>
      </c>
      <c r="AD351" s="3">
        <f>IF(ISERROR(VLOOKUP($A351,'SegEnds_NonXtal_BW#'!$A:$Z,21,FALSE)+VLOOKUP($A351,A:AL,31,FALSE)-50),"-",(VLOOKUP($A351,'SegEnds_NonXtal_BW#'!$A:$Z,21,FALSE)+VLOOKUP($A351,A:AL,31,FALSE)-50))</f>
        <v>2719</v>
      </c>
      <c r="AE351" s="3">
        <v>2740</v>
      </c>
      <c r="AF351" s="3">
        <f>IF(ISERROR((VLOOKUP($A351,'SegEnds_NonXtal_BW#'!$A:$Z,22,FALSE)+VLOOKUP($A351,A:AL,31,FALSE)-50)),"-",(VLOOKUP($A351,'SegEnds_NonXtal_BW#'!$A:$Z,22,FALSE)+VLOOKUP($A351,A:AL,31,FALSE)-50))</f>
        <v>2743</v>
      </c>
      <c r="AG351" s="3">
        <f>IF(ISERROR(VLOOKUP($A351,'SegEnds_NonXtal_BW#'!$A:$Z,23,FALSE)+VLOOKUP($A351,A:AL,34,FALSE)-50),"-",(VLOOKUP($A351,'SegEnds_NonXtal_BW#'!$A:$Z,23,FALSE)+VLOOKUP($A351,A:AL,34,FALSE)-50))</f>
        <v>2749</v>
      </c>
      <c r="AH351" s="3">
        <v>2768</v>
      </c>
      <c r="AI351" s="3">
        <f>IF(ISERROR((VLOOKUP($A351,'SegEnds_NonXtal_BW#'!$A:$Z,24,FALSE)+VLOOKUP($A351,A:AL,34,FALSE)-50)),"-",(VLOOKUP($A351,'SegEnds_NonXtal_BW#'!$A:$Z,24,FALSE)+VLOOKUP($A351,A:AL,34,FALSE)-50))</f>
        <v>2774</v>
      </c>
      <c r="AJ351" s="3">
        <f>IF(ISERROR(VLOOKUP($A351,'SegEnds_NonXtal_BW#'!$A:$Z,25,FALSE)+VLOOKUP($A351,A:AL,37,FALSE)-50),"-",(VLOOKUP($A351,'SegEnds_NonXtal_BW#'!$A:$Z,25,FALSE)+VLOOKUP($A351,A:AL,37,FALSE)-50))</f>
        <v>2775</v>
      </c>
      <c r="AK351" s="3">
        <v>2778</v>
      </c>
      <c r="AL351" s="3">
        <f>IF(ISERROR((VLOOKUP($A351,'SegEnds_NonXtal_BW#'!$A:$Z,26,FALSE)+VLOOKUP($A351,A:AL,37,FALSE)-50)),"-",(VLOOKUP($A351,'SegEnds_NonXtal_BW#'!$A:$Z,26,FALSE)+VLOOKUP($A351,A:AL,37,FALSE)-50))</f>
        <v>2791</v>
      </c>
      <c r="AM351" s="28" t="str">
        <f>VLOOKUP(A351,Classification!A:B,2,FALSE)</f>
        <v>B2</v>
      </c>
      <c r="AN351" s="28" t="b">
        <f t="shared" si="243"/>
        <v>1</v>
      </c>
      <c r="AO351" s="3" t="str">
        <f>IF(ISERROR(MATCH(A351,'SegEnds_Xtal_Prot#'!B:B, 0)), "NoXtal", "Xtal")</f>
        <v>NoXtal</v>
      </c>
      <c r="AP351" s="3">
        <f t="shared" si="228"/>
        <v>1</v>
      </c>
      <c r="AQ351" s="3">
        <f t="shared" si="229"/>
        <v>1</v>
      </c>
      <c r="AR351" s="3" t="str">
        <f t="shared" si="230"/>
        <v>-</v>
      </c>
      <c r="AS351" s="3" t="str">
        <f t="shared" si="231"/>
        <v>-</v>
      </c>
      <c r="AT351" s="3" t="str">
        <f t="shared" si="232"/>
        <v>-</v>
      </c>
      <c r="AU351" s="3" t="str">
        <f t="shared" si="233"/>
        <v>-</v>
      </c>
      <c r="AV351" s="3">
        <f t="shared" si="234"/>
        <v>6</v>
      </c>
      <c r="AW351" s="3">
        <f t="shared" si="235"/>
        <v>3</v>
      </c>
      <c r="AX351" s="3">
        <f t="shared" si="236"/>
        <v>7</v>
      </c>
      <c r="AY351" s="3">
        <f t="shared" si="237"/>
        <v>6</v>
      </c>
      <c r="AZ351" s="3">
        <f t="shared" si="238"/>
        <v>1</v>
      </c>
      <c r="BA351" s="3">
        <f>IF(ISERROR(LEN(VLOOKUP(A351,Seqs!A:E,2,FALSE))-AL351),"-",LEN(VLOOKUP(A351,Seqs!A:E,2,FALSE))-AL351)</f>
        <v>521</v>
      </c>
      <c r="BB351" s="16">
        <f t="shared" si="239"/>
        <v>28</v>
      </c>
      <c r="BC351" s="9" t="str">
        <f t="shared" si="240"/>
        <v>-</v>
      </c>
      <c r="BD351" s="3">
        <f t="shared" si="241"/>
        <v>28</v>
      </c>
      <c r="BE351" s="3">
        <f t="shared" si="242"/>
        <v>47</v>
      </c>
    </row>
    <row r="352" spans="1:58" s="3" customFormat="1" x14ac:dyDescent="0.2">
      <c r="A352" s="3" t="s">
        <v>1695</v>
      </c>
      <c r="B352" s="3" t="str">
        <f>LOWER(VLOOKUP(A352,Xtal_Templ!A:B,2,FALSE))</f>
        <v>crfr1_human</v>
      </c>
      <c r="C352" s="3">
        <f>VLOOKUP($A352,'SegEnds_NonXtal_BW#'!$A:$Z,3,FALSE)+D352-50</f>
        <v>5895</v>
      </c>
      <c r="D352" s="3">
        <v>5922</v>
      </c>
      <c r="E352" s="3">
        <f>IF(ISERROR(VLOOKUP($A352,'SegEnds_NonXtal_BW#'!$A:$Z,4,FALSE)+VLOOKUP($A352,A:AL,4,FALSE)-50),"-",(VLOOKUP($A352,'SegEnds_NonXtal_BW#'!$A:$Z,4,FALSE)+VLOOKUP($A352,A:AL,4,FALSE)-50))</f>
        <v>5932</v>
      </c>
      <c r="F352" s="3" t="s">
        <v>23</v>
      </c>
      <c r="G352" s="3" t="s">
        <v>23</v>
      </c>
      <c r="H352" s="3" t="s">
        <v>23</v>
      </c>
      <c r="I352" s="3">
        <f>VLOOKUP($A352,'SegEnds_NonXtal_BW#'!$A:$Z,7,FALSE)+J352-50</f>
        <v>5935</v>
      </c>
      <c r="J352" s="3">
        <v>5948</v>
      </c>
      <c r="K352" s="3">
        <f>VLOOKUP($A352,'SegEnds_NonXtal_BW#'!$A:$Z,8,FALSE)+VLOOKUP($A352,A:AL,10,FALSE)-50</f>
        <v>5961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5968</v>
      </c>
      <c r="P352" s="3">
        <v>5995</v>
      </c>
      <c r="Q352" s="3">
        <f>VLOOKUP($A352,'SegEnds_NonXtal_BW#'!$A:$Z,12,FALSE)+VLOOKUP($A352,A:AL,16,FALSE)-50</f>
        <v>6001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6008</v>
      </c>
      <c r="V352" s="3">
        <v>6018</v>
      </c>
      <c r="W352" s="3">
        <f>IF(ISERROR(VLOOKUP($A352,'SegEnds_NonXtal_BW#'!$A:$Z,16,FALSE)+VLOOKUP($A352,A:AL,22,FALSE)-50),"-",(VLOOKUP($A352,'SegEnds_NonXtal_BW#'!$A:$Z,16,FALSE)+VLOOKUP($A352,A:AL,22,FALSE)-50))</f>
        <v>6036</v>
      </c>
      <c r="X352" s="3">
        <f>IF(ISERROR(VLOOKUP($A352,'SegEnds_NonXtal_BW#'!$A:$Z,17,FALSE)+VLOOKUP($A352,A:AL,25,FALSE)-50),"-",(VLOOKUP($A352,'SegEnds_NonXtal_BW#'!$A:$Z,17,FALSE)+VLOOKUP($A352,A:AL,25,FALSE)-50))</f>
        <v>6052</v>
      </c>
      <c r="Y352" s="3">
        <v>6052</v>
      </c>
      <c r="Z352" s="3">
        <f t="shared" si="227"/>
        <v>6054</v>
      </c>
      <c r="AA352" s="3">
        <f>IF(ISERROR(VLOOKUP($A352,'SegEnds_NonXtal_BW#'!$A:$Z,19,FALSE)+VLOOKUP($A352,A:AL,28,FALSE)-50),"-",(VLOOKUP($A352,'SegEnds_NonXtal_BW#'!$A:$Z,19,FALSE)+VLOOKUP($A352,A:AL,28,FALSE)-50))</f>
        <v>6058</v>
      </c>
      <c r="AB352" s="3">
        <v>6072</v>
      </c>
      <c r="AC352" s="3">
        <f>IF(ISERROR((VLOOKUP($A352,'SegEnds_NonXtal_BW#'!$A:$Z,20,FALSE)+VLOOKUP($A352,A:AL,28,FALSE)-50)),"-",(VLOOKUP($A352,'SegEnds_NonXtal_BW#'!$A:$Z,20,FALSE)+VLOOKUP($A352,A:AL,28,FALSE)-50))</f>
        <v>6091</v>
      </c>
      <c r="AD352" s="3">
        <f>IF(ISERROR(VLOOKUP($A352,'SegEnds_NonXtal_BW#'!$A:$Z,21,FALSE)+VLOOKUP($A352,A:AL,31,FALSE)-50),"-",(VLOOKUP($A352,'SegEnds_NonXtal_BW#'!$A:$Z,21,FALSE)+VLOOKUP($A352,A:AL,31,FALSE)-50))</f>
        <v>6100</v>
      </c>
      <c r="AE352" s="3">
        <v>6121</v>
      </c>
      <c r="AF352" s="3">
        <f>IF(ISERROR((VLOOKUP($A352,'SegEnds_NonXtal_BW#'!$A:$Z,22,FALSE)+VLOOKUP($A352,A:AL,31,FALSE)-50)),"-",(VLOOKUP($A352,'SegEnds_NonXtal_BW#'!$A:$Z,22,FALSE)+VLOOKUP($A352,A:AL,31,FALSE)-50))</f>
        <v>6124</v>
      </c>
      <c r="AG352" s="3">
        <f>IF(ISERROR(VLOOKUP($A352,'SegEnds_NonXtal_BW#'!$A:$Z,23,FALSE)+VLOOKUP($A352,A:AL,34,FALSE)-50),"-",(VLOOKUP($A352,'SegEnds_NonXtal_BW#'!$A:$Z,23,FALSE)+VLOOKUP($A352,A:AL,34,FALSE)-50))</f>
        <v>6130</v>
      </c>
      <c r="AH352" s="3">
        <v>6149</v>
      </c>
      <c r="AI352" s="3">
        <f>IF(ISERROR((VLOOKUP($A352,'SegEnds_NonXtal_BW#'!$A:$Z,24,FALSE)+VLOOKUP($A352,A:AL,34,FALSE)-50)),"-",(VLOOKUP($A352,'SegEnds_NonXtal_BW#'!$A:$Z,24,FALSE)+VLOOKUP($A352,A:AL,34,FALSE)-50))</f>
        <v>6155</v>
      </c>
      <c r="AJ352" s="3">
        <f>IF(ISERROR(VLOOKUP($A352,'SegEnds_NonXtal_BW#'!$A:$Z,25,FALSE)+VLOOKUP($A352,A:AL,37,FALSE)-50),"-",(VLOOKUP($A352,'SegEnds_NonXtal_BW#'!$A:$Z,25,FALSE)+VLOOKUP($A352,A:AL,37,FALSE)-50))</f>
        <v>6156</v>
      </c>
      <c r="AK352" s="3">
        <v>6159</v>
      </c>
      <c r="AL352" s="3">
        <f>IF(ISERROR((VLOOKUP($A352,'SegEnds_NonXtal_BW#'!$A:$Z,26,FALSE)+VLOOKUP($A352,A:AL,37,FALSE)-50)),"-",(VLOOKUP($A352,'SegEnds_NonXtal_BW#'!$A:$Z,26,FALSE)+VLOOKUP($A352,A:AL,37,FALSE)-50))</f>
        <v>6172</v>
      </c>
      <c r="AM352" s="28" t="str">
        <f>VLOOKUP(A352,Classification!A:B,2,FALSE)</f>
        <v>B2</v>
      </c>
      <c r="AN352" s="28" t="b">
        <f t="shared" si="243"/>
        <v>1</v>
      </c>
      <c r="AO352" s="3" t="str">
        <f>IF(ISERROR(MATCH(A352,'SegEnds_Xtal_Prot#'!B:B, 0)), "NoXtal", "Xtal")</f>
        <v>NoXtal</v>
      </c>
      <c r="AP352" s="3" t="str">
        <f t="shared" si="228"/>
        <v>-</v>
      </c>
      <c r="AQ352" s="3" t="str">
        <f t="shared" si="229"/>
        <v>-</v>
      </c>
      <c r="AR352" s="3" t="str">
        <f t="shared" si="230"/>
        <v>-</v>
      </c>
      <c r="AS352" s="3" t="str">
        <f t="shared" si="231"/>
        <v>-</v>
      </c>
      <c r="AT352" s="3" t="str">
        <f t="shared" si="232"/>
        <v>-</v>
      </c>
      <c r="AU352" s="3" t="str">
        <f t="shared" si="233"/>
        <v>-</v>
      </c>
      <c r="AV352" s="3">
        <f t="shared" si="234"/>
        <v>16</v>
      </c>
      <c r="AW352" s="3">
        <f t="shared" si="235"/>
        <v>4</v>
      </c>
      <c r="AX352" s="3">
        <f t="shared" si="236"/>
        <v>9</v>
      </c>
      <c r="AY352" s="3">
        <f t="shared" si="237"/>
        <v>6</v>
      </c>
      <c r="AZ352" s="3">
        <f t="shared" si="238"/>
        <v>1</v>
      </c>
      <c r="BA352" s="3">
        <f>IF(ISERROR(LEN(VLOOKUP(A352,Seqs!A:E,2,FALSE))-AL352),"-",LEN(VLOOKUP(A352,Seqs!A:E,2,FALSE))-AL352)</f>
        <v>134</v>
      </c>
      <c r="BB352" s="16">
        <f t="shared" si="239"/>
        <v>26</v>
      </c>
      <c r="BC352" s="9" t="str">
        <f t="shared" si="240"/>
        <v>-</v>
      </c>
      <c r="BD352" s="3">
        <f t="shared" si="241"/>
        <v>26</v>
      </c>
      <c r="BE352" s="3">
        <f t="shared" si="242"/>
        <v>49</v>
      </c>
    </row>
    <row r="353" spans="1:58" s="3" customFormat="1" x14ac:dyDescent="0.2">
      <c r="A353" s="3" t="s">
        <v>105</v>
      </c>
      <c r="B353" s="3" t="str">
        <f>LOWER(VLOOKUP(A353,Xtal_Templ!A:B,2,FALSE))</f>
        <v>grm5_human</v>
      </c>
      <c r="C353" s="3">
        <f>VLOOKUP($A353,'SegEnds_NonXtal_BW#'!$A:$Z,3,FALSE)+D353-50</f>
        <v>611</v>
      </c>
      <c r="D353" s="3">
        <v>627</v>
      </c>
      <c r="E353" s="3">
        <f>IF(ISERROR(VLOOKUP($A353,'SegEnds_NonXtal_BW#'!$A:$Z,4,FALSE)+VLOOKUP($A353,A:AL,4,FALSE)-50),"-",(VLOOKUP($A353,'SegEnds_NonXtal_BW#'!$A:$Z,4,FALSE)+VLOOKUP($A353,A:AL,4,FALSE)-50))</f>
        <v>637</v>
      </c>
      <c r="F353" s="3">
        <f t="shared" ref="F353:F385" si="245">G353-3</f>
        <v>640</v>
      </c>
      <c r="G353" s="3">
        <v>643</v>
      </c>
      <c r="H353" s="3">
        <f t="shared" ref="H353:H374" si="246">G353+3</f>
        <v>646</v>
      </c>
      <c r="I353" s="3">
        <f t="shared" ref="I353:I385" si="247">H353+1</f>
        <v>647</v>
      </c>
      <c r="J353" s="3">
        <v>658</v>
      </c>
      <c r="K353" s="3">
        <f>VLOOKUP($A353,'SegEnds_NonXtal_BW#'!$A:$Z,8,FALSE)+VLOOKUP($A353,A:AL,10,FALSE)-50</f>
        <v>669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673</v>
      </c>
      <c r="P353" s="3">
        <v>702</v>
      </c>
      <c r="Q353" s="3">
        <f>VLOOKUP($A353,'SegEnds_NonXtal_BW#'!$A:$Z,12,FALSE)+VLOOKUP($A353,A:AL,16,FALSE)-50</f>
        <v>706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720</v>
      </c>
      <c r="V353" s="3">
        <v>732</v>
      </c>
      <c r="W353" s="3">
        <f>IF(ISERROR(VLOOKUP($A353,'SegEnds_NonXtal_BW#'!$A:$Z,16,FALSE)+VLOOKUP($A353,A:AL,22,FALSE)-50),"-",(VLOOKUP($A353,'SegEnds_NonXtal_BW#'!$A:$Z,16,FALSE)+VLOOKUP($A353,A:AL,22,FALSE)-50))</f>
        <v>746</v>
      </c>
      <c r="X353" s="3">
        <f>IF(ISERROR(VLOOKUP($A353,'SegEnds_NonXtal_BW#'!$A:$Z,17,FALSE)+VLOOKUP($A353,A:AL,25,FALSE)-50),"-",(VLOOKUP($A353,'SegEnds_NonXtal_BW#'!$A:$Z,17,FALSE)+VLOOKUP($A353,A:AL,25,FALSE)-50))</f>
        <v>765</v>
      </c>
      <c r="Y353" s="3">
        <v>765</v>
      </c>
      <c r="Z353" s="3">
        <f t="shared" si="227"/>
        <v>767</v>
      </c>
      <c r="AA353" s="3">
        <f>IF(ISERROR(VLOOKUP($A353,'SegEnds_NonXtal_BW#'!$A:$Z,19,FALSE)+VLOOKUP($A353,A:AL,28,FALSE)-50),"-",(VLOOKUP($A353,'SegEnds_NonXtal_BW#'!$A:$Z,19,FALSE)+VLOOKUP($A353,A:AL,28,FALSE)-50))</f>
        <v>769</v>
      </c>
      <c r="AB353" s="3">
        <v>783</v>
      </c>
      <c r="AC353" s="3">
        <f>IF(ISERROR((VLOOKUP($A353,'SegEnds_NonXtal_BW#'!$A:$Z,20,FALSE)+VLOOKUP($A353,A:AL,28,FALSE)-50)),"-",(VLOOKUP($A353,'SegEnds_NonXtal_BW#'!$A:$Z,20,FALSE)+VLOOKUP($A353,A:AL,28,FALSE)-50))</f>
        <v>794</v>
      </c>
      <c r="AD353" s="3">
        <f>IF(ISERROR(VLOOKUP($A353,'SegEnds_NonXtal_BW#'!$A:$Z,21,FALSE)+VLOOKUP($A353,A:AL,31,FALSE)-50),"-",(VLOOKUP($A353,'SegEnds_NonXtal_BW#'!$A:$Z,21,FALSE)+VLOOKUP($A353,A:AL,31,FALSE)-50))</f>
        <v>803</v>
      </c>
      <c r="AE353" s="3">
        <v>820</v>
      </c>
      <c r="AF353" s="3">
        <f>IF(ISERROR((VLOOKUP($A353,'SegEnds_NonXtal_BW#'!$A:$Z,22,FALSE)+VLOOKUP($A353,A:AL,31,FALSE)-50)),"-",(VLOOKUP($A353,'SegEnds_NonXtal_BW#'!$A:$Z,22,FALSE)+VLOOKUP($A353,A:AL,31,FALSE)-50))</f>
        <v>827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43"/>
        <v>1</v>
      </c>
      <c r="AO353" s="3" t="str">
        <f>IF(ISERROR(MATCH(A353,'SegEnds_Xtal_Prot#'!B:B, 0)), "NoXtal", "Xtal")</f>
        <v>NoXtal</v>
      </c>
      <c r="AP353" s="3">
        <f t="shared" si="228"/>
        <v>3</v>
      </c>
      <c r="AQ353" s="3">
        <f t="shared" si="229"/>
        <v>1</v>
      </c>
      <c r="AR353" s="3" t="str">
        <f t="shared" si="230"/>
        <v>-</v>
      </c>
      <c r="AS353" s="3" t="str">
        <f t="shared" si="231"/>
        <v>-</v>
      </c>
      <c r="AT353" s="3" t="str">
        <f t="shared" si="232"/>
        <v>-</v>
      </c>
      <c r="AU353" s="3" t="str">
        <f t="shared" si="233"/>
        <v>-</v>
      </c>
      <c r="AV353" s="3">
        <f t="shared" si="234"/>
        <v>19</v>
      </c>
      <c r="AW353" s="3">
        <f t="shared" si="235"/>
        <v>2</v>
      </c>
      <c r="AX353" s="3">
        <f t="shared" si="236"/>
        <v>9</v>
      </c>
      <c r="AY353" s="3">
        <f t="shared" si="237"/>
        <v>5</v>
      </c>
      <c r="AZ353" s="3">
        <f t="shared" si="238"/>
        <v>1</v>
      </c>
      <c r="BA353" s="3">
        <f>IF(ISERROR(LEN(VLOOKUP(A353,Seqs!A:E,2,FALSE))-AL353),"-",LEN(VLOOKUP(A353,Seqs!A:E,2,FALSE))-AL353)</f>
        <v>203</v>
      </c>
      <c r="BB353" s="16">
        <f t="shared" si="239"/>
        <v>31</v>
      </c>
      <c r="BC353" s="9" t="str">
        <f t="shared" si="240"/>
        <v>-</v>
      </c>
      <c r="BD353" s="3">
        <f t="shared" si="241"/>
        <v>31</v>
      </c>
      <c r="BE353" s="3">
        <f t="shared" si="242"/>
        <v>37</v>
      </c>
    </row>
    <row r="354" spans="1:58" s="3" customFormat="1" x14ac:dyDescent="0.2">
      <c r="A354" s="3" t="s">
        <v>106</v>
      </c>
      <c r="B354" s="3" t="str">
        <f>LOWER(VLOOKUP(A354,Xtal_Templ!A:B,2,FALSE))</f>
        <v>grm1_human</v>
      </c>
      <c r="C354" s="3">
        <f>VLOOKUP($A354,'SegEnds_NonXtal_BW#'!$A:$Z,3,FALSE)+D354-50</f>
        <v>590</v>
      </c>
      <c r="D354" s="3">
        <v>606</v>
      </c>
      <c r="E354" s="3">
        <f>IF(ISERROR(VLOOKUP($A354,'SegEnds_NonXtal_BW#'!$A:$Z,4,FALSE)+VLOOKUP($A354,A:AL,4,FALSE)-50),"-",(VLOOKUP($A354,'SegEnds_NonXtal_BW#'!$A:$Z,4,FALSE)+VLOOKUP($A354,A:AL,4,FALSE)-50))</f>
        <v>616</v>
      </c>
      <c r="F354" s="3">
        <f t="shared" si="245"/>
        <v>619</v>
      </c>
      <c r="G354" s="3">
        <v>622</v>
      </c>
      <c r="H354" s="3">
        <f t="shared" si="246"/>
        <v>625</v>
      </c>
      <c r="I354" s="3">
        <f t="shared" si="247"/>
        <v>626</v>
      </c>
      <c r="J354" s="3">
        <v>637</v>
      </c>
      <c r="K354" s="3">
        <f>VLOOKUP($A354,'SegEnds_NonXtal_BW#'!$A:$Z,8,FALSE)+VLOOKUP($A354,A:AL,10,FALSE)-50</f>
        <v>648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660</v>
      </c>
      <c r="P354" s="3">
        <v>688</v>
      </c>
      <c r="Q354" s="3">
        <f>VLOOKUP($A354,'SegEnds_NonXtal_BW#'!$A:$Z,12,FALSE)+VLOOKUP($A354,A:AL,16,FALSE)-50</f>
        <v>692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706</v>
      </c>
      <c r="V354" s="3">
        <v>718</v>
      </c>
      <c r="W354" s="3">
        <f>IF(ISERROR(VLOOKUP($A354,'SegEnds_NonXtal_BW#'!$A:$Z,16,FALSE)+VLOOKUP($A354,A:AL,22,FALSE)-50),"-",(VLOOKUP($A354,'SegEnds_NonXtal_BW#'!$A:$Z,16,FALSE)+VLOOKUP($A354,A:AL,22,FALSE)-50))</f>
        <v>732</v>
      </c>
      <c r="X354" s="3">
        <f>IF(ISERROR(VLOOKUP($A354,'SegEnds_NonXtal_BW#'!$A:$Z,17,FALSE)+VLOOKUP($A354,A:AL,25,FALSE)-50),"-",(VLOOKUP($A354,'SegEnds_NonXtal_BW#'!$A:$Z,17,FALSE)+VLOOKUP($A354,A:AL,25,FALSE)-50))</f>
        <v>761</v>
      </c>
      <c r="Y354" s="3">
        <v>761</v>
      </c>
      <c r="Z354" s="3">
        <f t="shared" si="227"/>
        <v>763</v>
      </c>
      <c r="AA354" s="3">
        <f>IF(ISERROR(VLOOKUP($A354,'SegEnds_NonXtal_BW#'!$A:$Z,19,FALSE)+VLOOKUP($A354,A:AL,28,FALSE)-50),"-",(VLOOKUP($A354,'SegEnds_NonXtal_BW#'!$A:$Z,19,FALSE)+VLOOKUP($A354,A:AL,28,FALSE)-50))</f>
        <v>766</v>
      </c>
      <c r="AB354" s="3">
        <v>780</v>
      </c>
      <c r="AC354" s="3">
        <f>IF(ISERROR((VLOOKUP($A354,'SegEnds_NonXtal_BW#'!$A:$Z,20,FALSE)+VLOOKUP($A354,A:AL,28,FALSE)-50)),"-",(VLOOKUP($A354,'SegEnds_NonXtal_BW#'!$A:$Z,20,FALSE)+VLOOKUP($A354,A:AL,28,FALSE)-50))</f>
        <v>791</v>
      </c>
      <c r="AD354" s="3">
        <f>IF(ISERROR(VLOOKUP($A354,'SegEnds_NonXtal_BW#'!$A:$Z,21,FALSE)+VLOOKUP($A354,A:AL,31,FALSE)-50),"-",(VLOOKUP($A354,'SegEnds_NonXtal_BW#'!$A:$Z,21,FALSE)+VLOOKUP($A354,A:AL,31,FALSE)-50))</f>
        <v>801</v>
      </c>
      <c r="AE354" s="3">
        <v>818</v>
      </c>
      <c r="AF354" s="3">
        <f>IF(ISERROR((VLOOKUP($A354,'SegEnds_NonXtal_BW#'!$A:$Z,22,FALSE)+VLOOKUP($A354,A:AL,31,FALSE)-50)),"-",(VLOOKUP($A354,'SegEnds_NonXtal_BW#'!$A:$Z,22,FALSE)+VLOOKUP($A354,A:AL,31,FALSE)-50))</f>
        <v>825</v>
      </c>
      <c r="AG354" s="3">
        <f>IF(ISERROR(VLOOKUP($A354,'SegEnds_NonXtal_BW#'!$A:$Z,23,FALSE)+VLOOKUP($A354,A:AL,34,FALSE)-50),"-",(VLOOKUP($A354,'SegEnds_NonXtal_BW#'!$A:$Z,23,FALSE)+VLOOKUP($A354,A:AL,34,FALSE)-50))</f>
        <v>832</v>
      </c>
      <c r="AH354" s="3">
        <v>849</v>
      </c>
      <c r="AI354" s="3">
        <f>IF(ISERROR((VLOOKUP($A354,'SegEnds_NonXtal_BW#'!$A:$Z,24,FALSE)+VLOOKUP($A354,A:AL,34,FALSE)-50)),"-",(VLOOKUP($A354,'SegEnds_NonXtal_BW#'!$A:$Z,24,FALSE)+VLOOKUP($A354,A:AL,34,FALSE)-50))</f>
        <v>863</v>
      </c>
      <c r="AJ354" s="3">
        <f>IF(ISERROR(VLOOKUP($A354,'SegEnds_NonXtal_BW#'!$A:$Z,25,FALSE)+VLOOKUP($A354,A:AL,37,FALSE)-50),"-",(VLOOKUP($A354,'SegEnds_NonXtal_BW#'!$A:$Z,25,FALSE)+VLOOKUP($A354,A:AL,37,FALSE)-50))</f>
        <v>864</v>
      </c>
      <c r="AK354" s="3">
        <v>868</v>
      </c>
      <c r="AL354" s="3">
        <f>IF(ISERROR((VLOOKUP($A354,'SegEnds_NonXtal_BW#'!$A:$Z,26,FALSE)+VLOOKUP($A354,A:AL,37,FALSE)-50)),"-",(VLOOKUP($A354,'SegEnds_NonXtal_BW#'!$A:$Z,26,FALSE)+VLOOKUP($A354,A:AL,37,FALSE)-50))</f>
        <v>875</v>
      </c>
      <c r="AM354" s="28" t="str">
        <f>VLOOKUP(A354,Classification!A:B,2,FALSE)</f>
        <v>C</v>
      </c>
      <c r="AN354" s="28" t="b">
        <f t="shared" si="243"/>
        <v>1</v>
      </c>
      <c r="AO354" s="3" t="str">
        <f>IF(ISERROR(MATCH(A354,'SegEnds_Xtal_Prot#'!B:B, 0)), "NoXtal", "Xtal")</f>
        <v>NoXtal</v>
      </c>
      <c r="AP354" s="3">
        <f t="shared" si="228"/>
        <v>3</v>
      </c>
      <c r="AQ354" s="3">
        <f t="shared" si="229"/>
        <v>1</v>
      </c>
      <c r="AR354" s="3" t="str">
        <f t="shared" si="230"/>
        <v>-</v>
      </c>
      <c r="AS354" s="3" t="str">
        <f t="shared" si="231"/>
        <v>-</v>
      </c>
      <c r="AT354" s="3" t="str">
        <f t="shared" si="232"/>
        <v>-</v>
      </c>
      <c r="AU354" s="3" t="str">
        <f t="shared" si="233"/>
        <v>-</v>
      </c>
      <c r="AV354" s="3">
        <f t="shared" si="234"/>
        <v>29</v>
      </c>
      <c r="AW354" s="3">
        <f t="shared" si="235"/>
        <v>3</v>
      </c>
      <c r="AX354" s="3">
        <f t="shared" si="236"/>
        <v>10</v>
      </c>
      <c r="AY354" s="3">
        <f t="shared" si="237"/>
        <v>7</v>
      </c>
      <c r="AZ354" s="3">
        <f t="shared" si="238"/>
        <v>1</v>
      </c>
      <c r="BA354" s="3">
        <f>IF(ISERROR(LEN(VLOOKUP(A354,Seqs!A:E,2,FALSE))-AL354),"-",LEN(VLOOKUP(A354,Seqs!A:E,2,FALSE))-AL354)</f>
        <v>86</v>
      </c>
      <c r="BB354" s="16">
        <f t="shared" si="239"/>
        <v>31</v>
      </c>
      <c r="BC354" s="9" t="str">
        <f t="shared" si="240"/>
        <v>-</v>
      </c>
      <c r="BD354" s="3">
        <f t="shared" si="241"/>
        <v>31</v>
      </c>
      <c r="BE354" s="3">
        <f t="shared" si="242"/>
        <v>38</v>
      </c>
    </row>
    <row r="355" spans="1:58" s="3" customFormat="1" x14ac:dyDescent="0.2">
      <c r="A355" s="3" t="s">
        <v>107</v>
      </c>
      <c r="B355" s="3" t="str">
        <f>LOWER(VLOOKUP(A355,Xtal_Templ!A:B,2,FALSE))</f>
        <v>grm5_human</v>
      </c>
      <c r="C355" s="3">
        <f>VLOOKUP($A355,'SegEnds_NonXtal_BW#'!$A:$Z,3,FALSE)+D355-50</f>
        <v>480</v>
      </c>
      <c r="D355" s="3">
        <v>496</v>
      </c>
      <c r="E355" s="3">
        <f>IF(ISERROR(VLOOKUP($A355,'SegEnds_NonXtal_BW#'!$A:$Z,4,FALSE)+VLOOKUP($A355,A:AL,4,FALSE)-50),"-",(VLOOKUP($A355,'SegEnds_NonXtal_BW#'!$A:$Z,4,FALSE)+VLOOKUP($A355,A:AL,4,FALSE)-50))</f>
        <v>506</v>
      </c>
      <c r="F355" s="3">
        <f t="shared" si="245"/>
        <v>509</v>
      </c>
      <c r="G355" s="3">
        <v>512</v>
      </c>
      <c r="H355" s="3">
        <f t="shared" si="246"/>
        <v>515</v>
      </c>
      <c r="I355" s="3">
        <f t="shared" si="247"/>
        <v>516</v>
      </c>
      <c r="J355" s="3">
        <v>527</v>
      </c>
      <c r="K355" s="3">
        <f>VLOOKUP($A355,'SegEnds_NonXtal_BW#'!$A:$Z,8,FALSE)+VLOOKUP($A355,A:AL,10,FALSE)-50</f>
        <v>538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549</v>
      </c>
      <c r="P355" s="3">
        <v>578</v>
      </c>
      <c r="Q355" s="3">
        <f>VLOOKUP($A355,'SegEnds_NonXtal_BW#'!$A:$Z,12,FALSE)+VLOOKUP($A355,A:AL,16,FALSE)-50</f>
        <v>582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593</v>
      </c>
      <c r="V355" s="3">
        <v>605</v>
      </c>
      <c r="W355" s="3">
        <f>IF(ISERROR(VLOOKUP($A355,'SegEnds_NonXtal_BW#'!$A:$Z,16,FALSE)+VLOOKUP($A355,A:AL,22,FALSE)-50),"-",(VLOOKUP($A355,'SegEnds_NonXtal_BW#'!$A:$Z,16,FALSE)+VLOOKUP($A355,A:AL,22,FALSE)-50))</f>
        <v>619</v>
      </c>
      <c r="X355" s="3">
        <f>IF(ISERROR(VLOOKUP($A355,'SegEnds_NonXtal_BW#'!$A:$Z,17,FALSE)+VLOOKUP($A355,A:AL,25,FALSE)-50),"-",(VLOOKUP($A355,'SegEnds_NonXtal_BW#'!$A:$Z,17,FALSE)+VLOOKUP($A355,A:AL,25,FALSE)-50))</f>
        <v>648</v>
      </c>
      <c r="Y355" s="3">
        <v>648</v>
      </c>
      <c r="Z355" s="3">
        <f t="shared" si="227"/>
        <v>650</v>
      </c>
      <c r="AA355" s="3">
        <f>IF(ISERROR(VLOOKUP($A355,'SegEnds_NonXtal_BW#'!$A:$Z,19,FALSE)+VLOOKUP($A355,A:AL,28,FALSE)-50),"-",(VLOOKUP($A355,'SegEnds_NonXtal_BW#'!$A:$Z,19,FALSE)+VLOOKUP($A355,A:AL,28,FALSE)-50))</f>
        <v>653</v>
      </c>
      <c r="AB355" s="3">
        <v>667</v>
      </c>
      <c r="AC355" s="3">
        <f>IF(ISERROR((VLOOKUP($A355,'SegEnds_NonXtal_BW#'!$A:$Z,20,FALSE)+VLOOKUP($A355,A:AL,28,FALSE)-50)),"-",(VLOOKUP($A355,'SegEnds_NonXtal_BW#'!$A:$Z,20,FALSE)+VLOOKUP($A355,A:AL,28,FALSE)-50))</f>
        <v>678</v>
      </c>
      <c r="AD355" s="3">
        <f>IF(ISERROR(VLOOKUP($A355,'SegEnds_NonXtal_BW#'!$A:$Z,21,FALSE)+VLOOKUP($A355,A:AL,31,FALSE)-50),"-",(VLOOKUP($A355,'SegEnds_NonXtal_BW#'!$A:$Z,21,FALSE)+VLOOKUP($A355,A:AL,31,FALSE)-50))</f>
        <v>688</v>
      </c>
      <c r="AE355" s="3">
        <v>705</v>
      </c>
      <c r="AF355" s="3">
        <f>IF(ISERROR((VLOOKUP($A355,'SegEnds_NonXtal_BW#'!$A:$Z,22,FALSE)+VLOOKUP($A355,A:AL,31,FALSE)-50)),"-",(VLOOKUP($A355,'SegEnds_NonXtal_BW#'!$A:$Z,22,FALSE)+VLOOKUP($A355,A:AL,31,FALSE)-50))</f>
        <v>712</v>
      </c>
      <c r="AG355" s="3">
        <f>IF(ISERROR(VLOOKUP($A355,'SegEnds_NonXtal_BW#'!$A:$Z,23,FALSE)+VLOOKUP($A355,A:AL,34,FALSE)-50),"-",(VLOOKUP($A355,'SegEnds_NonXtal_BW#'!$A:$Z,23,FALSE)+VLOOKUP($A355,A:AL,34,FALSE)-50))</f>
        <v>719</v>
      </c>
      <c r="AH355" s="3">
        <v>736</v>
      </c>
      <c r="AI355" s="3">
        <f>IF(ISERROR((VLOOKUP($A355,'SegEnds_NonXtal_BW#'!$A:$Z,24,FALSE)+VLOOKUP($A355,A:AL,34,FALSE)-50)),"-",(VLOOKUP($A355,'SegEnds_NonXtal_BW#'!$A:$Z,24,FALSE)+VLOOKUP($A355,A:AL,34,FALSE)-50))</f>
        <v>750</v>
      </c>
      <c r="AJ355" s="3">
        <f>IF(ISERROR(VLOOKUP($A355,'SegEnds_NonXtal_BW#'!$A:$Z,25,FALSE)+VLOOKUP($A355,A:AL,37,FALSE)-50),"-",(VLOOKUP($A355,'SegEnds_NonXtal_BW#'!$A:$Z,25,FALSE)+VLOOKUP($A355,A:AL,37,FALSE)-50))</f>
        <v>751</v>
      </c>
      <c r="AK355" s="3">
        <v>755</v>
      </c>
      <c r="AL355" s="3">
        <f>IF(ISERROR((VLOOKUP($A355,'SegEnds_NonXtal_BW#'!$A:$Z,26,FALSE)+VLOOKUP($A355,A:AL,37,FALSE)-50)),"-",(VLOOKUP($A355,'SegEnds_NonXtal_BW#'!$A:$Z,26,FALSE)+VLOOKUP($A355,A:AL,37,FALSE)-50))</f>
        <v>762</v>
      </c>
      <c r="AM355" s="28" t="str">
        <f>VLOOKUP(A355,Classification!A:B,2,FALSE)</f>
        <v>C</v>
      </c>
      <c r="AN355" s="28" t="b">
        <f t="shared" si="243"/>
        <v>1</v>
      </c>
      <c r="AO355" s="3" t="str">
        <f>IF(ISERROR(MATCH(A355,'SegEnds_Xtal_Prot#'!B:B, 0)), "NoXtal", "Xtal")</f>
        <v>NoXtal</v>
      </c>
      <c r="AP355" s="3">
        <f t="shared" si="228"/>
        <v>3</v>
      </c>
      <c r="AQ355" s="3">
        <f t="shared" si="229"/>
        <v>1</v>
      </c>
      <c r="AR355" s="3" t="str">
        <f t="shared" si="230"/>
        <v>-</v>
      </c>
      <c r="AS355" s="3" t="str">
        <f t="shared" si="231"/>
        <v>-</v>
      </c>
      <c r="AT355" s="3" t="str">
        <f t="shared" si="232"/>
        <v>-</v>
      </c>
      <c r="AU355" s="3" t="str">
        <f t="shared" si="233"/>
        <v>-</v>
      </c>
      <c r="AV355" s="3">
        <f t="shared" si="234"/>
        <v>29</v>
      </c>
      <c r="AW355" s="3">
        <f t="shared" si="235"/>
        <v>3</v>
      </c>
      <c r="AX355" s="3">
        <f t="shared" si="236"/>
        <v>10</v>
      </c>
      <c r="AY355" s="3">
        <f t="shared" si="237"/>
        <v>7</v>
      </c>
      <c r="AZ355" s="3">
        <f t="shared" si="238"/>
        <v>1</v>
      </c>
      <c r="BA355" s="3">
        <f>IF(ISERROR(LEN(VLOOKUP(A355,Seqs!A:E,2,FALSE))-AL355),"-",LEN(VLOOKUP(A355,Seqs!A:E,2,FALSE))-AL355)</f>
        <v>179</v>
      </c>
      <c r="BB355" s="16">
        <f t="shared" si="239"/>
        <v>31</v>
      </c>
      <c r="BC355" s="9" t="str">
        <f t="shared" si="240"/>
        <v>-</v>
      </c>
      <c r="BD355" s="3">
        <f t="shared" si="241"/>
        <v>31</v>
      </c>
      <c r="BE355" s="3">
        <f t="shared" si="242"/>
        <v>38</v>
      </c>
    </row>
    <row r="356" spans="1:58" s="3" customFormat="1" x14ac:dyDescent="0.2">
      <c r="A356" s="3" t="s">
        <v>108</v>
      </c>
      <c r="B356" s="3" t="str">
        <f>LOWER(VLOOKUP(A356,Xtal_Templ!A:B,2,FALSE))</f>
        <v>grm1_human</v>
      </c>
      <c r="C356" s="3">
        <f>VLOOKUP($A356,'SegEnds_NonXtal_BW#'!$A:$Z,3,FALSE)+D356-50</f>
        <v>48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45"/>
        <v>77</v>
      </c>
      <c r="G356" s="3">
        <v>80</v>
      </c>
      <c r="H356" s="3">
        <f t="shared" si="246"/>
        <v>83</v>
      </c>
      <c r="I356" s="3">
        <f t="shared" si="247"/>
        <v>84</v>
      </c>
      <c r="J356" s="3">
        <v>95</v>
      </c>
      <c r="K356" s="3">
        <f>VLOOKUP($A356,'SegEnds_NonXtal_BW#'!$A:$Z,8,FALSE)+VLOOKUP($A356,A:AL,10,FALSE)-50</f>
        <v>106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117</v>
      </c>
      <c r="P356" s="3">
        <v>145</v>
      </c>
      <c r="Q356" s="3">
        <f>VLOOKUP($A356,'SegEnds_NonXtal_BW#'!$A:$Z,12,FALSE)+VLOOKUP($A356,A:AL,16,FALSE)-50</f>
        <v>149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161</v>
      </c>
      <c r="V356" s="3">
        <v>173</v>
      </c>
      <c r="W356" s="3">
        <f>IF(ISERROR(VLOOKUP($A356,'SegEnds_NonXtal_BW#'!$A:$Z,16,FALSE)+VLOOKUP($A356,A:AL,22,FALSE)-50),"-",(VLOOKUP($A356,'SegEnds_NonXtal_BW#'!$A:$Z,16,FALSE)+VLOOKUP($A356,A:AL,22,FALSE)-50))</f>
        <v>187</v>
      </c>
      <c r="X356" s="3">
        <f>IF(ISERROR(VLOOKUP($A356,'SegEnds_NonXtal_BW#'!$A:$Z,17,FALSE)+VLOOKUP($A356,A:AL,25,FALSE)-50),"-",(VLOOKUP($A356,'SegEnds_NonXtal_BW#'!$A:$Z,17,FALSE)+VLOOKUP($A356,A:AL,25,FALSE)-50))</f>
        <v>216</v>
      </c>
      <c r="Y356" s="105">
        <v>216</v>
      </c>
      <c r="Z356" s="3">
        <f>IF(ISERROR(VLOOKUP($A356,'SegEnds_NonXtal_BW#'!$A:$Z,18,FALSE)+VLOOKUP($A356,A:AL,25,FALSE)-50),"-",(VLOOKUP($A356,'SegEnds_NonXtal_BW#'!$A:$Z,18,FALSE)+VLOOKUP($A356,A:AL,25,FALSE)-50))</f>
        <v>218</v>
      </c>
      <c r="AA356" s="3">
        <f>IF(ISERROR(VLOOKUP($A356,'SegEnds_NonXtal_BW#'!$A:$Z,19,FALSE)+VLOOKUP($A356,A:AL,28,FALSE)-50),"-",(VLOOKUP($A356,'SegEnds_NonXtal_BW#'!$A:$Z,19,FALSE)+VLOOKUP($A356,A:AL,28,FALSE)-50))</f>
        <v>221</v>
      </c>
      <c r="AB356" s="3">
        <v>235</v>
      </c>
      <c r="AC356" s="3">
        <f>IF(ISERROR((VLOOKUP($A356,'SegEnds_NonXtal_BW#'!$A:$Z,20,FALSE)+VLOOKUP($A356,A:AL,28,FALSE)-50)),"-",(VLOOKUP($A356,'SegEnds_NonXtal_BW#'!$A:$Z,20,FALSE)+VLOOKUP($A356,A:AL,28,FALSE)-50))</f>
        <v>246</v>
      </c>
      <c r="AD356" s="3">
        <f>IF(ISERROR(VLOOKUP($A356,'SegEnds_NonXtal_BW#'!$A:$Z,21,FALSE)+VLOOKUP($A356,A:AL,31,FALSE)-50),"-",(VLOOKUP($A356,'SegEnds_NonXtal_BW#'!$A:$Z,21,FALSE)+VLOOKUP($A356,A:AL,31,FALSE)-50))</f>
        <v>257</v>
      </c>
      <c r="AE356" s="3">
        <v>274</v>
      </c>
      <c r="AF356" s="3">
        <f>IF(ISERROR((VLOOKUP($A356,'SegEnds_NonXtal_BW#'!$A:$Z,22,FALSE)+VLOOKUP($A356,A:AL,31,FALSE)-50)),"-",(VLOOKUP($A356,'SegEnds_NonXtal_BW#'!$A:$Z,22,FALSE)+VLOOKUP($A356,A:AL,31,FALSE)-50))</f>
        <v>281</v>
      </c>
      <c r="AG356" s="3">
        <f>IF(ISERROR(VLOOKUP($A356,'SegEnds_NonXtal_BW#'!$A:$Z,23,FALSE)+VLOOKUP($A356,A:AL,34,FALSE)-50),"-",(VLOOKUP($A356,'SegEnds_NonXtal_BW#'!$A:$Z,23,FALSE)+VLOOKUP($A356,A:AL,34,FALSE)-50))</f>
        <v>287</v>
      </c>
      <c r="AH356" s="3">
        <v>304</v>
      </c>
      <c r="AI356" s="3">
        <f>IF(ISERROR((VLOOKUP($A356,'SegEnds_NonXtal_BW#'!$A:$Z,24,FALSE)+VLOOKUP($A356,A:AL,34,FALSE)-50)),"-",(VLOOKUP($A356,'SegEnds_NonXtal_BW#'!$A:$Z,24,FALSE)+VLOOKUP($A356,A:AL,34,FALSE)-50))</f>
        <v>318</v>
      </c>
      <c r="AJ356" s="3">
        <f>IF(ISERROR(VLOOKUP($A356,'SegEnds_NonXtal_BW#'!$A:$Z,25,FALSE)+VLOOKUP($A356,A:AL,37,FALSE)-50),"-",(VLOOKUP($A356,'SegEnds_NonXtal_BW#'!$A:$Z,25,FALSE)+VLOOKUP($A356,A:AL,37,FALSE)-50))</f>
        <v>319</v>
      </c>
      <c r="AK356" s="3">
        <v>323</v>
      </c>
      <c r="AL356" s="3">
        <f>IF(ISERROR((VLOOKUP($A356,'SegEnds_NonXtal_BW#'!$A:$Z,26,FALSE)+VLOOKUP($A356,A:AL,37,FALSE)-50)),"-",(VLOOKUP($A356,'SegEnds_NonXtal_BW#'!$A:$Z,26,FALSE)+VLOOKUP($A356,A:AL,37,FALSE)-50))</f>
        <v>330</v>
      </c>
      <c r="AM356" s="28" t="str">
        <f>VLOOKUP(A356,Classification!A:B,2,FALSE)</f>
        <v>C</v>
      </c>
      <c r="AN356" s="28" t="b">
        <f t="shared" si="243"/>
        <v>1</v>
      </c>
      <c r="AO356" s="3" t="str">
        <f>IF(ISERROR(MATCH(A356,'SegEnds_Xtal_Prot#'!B:B, 0)), "NoXtal", "Xtal")</f>
        <v>NoXtal</v>
      </c>
      <c r="AP356" s="3">
        <f t="shared" si="228"/>
        <v>3</v>
      </c>
      <c r="AQ356" s="3">
        <f t="shared" si="229"/>
        <v>1</v>
      </c>
      <c r="AR356" s="3" t="str">
        <f t="shared" si="230"/>
        <v>-</v>
      </c>
      <c r="AS356" s="3" t="str">
        <f t="shared" si="231"/>
        <v>-</v>
      </c>
      <c r="AT356" s="3" t="str">
        <f t="shared" si="232"/>
        <v>-</v>
      </c>
      <c r="AU356" s="3" t="str">
        <f t="shared" si="233"/>
        <v>-</v>
      </c>
      <c r="AV356" s="3">
        <f t="shared" si="234"/>
        <v>29</v>
      </c>
      <c r="AW356" s="3">
        <f t="shared" si="235"/>
        <v>3</v>
      </c>
      <c r="AX356" s="3">
        <f t="shared" si="236"/>
        <v>11</v>
      </c>
      <c r="AY356" s="3">
        <f t="shared" si="237"/>
        <v>6</v>
      </c>
      <c r="AZ356" s="3">
        <f t="shared" si="238"/>
        <v>1</v>
      </c>
      <c r="BA356" s="3">
        <f>IF(ISERROR(LEN(VLOOKUP(A356,Seqs!A:E,2,FALSE))-AL356),"-",LEN(VLOOKUP(A356,Seqs!A:E,2,FALSE))-AL356)</f>
        <v>484</v>
      </c>
      <c r="BB356" s="16">
        <f t="shared" si="239"/>
        <v>31</v>
      </c>
      <c r="BC356" s="9" t="str">
        <f t="shared" si="240"/>
        <v>-</v>
      </c>
      <c r="BD356" s="3">
        <f t="shared" si="241"/>
        <v>31</v>
      </c>
      <c r="BE356" s="3">
        <f t="shared" si="242"/>
        <v>39</v>
      </c>
    </row>
    <row r="357" spans="1:58" s="3" customFormat="1" x14ac:dyDescent="0.2">
      <c r="A357" s="3" t="s">
        <v>109</v>
      </c>
      <c r="B357" s="3" t="str">
        <f>LOWER(VLOOKUP(A357,Xtal_Templ!A:B,2,FALSE))</f>
        <v>grm1_human</v>
      </c>
      <c r="C357" s="3">
        <f>VLOOKUP($A357,'SegEnds_NonXtal_BW#'!$A:$Z,3,FALSE)+D357-50</f>
        <v>415</v>
      </c>
      <c r="D357" s="3">
        <v>431</v>
      </c>
      <c r="E357" s="3">
        <f>IF(ISERROR(VLOOKUP($A357,'SegEnds_NonXtal_BW#'!$A:$Z,4,FALSE)+VLOOKUP($A357,A:AL,4,FALSE)-50),"-",(VLOOKUP($A357,'SegEnds_NonXtal_BW#'!$A:$Z,4,FALSE)+VLOOKUP($A357,A:AL,4,FALSE)-50))</f>
        <v>441</v>
      </c>
      <c r="F357" s="3">
        <f t="shared" si="245"/>
        <v>444</v>
      </c>
      <c r="G357" s="3">
        <v>447</v>
      </c>
      <c r="H357" s="3">
        <f t="shared" si="246"/>
        <v>450</v>
      </c>
      <c r="I357" s="3">
        <f t="shared" si="247"/>
        <v>451</v>
      </c>
      <c r="J357" s="3">
        <v>462</v>
      </c>
      <c r="K357" s="3">
        <f>VLOOKUP($A357,'SegEnds_NonXtal_BW#'!$A:$Z,8,FALSE)+VLOOKUP($A357,A:AL,10,FALSE)-50</f>
        <v>473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478</v>
      </c>
      <c r="P357" s="3">
        <v>506</v>
      </c>
      <c r="Q357" s="3">
        <f>VLOOKUP($A357,'SegEnds_NonXtal_BW#'!$A:$Z,12,FALSE)+VLOOKUP($A357,A:AL,16,FALSE)-50</f>
        <v>510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512</v>
      </c>
      <c r="V357" s="3">
        <v>524</v>
      </c>
      <c r="W357" s="3">
        <f>IF(ISERROR(VLOOKUP($A357,'SegEnds_NonXtal_BW#'!$A:$Z,16,FALSE)+VLOOKUP($A357,A:AL,22,FALSE)-50),"-",(VLOOKUP($A357,'SegEnds_NonXtal_BW#'!$A:$Z,16,FALSE)+VLOOKUP($A357,A:AL,22,FALSE)-50))</f>
        <v>538</v>
      </c>
      <c r="X357" s="3">
        <f>IF(ISERROR(VLOOKUP($A357,'SegEnds_NonXtal_BW#'!$A:$Z,17,FALSE)+VLOOKUP($A357,A:AL,25,FALSE)-50),"-",(VLOOKUP($A357,'SegEnds_NonXtal_BW#'!$A:$Z,17,FALSE)+VLOOKUP($A357,A:AL,25,FALSE)-50))</f>
        <v>573</v>
      </c>
      <c r="Y357" s="3">
        <v>573</v>
      </c>
      <c r="Z357" s="3">
        <f>Y357+2</f>
        <v>575</v>
      </c>
      <c r="AA357" s="105">
        <v>576</v>
      </c>
      <c r="AB357" s="3">
        <v>589</v>
      </c>
      <c r="AC357" s="3">
        <f>IF(ISERROR((VLOOKUP($A357,'SegEnds_NonXtal_BW#'!$A:$Z,20,FALSE)+VLOOKUP($A357,A:AL,28,FALSE)-50)),"-",(VLOOKUP($A357,'SegEnds_NonXtal_BW#'!$A:$Z,20,FALSE)+VLOOKUP($A357,A:AL,28,FALSE)-50))</f>
        <v>600</v>
      </c>
      <c r="AD357" s="3">
        <f>IF(ISERROR(VLOOKUP($A357,'SegEnds_NonXtal_BW#'!$A:$Z,21,FALSE)+VLOOKUP($A357,A:AL,31,FALSE)-50),"-",(VLOOKUP($A357,'SegEnds_NonXtal_BW#'!$A:$Z,21,FALSE)+VLOOKUP($A357,A:AL,31,FALSE)-50))</f>
        <v>609</v>
      </c>
      <c r="AE357" s="3">
        <v>626</v>
      </c>
      <c r="AF357" s="3">
        <f>IF(ISERROR((VLOOKUP($A357,'SegEnds_NonXtal_BW#'!$A:$Z,22,FALSE)+VLOOKUP($A357,A:AL,31,FALSE)-50)),"-",(VLOOKUP($A357,'SegEnds_NonXtal_BW#'!$A:$Z,22,FALSE)+VLOOKUP($A357,A:AL,31,FALSE)-50))</f>
        <v>633</v>
      </c>
      <c r="AG357" s="3">
        <f>IF(ISERROR(VLOOKUP($A357,'SegEnds_NonXtal_BW#'!$A:$Z,23,FALSE)+VLOOKUP($A357,A:AL,34,FALSE)-50),"-",(VLOOKUP($A357,'SegEnds_NonXtal_BW#'!$A:$Z,23,FALSE)+VLOOKUP($A357,A:AL,34,FALSE)-50))</f>
        <v>642</v>
      </c>
      <c r="AH357" s="3">
        <v>659</v>
      </c>
      <c r="AI357" s="3">
        <f>IF(ISERROR((VLOOKUP($A357,'SegEnds_NonXtal_BW#'!$A:$Z,24,FALSE)+VLOOKUP($A357,A:AL,34,FALSE)-50)),"-",(VLOOKUP($A357,'SegEnds_NonXtal_BW#'!$A:$Z,24,FALSE)+VLOOKUP($A357,A:AL,34,FALSE)-50))</f>
        <v>673</v>
      </c>
      <c r="AJ357" s="3">
        <f>IF(ISERROR(VLOOKUP($A357,'SegEnds_NonXtal_BW#'!$A:$Z,25,FALSE)+VLOOKUP($A357,A:AL,37,FALSE)-50),"-",(VLOOKUP($A357,'SegEnds_NonXtal_BW#'!$A:$Z,25,FALSE)+VLOOKUP($A357,A:AL,37,FALSE)-50))</f>
        <v>674</v>
      </c>
      <c r="AK357" s="3">
        <v>678</v>
      </c>
      <c r="AL357" s="3">
        <f>IF(ISERROR((VLOOKUP($A357,'SegEnds_NonXtal_BW#'!$A:$Z,26,FALSE)+VLOOKUP($A357,A:AL,37,FALSE)-50)),"-",(VLOOKUP($A357,'SegEnds_NonXtal_BW#'!$A:$Z,26,FALSE)+VLOOKUP($A357,A:AL,37,FALSE)-50))</f>
        <v>685</v>
      </c>
      <c r="AM357" s="28" t="str">
        <f>VLOOKUP(A357,Classification!A:B,2,FALSE)</f>
        <v>C</v>
      </c>
      <c r="AN357" s="28" t="b">
        <f t="shared" si="243"/>
        <v>1</v>
      </c>
      <c r="AO357" s="3" t="str">
        <f>IF(ISERROR(MATCH(A357,'SegEnds_Xtal_Prot#'!B:B, 0)), "NoXtal", "Xtal")</f>
        <v>NoXtal</v>
      </c>
      <c r="AP357" s="3">
        <f t="shared" si="228"/>
        <v>3</v>
      </c>
      <c r="AQ357" s="3">
        <f t="shared" si="229"/>
        <v>1</v>
      </c>
      <c r="AR357" s="3" t="str">
        <f t="shared" si="230"/>
        <v>-</v>
      </c>
      <c r="AS357" s="3" t="str">
        <f t="shared" si="231"/>
        <v>-</v>
      </c>
      <c r="AT357" s="3" t="str">
        <f t="shared" si="232"/>
        <v>-</v>
      </c>
      <c r="AU357" s="3" t="str">
        <f t="shared" si="233"/>
        <v>-</v>
      </c>
      <c r="AV357" s="3">
        <f t="shared" si="234"/>
        <v>35</v>
      </c>
      <c r="AW357" s="3">
        <f t="shared" si="235"/>
        <v>1</v>
      </c>
      <c r="AX357" s="3">
        <f t="shared" si="236"/>
        <v>9</v>
      </c>
      <c r="AY357" s="3">
        <f t="shared" si="237"/>
        <v>9</v>
      </c>
      <c r="AZ357" s="3">
        <f t="shared" si="238"/>
        <v>1</v>
      </c>
      <c r="BA357" s="3">
        <f>IF(ISERROR(LEN(VLOOKUP(A357,Seqs!A:E,2,FALSE))-AL357),"-",LEN(VLOOKUP(A357,Seqs!A:E,2,FALSE))-AL357)</f>
        <v>530</v>
      </c>
      <c r="BB357" s="16">
        <f t="shared" si="239"/>
        <v>31</v>
      </c>
      <c r="BC357" s="9" t="str">
        <f t="shared" si="240"/>
        <v>-</v>
      </c>
      <c r="BD357" s="3">
        <f t="shared" si="241"/>
        <v>31</v>
      </c>
      <c r="BE357" s="3">
        <f t="shared" si="242"/>
        <v>37</v>
      </c>
    </row>
    <row r="358" spans="1:58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 t="shared" si="245"/>
        <v>408</v>
      </c>
      <c r="G358" s="3">
        <v>411</v>
      </c>
      <c r="H358" s="3">
        <f t="shared" si="246"/>
        <v>414</v>
      </c>
      <c r="I358" s="3">
        <f t="shared" si="247"/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>Y358+2</f>
        <v>539</v>
      </c>
      <c r="AA358" s="105"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606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637</v>
      </c>
      <c r="AJ358" s="3">
        <f>IF(ISERROR(VLOOKUP($A358,'SegEnds_NonXtal_BW#'!$A:$Z,25,FALSE)+VLOOKUP($A358,A:AL,37,FALSE)-50),"-",(VLOOKUP($A358,'SegEnds_NonXtal_BW#'!$A:$Z,25,FALSE)+VLOOKUP($A358,A:AL,37,FALSE)-50))</f>
        <v>638</v>
      </c>
      <c r="AK358" s="3">
        <v>642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43"/>
        <v>1</v>
      </c>
      <c r="AO358" s="3" t="str">
        <f>IF(ISERROR(MATCH(A358,'SegEnds_Xtal_Prot#'!B:B, 0)), "NoXtal", "Xtal")</f>
        <v>NoXtal</v>
      </c>
      <c r="AP358" s="3">
        <f t="shared" si="228"/>
        <v>3</v>
      </c>
      <c r="AQ358" s="3">
        <f t="shared" si="229"/>
        <v>1</v>
      </c>
      <c r="AR358" s="3" t="str">
        <f t="shared" si="230"/>
        <v>-</v>
      </c>
      <c r="AS358" s="3" t="str">
        <f t="shared" si="231"/>
        <v>-</v>
      </c>
      <c r="AT358" s="3" t="str">
        <f t="shared" si="232"/>
        <v>-</v>
      </c>
      <c r="AU358" s="3" t="str">
        <f t="shared" si="233"/>
        <v>-</v>
      </c>
      <c r="AV358" s="3">
        <f t="shared" si="234"/>
        <v>35</v>
      </c>
      <c r="AW358" s="3">
        <f t="shared" si="235"/>
        <v>1</v>
      </c>
      <c r="AX358" s="3">
        <f t="shared" si="236"/>
        <v>9</v>
      </c>
      <c r="AY358" s="3">
        <f t="shared" si="237"/>
        <v>9</v>
      </c>
      <c r="AZ358" s="3">
        <f t="shared" si="238"/>
        <v>1</v>
      </c>
      <c r="BA358" s="3">
        <f>IF(ISERROR(LEN(VLOOKUP(A358,Seqs!A:E,2,FALSE))-AL358),"-",LEN(VLOOKUP(A358,Seqs!A:E,2,FALSE))-AL358)</f>
        <v>1718</v>
      </c>
      <c r="BB358" s="16">
        <f t="shared" si="239"/>
        <v>31</v>
      </c>
      <c r="BC358" s="9" t="str">
        <f t="shared" si="240"/>
        <v>-</v>
      </c>
      <c r="BD358" s="3">
        <f t="shared" si="241"/>
        <v>31</v>
      </c>
      <c r="BE358" s="3">
        <f t="shared" si="242"/>
        <v>37</v>
      </c>
    </row>
    <row r="359" spans="1:58" s="3" customFormat="1" x14ac:dyDescent="0.2">
      <c r="A359" s="3" t="s">
        <v>111</v>
      </c>
      <c r="B359" s="3" t="str">
        <f>LOWER(VLOOKUP(A359,Xtal_Templ!A:B,2,FALSE))</f>
        <v>grm1_human</v>
      </c>
      <c r="C359" s="3">
        <f>VLOOKUP($A359,'SegEnds_NonXtal_BW#'!$A:$Z,3,FALSE)+D359-50</f>
        <v>54</v>
      </c>
      <c r="D359" s="3">
        <v>70</v>
      </c>
      <c r="E359" s="3">
        <f>IF(ISERROR(VLOOKUP($A359,'SegEnds_NonXtal_BW#'!$A:$Z,4,FALSE)+VLOOKUP($A359,A:AL,4,FALSE)-50),"-",(VLOOKUP($A359,'SegEnds_NonXtal_BW#'!$A:$Z,4,FALSE)+VLOOKUP($A359,A:AL,4,FALSE)-50))</f>
        <v>80</v>
      </c>
      <c r="F359" s="3">
        <f t="shared" si="245"/>
        <v>81</v>
      </c>
      <c r="G359" s="3">
        <v>84</v>
      </c>
      <c r="H359" s="3">
        <f t="shared" si="246"/>
        <v>87</v>
      </c>
      <c r="I359" s="3">
        <f t="shared" si="247"/>
        <v>88</v>
      </c>
      <c r="J359" s="3">
        <v>103</v>
      </c>
      <c r="K359" s="3">
        <f>VLOOKUP($A359,'SegEnds_NonXtal_BW#'!$A:$Z,8,FALSE)+VLOOKUP($A359,A:AL,10,FALSE)-50</f>
        <v>114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119</v>
      </c>
      <c r="P359" s="3">
        <v>147</v>
      </c>
      <c r="Q359" s="3">
        <f>VLOOKUP($A359,'SegEnds_NonXtal_BW#'!$A:$Z,12,FALSE)+VLOOKUP($A359,A:AL,16,FALSE)-50</f>
        <v>151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158</v>
      </c>
      <c r="V359" s="3">
        <v>170</v>
      </c>
      <c r="W359" s="3">
        <f>IF(ISERROR(VLOOKUP($A359,'SegEnds_NonXtal_BW#'!$A:$Z,16,FALSE)+VLOOKUP($A359,A:AL,22,FALSE)-50),"-",(VLOOKUP($A359,'SegEnds_NonXtal_BW#'!$A:$Z,16,FALSE)+VLOOKUP($A359,A:AL,22,FALSE)-50))</f>
        <v>184</v>
      </c>
      <c r="X359" s="3">
        <f>IF(ISERROR(VLOOKUP($A359,'SegEnds_NonXtal_BW#'!$A:$Z,17,FALSE)+VLOOKUP($A359,A:AL,25,FALSE)-50),"-",(VLOOKUP($A359,'SegEnds_NonXtal_BW#'!$A:$Z,17,FALSE)+VLOOKUP($A359,A:AL,25,FALSE)-50))</f>
        <v>193</v>
      </c>
      <c r="Y359" s="3">
        <v>193</v>
      </c>
      <c r="Z359" s="3">
        <f>Y359+2</f>
        <v>195</v>
      </c>
      <c r="AA359" s="3">
        <f>IF(ISERROR(VLOOKUP($A359,'SegEnds_NonXtal_BW#'!$A:$Z,19,FALSE)+VLOOKUP($A359,A:AL,28,FALSE)-50),"-",(VLOOKUP($A359,'SegEnds_NonXtal_BW#'!$A:$Z,19,FALSE)+VLOOKUP($A359,A:AL,28,FALSE)-50))</f>
        <v>196</v>
      </c>
      <c r="AB359" s="3">
        <v>210</v>
      </c>
      <c r="AC359" s="3">
        <f>IF(ISERROR((VLOOKUP($A359,'SegEnds_NonXtal_BW#'!$A:$Z,20,FALSE)+VLOOKUP($A359,A:AL,28,FALSE)-50)),"-",(VLOOKUP($A359,'SegEnds_NonXtal_BW#'!$A:$Z,20,FALSE)+VLOOKUP($A359,A:AL,28,FALSE)-50))</f>
        <v>221</v>
      </c>
      <c r="AD359" s="3">
        <f>IF(ISERROR(VLOOKUP($A359,'SegEnds_NonXtal_BW#'!$A:$Z,21,FALSE)+VLOOKUP($A359,A:AL,31,FALSE)-50),"-",(VLOOKUP($A359,'SegEnds_NonXtal_BW#'!$A:$Z,21,FALSE)+VLOOKUP($A359,A:AL,31,FALSE)-50))</f>
        <v>232</v>
      </c>
      <c r="AE359" s="3">
        <v>249</v>
      </c>
      <c r="AF359" s="3">
        <f>IF(ISERROR((VLOOKUP($A359,'SegEnds_NonXtal_BW#'!$A:$Z,22,FALSE)+VLOOKUP($A359,A:AL,31,FALSE)-50)),"-",(VLOOKUP($A359,'SegEnds_NonXtal_BW#'!$A:$Z,22,FALSE)+VLOOKUP($A359,A:AL,31,FALSE)-50))</f>
        <v>256</v>
      </c>
      <c r="AG359" s="3">
        <f>IF(ISERROR(VLOOKUP($A359,'SegEnds_NonXtal_BW#'!$A:$Z,23,FALSE)+VLOOKUP($A359,A:AL,34,FALSE)-50),"-",(VLOOKUP($A359,'SegEnds_NonXtal_BW#'!$A:$Z,23,FALSE)+VLOOKUP($A359,A:AL,34,FALSE)-50))</f>
        <v>267</v>
      </c>
      <c r="AH359" s="3">
        <v>284</v>
      </c>
      <c r="AI359" s="3">
        <f>IF(ISERROR((VLOOKUP($A359,'SegEnds_NonXtal_BW#'!$A:$Z,24,FALSE)+VLOOKUP($A359,A:AL,34,FALSE)-50)),"-",(VLOOKUP($A359,'SegEnds_NonXtal_BW#'!$A:$Z,24,FALSE)+VLOOKUP($A359,A:AL,34,FALSE)-50))</f>
        <v>298</v>
      </c>
      <c r="AJ359" s="3">
        <f>IF(ISERROR(VLOOKUP($A359,'SegEnds_NonXtal_BW#'!$A:$Z,25,FALSE)+VLOOKUP($A359,A:AL,37,FALSE)-50),"-",(VLOOKUP($A359,'SegEnds_NonXtal_BW#'!$A:$Z,25,FALSE)+VLOOKUP($A359,A:AL,37,FALSE)-50))</f>
        <v>300</v>
      </c>
      <c r="AK359" s="3">
        <v>304</v>
      </c>
      <c r="AL359" s="3">
        <f>IF(ISERROR((VLOOKUP($A359,'SegEnds_NonXtal_BW#'!$A:$Z,26,FALSE)+VLOOKUP($A359,A:AL,37,FALSE)-50)),"-",(VLOOKUP($A359,'SegEnds_NonXtal_BW#'!$A:$Z,26,FALSE)+VLOOKUP($A359,A:AL,37,FALSE)-50))</f>
        <v>311</v>
      </c>
      <c r="AM359" s="28" t="str">
        <f>VLOOKUP(A359,Classification!A:B,2,FALSE)</f>
        <v>C</v>
      </c>
      <c r="AN359" s="28" t="b">
        <f t="shared" si="243"/>
        <v>1</v>
      </c>
      <c r="AO359" s="3" t="str">
        <f>IF(ISERROR(MATCH(A359,'SegEnds_Xtal_Prot#'!B:B, 0)), "NoXtal", "Xtal")</f>
        <v>NoXtal</v>
      </c>
      <c r="AP359" s="3">
        <f t="shared" si="228"/>
        <v>1</v>
      </c>
      <c r="AQ359" s="3">
        <f t="shared" si="229"/>
        <v>1</v>
      </c>
      <c r="AR359" s="3" t="str">
        <f t="shared" si="230"/>
        <v>-</v>
      </c>
      <c r="AS359" s="3" t="str">
        <f t="shared" si="231"/>
        <v>-</v>
      </c>
      <c r="AT359" s="3" t="str">
        <f t="shared" si="232"/>
        <v>-</v>
      </c>
      <c r="AU359" s="3" t="str">
        <f t="shared" si="233"/>
        <v>-</v>
      </c>
      <c r="AV359" s="3">
        <f t="shared" si="234"/>
        <v>9</v>
      </c>
      <c r="AW359" s="3">
        <f t="shared" si="235"/>
        <v>1</v>
      </c>
      <c r="AX359" s="3">
        <f t="shared" si="236"/>
        <v>11</v>
      </c>
      <c r="AY359" s="3">
        <f t="shared" si="237"/>
        <v>11</v>
      </c>
      <c r="AZ359" s="3">
        <f t="shared" si="238"/>
        <v>2</v>
      </c>
      <c r="BA359" s="3">
        <f>IF(ISERROR(LEN(VLOOKUP(A359,Seqs!A:E,2,FALSE))-AL359),"-",LEN(VLOOKUP(A359,Seqs!A:E,2,FALSE))-AL359)</f>
        <v>92</v>
      </c>
      <c r="BB359" s="16">
        <f t="shared" si="239"/>
        <v>33</v>
      </c>
      <c r="BC359" s="9" t="str">
        <f t="shared" si="240"/>
        <v>-</v>
      </c>
      <c r="BD359" s="3">
        <f t="shared" si="241"/>
        <v>33</v>
      </c>
      <c r="BE359" s="3">
        <f t="shared" si="242"/>
        <v>39</v>
      </c>
    </row>
    <row r="360" spans="1:58" s="3" customFormat="1" x14ac:dyDescent="0.2">
      <c r="A360" s="3" t="s">
        <v>112</v>
      </c>
      <c r="B360" s="3" t="str">
        <f>LOWER(VLOOKUP(A360,Xtal_Templ!A:B,2,FALSE))</f>
        <v>grm1_human</v>
      </c>
      <c r="C360" s="3">
        <f>VLOOKUP($A360,'SegEnds_NonXtal_BW#'!$A:$Z,3,FALSE)+D360-50</f>
        <v>48</v>
      </c>
      <c r="D360" s="3">
        <v>64</v>
      </c>
      <c r="E360" s="3">
        <f>IF(ISERROR(VLOOKUP($A360,'SegEnds_NonXtal_BW#'!$A:$Z,4,FALSE)+VLOOKUP($A360,A:AL,4,FALSE)-50),"-",(VLOOKUP($A360,'SegEnds_NonXtal_BW#'!$A:$Z,4,FALSE)+VLOOKUP($A360,A:AL,4,FALSE)-50))</f>
        <v>74</v>
      </c>
      <c r="F360" s="3">
        <f t="shared" si="245"/>
        <v>75</v>
      </c>
      <c r="G360" s="3">
        <v>78</v>
      </c>
      <c r="H360" s="3">
        <f t="shared" si="246"/>
        <v>81</v>
      </c>
      <c r="I360" s="3">
        <f t="shared" si="247"/>
        <v>82</v>
      </c>
      <c r="J360" s="3">
        <v>97</v>
      </c>
      <c r="K360" s="3">
        <f>VLOOKUP($A360,'SegEnds_NonXtal_BW#'!$A:$Z,8,FALSE)+VLOOKUP($A360,A:AL,10,FALSE)-50</f>
        <v>108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113</v>
      </c>
      <c r="P360" s="3">
        <v>141</v>
      </c>
      <c r="Q360" s="3">
        <f>VLOOKUP($A360,'SegEnds_NonXtal_BW#'!$A:$Z,12,FALSE)+VLOOKUP($A360,A:AL,16,FALSE)-50</f>
        <v>145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152</v>
      </c>
      <c r="V360" s="3">
        <v>164</v>
      </c>
      <c r="W360" s="3">
        <f>IF(ISERROR(VLOOKUP($A360,'SegEnds_NonXtal_BW#'!$A:$Z,16,FALSE)+VLOOKUP($A360,A:AL,22,FALSE)-50),"-",(VLOOKUP($A360,'SegEnds_NonXtal_BW#'!$A:$Z,16,FALSE)+VLOOKUP($A360,A:AL,22,FALSE)-50))</f>
        <v>178</v>
      </c>
      <c r="X360" s="3">
        <f>IF(ISERROR(VLOOKUP($A360,'SegEnds_NonXtal_BW#'!$A:$Z,17,FALSE)+VLOOKUP($A360,A:AL,25,FALSE)-50),"-",(VLOOKUP($A360,'SegEnds_NonXtal_BW#'!$A:$Z,17,FALSE)+VLOOKUP($A360,A:AL,25,FALSE)-50))</f>
        <v>202</v>
      </c>
      <c r="Y360" s="3">
        <v>202</v>
      </c>
      <c r="Z360" s="3">
        <f>Y360+2</f>
        <v>204</v>
      </c>
      <c r="AA360" s="3">
        <f>IF(ISERROR(VLOOKUP($A360,'SegEnds_NonXtal_BW#'!$A:$Z,19,FALSE)+VLOOKUP($A360,A:AL,28,FALSE)-50),"-",(VLOOKUP($A360,'SegEnds_NonXtal_BW#'!$A:$Z,19,FALSE)+VLOOKUP($A360,A:AL,28,FALSE)-50))</f>
        <v>205</v>
      </c>
      <c r="AB360" s="3">
        <v>219</v>
      </c>
      <c r="AC360" s="3">
        <f>IF(ISERROR((VLOOKUP($A360,'SegEnds_NonXtal_BW#'!$A:$Z,20,FALSE)+VLOOKUP($A360,A:AL,28,FALSE)-50)),"-",(VLOOKUP($A360,'SegEnds_NonXtal_BW#'!$A:$Z,20,FALSE)+VLOOKUP($A360,A:AL,28,FALSE)-50))</f>
        <v>230</v>
      </c>
      <c r="AD360" s="3">
        <f>IF(ISERROR(VLOOKUP($A360,'SegEnds_NonXtal_BW#'!$A:$Z,21,FALSE)+VLOOKUP($A360,A:AL,31,FALSE)-50),"-",(VLOOKUP($A360,'SegEnds_NonXtal_BW#'!$A:$Z,21,FALSE)+VLOOKUP($A360,A:AL,31,FALSE)-50))</f>
        <v>241</v>
      </c>
      <c r="AE360" s="3">
        <v>258</v>
      </c>
      <c r="AF360" s="3">
        <f>IF(ISERROR((VLOOKUP($A360,'SegEnds_NonXtal_BW#'!$A:$Z,22,FALSE)+VLOOKUP($A360,A:AL,31,FALSE)-50)),"-",(VLOOKUP($A360,'SegEnds_NonXtal_BW#'!$A:$Z,22,FALSE)+VLOOKUP($A360,A:AL,31,FALSE)-50))</f>
        <v>265</v>
      </c>
      <c r="AG360" s="3">
        <f>IF(ISERROR(VLOOKUP($A360,'SegEnds_NonXtal_BW#'!$A:$Z,23,FALSE)+VLOOKUP($A360,A:AL,34,FALSE)-50),"-",(VLOOKUP($A360,'SegEnds_NonXtal_BW#'!$A:$Z,23,FALSE)+VLOOKUP($A360,A:AL,34,FALSE)-50))</f>
        <v>275</v>
      </c>
      <c r="AH360" s="3">
        <v>292</v>
      </c>
      <c r="AI360" s="3">
        <f>IF(ISERROR((VLOOKUP($A360,'SegEnds_NonXtal_BW#'!$A:$Z,24,FALSE)+VLOOKUP($A360,A:AL,34,FALSE)-50)),"-",(VLOOKUP($A360,'SegEnds_NonXtal_BW#'!$A:$Z,24,FALSE)+VLOOKUP($A360,A:AL,34,FALSE)-50))</f>
        <v>306</v>
      </c>
      <c r="AJ360" s="3">
        <f>IF(ISERROR(VLOOKUP($A360,'SegEnds_NonXtal_BW#'!$A:$Z,25,FALSE)+VLOOKUP($A360,A:AL,37,FALSE)-50),"-",(VLOOKUP($A360,'SegEnds_NonXtal_BW#'!$A:$Z,25,FALSE)+VLOOKUP($A360,A:AL,37,FALSE)-50))</f>
        <v>308</v>
      </c>
      <c r="AK360" s="3">
        <v>312</v>
      </c>
      <c r="AL360" s="3">
        <v>319</v>
      </c>
      <c r="AM360" s="28" t="str">
        <f>VLOOKUP(A360,Classification!A:B,2,FALSE)</f>
        <v>C</v>
      </c>
      <c r="AN360" s="28" t="b">
        <f t="shared" si="243"/>
        <v>1</v>
      </c>
      <c r="AO360" s="3" t="str">
        <f>IF(ISERROR(MATCH(A360,'SegEnds_Xtal_Prot#'!B:B, 0)), "NoXtal", "Xtal")</f>
        <v>NoXtal</v>
      </c>
      <c r="AP360" s="3">
        <f t="shared" si="228"/>
        <v>1</v>
      </c>
      <c r="AQ360" s="3">
        <f t="shared" si="229"/>
        <v>1</v>
      </c>
      <c r="AR360" s="3" t="str">
        <f t="shared" si="230"/>
        <v>-</v>
      </c>
      <c r="AS360" s="3" t="str">
        <f t="shared" si="231"/>
        <v>-</v>
      </c>
      <c r="AT360" s="3" t="str">
        <f t="shared" si="232"/>
        <v>-</v>
      </c>
      <c r="AU360" s="3" t="str">
        <f t="shared" si="233"/>
        <v>-</v>
      </c>
      <c r="AV360" s="3">
        <f t="shared" si="234"/>
        <v>24</v>
      </c>
      <c r="AW360" s="3">
        <f t="shared" si="235"/>
        <v>1</v>
      </c>
      <c r="AX360" s="3">
        <f t="shared" si="236"/>
        <v>11</v>
      </c>
      <c r="AY360" s="3">
        <f t="shared" si="237"/>
        <v>10</v>
      </c>
      <c r="AZ360" s="3">
        <f t="shared" si="238"/>
        <v>2</v>
      </c>
      <c r="BA360" s="3">
        <f>IF(ISERROR(LEN(VLOOKUP(A360,Seqs!A:E,2,FALSE))-AL360),"-",LEN(VLOOKUP(A360,Seqs!A:E,2,FALSE))-AL360)</f>
        <v>122</v>
      </c>
      <c r="BB360" s="16">
        <f t="shared" si="239"/>
        <v>33</v>
      </c>
      <c r="BC360" s="9" t="str">
        <f t="shared" si="240"/>
        <v>-</v>
      </c>
      <c r="BD360" s="3">
        <f t="shared" si="241"/>
        <v>33</v>
      </c>
      <c r="BE360" s="3">
        <f t="shared" si="242"/>
        <v>39</v>
      </c>
    </row>
    <row r="361" spans="1:58" s="3" customFormat="1" x14ac:dyDescent="0.2">
      <c r="A361" s="3" t="s">
        <v>113</v>
      </c>
      <c r="B361" s="3" t="str">
        <f>LOWER(VLOOKUP(A361,Xtal_Templ!A:B,2,FALSE))</f>
        <v>grm1_human</v>
      </c>
      <c r="C361" s="3">
        <f>VLOOKUP($A361,'SegEnds_NonXtal_BW#'!$A:$Z,3,FALSE)+D361-50</f>
        <v>21</v>
      </c>
      <c r="D361" s="3">
        <v>37</v>
      </c>
      <c r="E361" s="3">
        <f>IF(ISERROR(VLOOKUP($A361,'SegEnds_NonXtal_BW#'!$A:$Z,4,FALSE)+VLOOKUP($A361,A:AL,4,FALSE)-50),"-",(VLOOKUP($A361,'SegEnds_NonXtal_BW#'!$A:$Z,4,FALSE)+VLOOKUP($A361,A:AL,4,FALSE)-50))</f>
        <v>47</v>
      </c>
      <c r="F361" s="3">
        <f t="shared" si="245"/>
        <v>48</v>
      </c>
      <c r="G361" s="3">
        <v>51</v>
      </c>
      <c r="H361" s="3">
        <f t="shared" si="246"/>
        <v>54</v>
      </c>
      <c r="I361" s="3">
        <f t="shared" si="247"/>
        <v>55</v>
      </c>
      <c r="J361" s="3">
        <v>70</v>
      </c>
      <c r="K361" s="3">
        <f>VLOOKUP($A361,'SegEnds_NonXtal_BW#'!$A:$Z,8,FALSE)+VLOOKUP($A361,A:AL,10,FALSE)-50</f>
        <v>81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86</v>
      </c>
      <c r="P361" s="3">
        <v>114</v>
      </c>
      <c r="Q361" s="3">
        <f>VLOOKUP($A361,'SegEnds_NonXtal_BW#'!$A:$Z,12,FALSE)+VLOOKUP($A361,A:AL,16,FALSE)-50</f>
        <v>118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125</v>
      </c>
      <c r="V361" s="3">
        <v>137</v>
      </c>
      <c r="W361" s="3">
        <f>IF(ISERROR(VLOOKUP($A361,'SegEnds_NonXtal_BW#'!$A:$Z,16,FALSE)+VLOOKUP($A361,A:AL,22,FALSE)-50),"-",(VLOOKUP($A361,'SegEnds_NonXtal_BW#'!$A:$Z,16,FALSE)+VLOOKUP($A361,A:AL,22,FALSE)-50))</f>
        <v>151</v>
      </c>
      <c r="X361" s="3">
        <f>IF(ISERROR(VLOOKUP($A361,'SegEnds_NonXtal_BW#'!$A:$Z,17,FALSE)+VLOOKUP($A361,A:AL,25,FALSE)-50),"-",(VLOOKUP($A361,'SegEnds_NonXtal_BW#'!$A:$Z,17,FALSE)+VLOOKUP($A361,A:AL,25,FALSE)-50))</f>
        <v>164</v>
      </c>
      <c r="Y361" s="105">
        <v>164</v>
      </c>
      <c r="Z361" s="3">
        <f>IF(ISERROR(VLOOKUP($A361,'SegEnds_NonXtal_BW#'!$A:$Z,18,FALSE)+VLOOKUP($A361,A:AL,25,FALSE)-50),"-",(VLOOKUP($A361,'SegEnds_NonXtal_BW#'!$A:$Z,18,FALSE)+VLOOKUP($A361,A:AL,25,FALSE)-50))</f>
        <v>166</v>
      </c>
      <c r="AA361" s="105">
        <v>167</v>
      </c>
      <c r="AB361" s="3">
        <v>180</v>
      </c>
      <c r="AC361" s="3">
        <f>IF(ISERROR((VLOOKUP($A361,'SegEnds_NonXtal_BW#'!$A:$Z,20,FALSE)+VLOOKUP($A361,A:AL,28,FALSE)-50)),"-",(VLOOKUP($A361,'SegEnds_NonXtal_BW#'!$A:$Z,20,FALSE)+VLOOKUP($A361,A:AL,28,FALSE)-50))</f>
        <v>191</v>
      </c>
      <c r="AD361" s="3">
        <f>IF(ISERROR(VLOOKUP($A361,'SegEnds_NonXtal_BW#'!$A:$Z,21,FALSE)+VLOOKUP($A361,A:AL,31,FALSE)-50),"-",(VLOOKUP($A361,'SegEnds_NonXtal_BW#'!$A:$Z,21,FALSE)+VLOOKUP($A361,A:AL,31,FALSE)-50))</f>
        <v>202</v>
      </c>
      <c r="AE361" s="3">
        <v>219</v>
      </c>
      <c r="AF361" s="3">
        <f>IF(ISERROR((VLOOKUP($A361,'SegEnds_NonXtal_BW#'!$A:$Z,22,FALSE)+VLOOKUP($A361,A:AL,31,FALSE)-50)),"-",(VLOOKUP($A361,'SegEnds_NonXtal_BW#'!$A:$Z,22,FALSE)+VLOOKUP($A361,A:AL,31,FALSE)-50))</f>
        <v>226</v>
      </c>
      <c r="AG361" s="3">
        <f>IF(ISERROR(VLOOKUP($A361,'SegEnds_NonXtal_BW#'!$A:$Z,23,FALSE)+VLOOKUP($A361,A:AL,34,FALSE)-50),"-",(VLOOKUP($A361,'SegEnds_NonXtal_BW#'!$A:$Z,23,FALSE)+VLOOKUP($A361,A:AL,34,FALSE)-50))</f>
        <v>237</v>
      </c>
      <c r="AH361" s="3">
        <v>254</v>
      </c>
      <c r="AI361" s="3">
        <f>IF(ISERROR((VLOOKUP($A361,'SegEnds_NonXtal_BW#'!$A:$Z,24,FALSE)+VLOOKUP($A361,A:AL,34,FALSE)-50)),"-",(VLOOKUP($A361,'SegEnds_NonXtal_BW#'!$A:$Z,24,FALSE)+VLOOKUP($A361,A:AL,34,FALSE)-50))</f>
        <v>268</v>
      </c>
      <c r="AJ361" s="3">
        <f>IF(ISERROR(VLOOKUP($A361,'SegEnds_NonXtal_BW#'!$A:$Z,25,FALSE)+VLOOKUP($A361,A:AL,37,FALSE)-50),"-",(VLOOKUP($A361,'SegEnds_NonXtal_BW#'!$A:$Z,25,FALSE)+VLOOKUP($A361,A:AL,37,FALSE)-50))</f>
        <v>271</v>
      </c>
      <c r="AK361" s="3">
        <v>275</v>
      </c>
      <c r="AL361" s="3">
        <v>281</v>
      </c>
      <c r="AM361" s="28" t="str">
        <f>VLOOKUP(A361,Classification!A:B,2,FALSE)</f>
        <v>C</v>
      </c>
      <c r="AN361" s="28" t="b">
        <f t="shared" si="243"/>
        <v>1</v>
      </c>
      <c r="AO361" s="3" t="str">
        <f>IF(ISERROR(MATCH(A361,'SegEnds_Xtal_Prot#'!B:B, 0)), "NoXtal", "Xtal")</f>
        <v>NoXtal</v>
      </c>
      <c r="AP361" s="3">
        <f t="shared" si="228"/>
        <v>1</v>
      </c>
      <c r="AQ361" s="3">
        <f t="shared" si="229"/>
        <v>1</v>
      </c>
      <c r="AR361" s="3" t="str">
        <f t="shared" si="230"/>
        <v>-</v>
      </c>
      <c r="AS361" s="3" t="str">
        <f t="shared" si="231"/>
        <v>-</v>
      </c>
      <c r="AT361" s="3" t="str">
        <f t="shared" si="232"/>
        <v>-</v>
      </c>
      <c r="AU361" s="3" t="str">
        <f t="shared" si="233"/>
        <v>-</v>
      </c>
      <c r="AV361" s="3">
        <f t="shared" si="234"/>
        <v>13</v>
      </c>
      <c r="AW361" s="3">
        <f t="shared" si="235"/>
        <v>1</v>
      </c>
      <c r="AX361" s="3">
        <f t="shared" si="236"/>
        <v>11</v>
      </c>
      <c r="AY361" s="3">
        <f t="shared" si="237"/>
        <v>11</v>
      </c>
      <c r="AZ361" s="3">
        <f t="shared" si="238"/>
        <v>3</v>
      </c>
      <c r="BA361" s="3">
        <f>IF(ISERROR(LEN(VLOOKUP(A361,Seqs!A:E,2,FALSE))-AL361),"-",LEN(VLOOKUP(A361,Seqs!A:E,2,FALSE))-AL361)</f>
        <v>64</v>
      </c>
      <c r="BB361" s="16">
        <f t="shared" si="239"/>
        <v>33</v>
      </c>
      <c r="BC361" s="9" t="str">
        <f t="shared" si="240"/>
        <v>-</v>
      </c>
      <c r="BD361" s="3">
        <f t="shared" si="241"/>
        <v>33</v>
      </c>
      <c r="BE361" s="3">
        <f t="shared" si="242"/>
        <v>39</v>
      </c>
    </row>
    <row r="362" spans="1:58" s="3" customFormat="1" x14ac:dyDescent="0.2">
      <c r="A362" s="3" t="s">
        <v>114</v>
      </c>
      <c r="B362" s="3" t="str">
        <f>LOWER(VLOOKUP(A362,Xtal_Templ!A:B,2,FALSE))</f>
        <v>grm1_human</v>
      </c>
      <c r="C362" s="3">
        <f>VLOOKUP($A362,'SegEnds_NonXtal_BW#'!$A:$Z,3,FALSE)+D362-50</f>
        <v>592</v>
      </c>
      <c r="D362" s="3">
        <v>608</v>
      </c>
      <c r="E362" s="3">
        <f>IF(ISERROR(VLOOKUP($A362,'SegEnds_NonXtal_BW#'!$A:$Z,4,FALSE)+VLOOKUP($A362,A:AL,4,FALSE)-50),"-",(VLOOKUP($A362,'SegEnds_NonXtal_BW#'!$A:$Z,4,FALSE)+VLOOKUP($A362,A:AL,4,FALSE)-50))</f>
        <v>618</v>
      </c>
      <c r="F362" s="3">
        <f t="shared" si="245"/>
        <v>621</v>
      </c>
      <c r="G362" s="3">
        <v>624</v>
      </c>
      <c r="H362" s="3">
        <f t="shared" si="246"/>
        <v>627</v>
      </c>
      <c r="I362" s="3">
        <f t="shared" si="247"/>
        <v>628</v>
      </c>
      <c r="J362" s="3">
        <v>640</v>
      </c>
      <c r="K362" s="3">
        <f>VLOOKUP($A362,'SegEnds_NonXtal_BW#'!$A:$Z,8,FALSE)+VLOOKUP($A362,A:AL,10,FALSE)-50</f>
        <v>651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656</v>
      </c>
      <c r="P362" s="3">
        <v>684</v>
      </c>
      <c r="Q362" s="3">
        <f>VLOOKUP($A362,'SegEnds_NonXtal_BW#'!$A:$Z,12,FALSE)+VLOOKUP($A362,A:AL,16,FALSE)-50</f>
        <v>688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700</v>
      </c>
      <c r="V362" s="3">
        <v>712</v>
      </c>
      <c r="W362" s="3">
        <f>IF(ISERROR(VLOOKUP($A362,'SegEnds_NonXtal_BW#'!$A:$Z,16,FALSE)+VLOOKUP($A362,A:AL,22,FALSE)-50),"-",(VLOOKUP($A362,'SegEnds_NonXtal_BW#'!$A:$Z,16,FALSE)+VLOOKUP($A362,A:AL,22,FALSE)-50))</f>
        <v>726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ref="Z362:Z370" si="248">Y362+2</f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762</v>
      </c>
      <c r="AC362" s="3">
        <f>IF(ISERROR((VLOOKUP($A362,'SegEnds_NonXtal_BW#'!$A:$Z,20,FALSE)+VLOOKUP($A362,A:AL,28,FALSE)-50)),"-",(VLOOKUP($A362,'SegEnds_NonXtal_BW#'!$A:$Z,20,FALSE)+VLOOKUP($A362,A:AL,28,FALSE)-50))</f>
        <v>773</v>
      </c>
      <c r="AD362" s="3">
        <f>IF(ISERROR(VLOOKUP($A362,'SegEnds_NonXtal_BW#'!$A:$Z,21,FALSE)+VLOOKUP($A362,A:AL,31,FALSE)-50),"-",(VLOOKUP($A362,'SegEnds_NonXtal_BW#'!$A:$Z,21,FALSE)+VLOOKUP($A362,A:AL,31,FALSE)-50))</f>
        <v>780</v>
      </c>
      <c r="AE362" s="3">
        <v>797</v>
      </c>
      <c r="AF362" s="3">
        <f>IF(ISERROR((VLOOKUP($A362,'SegEnds_NonXtal_BW#'!$A:$Z,22,FALSE)+VLOOKUP($A362,A:AL,31,FALSE)-50)),"-",(VLOOKUP($A362,'SegEnds_NonXtal_BW#'!$A:$Z,22,FALSE)+VLOOKUP($A362,A:AL,31,FALSE)-50))</f>
        <v>804</v>
      </c>
      <c r="AG362" s="3">
        <f>IF(ISERROR(VLOOKUP($A362,'SegEnds_NonXtal_BW#'!$A:$Z,23,FALSE)+VLOOKUP($A362,A:AL,34,FALSE)-50),"-",(VLOOKUP($A362,'SegEnds_NonXtal_BW#'!$A:$Z,23,FALSE)+VLOOKUP($A362,A:AL,34,FALSE)-50))</f>
        <v>809</v>
      </c>
      <c r="AH362" s="3">
        <v>826</v>
      </c>
      <c r="AI362" s="3">
        <f>IF(ISERROR((VLOOKUP($A362,'SegEnds_NonXtal_BW#'!$A:$Z,24,FALSE)+VLOOKUP($A362,A:AL,34,FALSE)-50)),"-",(VLOOKUP($A362,'SegEnds_NonXtal_BW#'!$A:$Z,24,FALSE)+VLOOKUP($A362,A:AL,34,FALSE)-50))</f>
        <v>840</v>
      </c>
      <c r="AJ362" s="3">
        <f>IF(ISERROR(VLOOKUP($A362,'SegEnds_NonXtal_BW#'!$A:$Z,25,FALSE)+VLOOKUP($A362,A:AL,37,FALSE)-50),"-",(VLOOKUP($A362,'SegEnds_NonXtal_BW#'!$A:$Z,25,FALSE)+VLOOKUP($A362,A:AL,37,FALSE)-50))</f>
        <v>841</v>
      </c>
      <c r="AK362" s="3">
        <v>845</v>
      </c>
      <c r="AL362" s="3">
        <f>IF(ISERROR((VLOOKUP($A362,'SegEnds_NonXtal_BW#'!$A:$Z,26,FALSE)+VLOOKUP($A362,A:AL,37,FALSE)-50)),"-",(VLOOKUP($A362,'SegEnds_NonXtal_BW#'!$A:$Z,26,FALSE)+VLOOKUP($A362,A:AL,37,FALSE)-50))</f>
        <v>852</v>
      </c>
      <c r="AM362" s="28" t="str">
        <f>VLOOKUP(A362,Classification!A:B,2,FALSE)</f>
        <v>C</v>
      </c>
      <c r="AN362" s="28" t="b">
        <f t="shared" si="243"/>
        <v>1</v>
      </c>
      <c r="AO362" s="3" t="str">
        <f>IF(ISERROR(MATCH(A362,'SegEnds_Xtal_Prot#'!B:B, 0)), "NoXtal", "Xtal")</f>
        <v>NoXtal</v>
      </c>
      <c r="AP362" s="3">
        <f t="shared" si="228"/>
        <v>3</v>
      </c>
      <c r="AQ362" s="3">
        <f t="shared" si="229"/>
        <v>1</v>
      </c>
      <c r="AR362" s="3" t="str">
        <f t="shared" si="230"/>
        <v>-</v>
      </c>
      <c r="AS362" s="3" t="str">
        <f t="shared" si="231"/>
        <v>-</v>
      </c>
      <c r="AT362" s="3" t="str">
        <f t="shared" si="232"/>
        <v>-</v>
      </c>
      <c r="AU362" s="3" t="str">
        <f t="shared" si="233"/>
        <v>-</v>
      </c>
      <c r="AV362" s="3">
        <f t="shared" si="234"/>
        <v>18</v>
      </c>
      <c r="AW362" s="3">
        <f t="shared" si="235"/>
        <v>2</v>
      </c>
      <c r="AX362" s="3">
        <f t="shared" si="236"/>
        <v>7</v>
      </c>
      <c r="AY362" s="3">
        <f t="shared" si="237"/>
        <v>5</v>
      </c>
      <c r="AZ362" s="3">
        <f t="shared" si="238"/>
        <v>1</v>
      </c>
      <c r="BA362" s="3">
        <f>IF(ISERROR(LEN(VLOOKUP(A362,Seqs!A:E,2,FALSE))-AL362),"-",LEN(VLOOKUP(A362,Seqs!A:E,2,FALSE))-AL362)</f>
        <v>74</v>
      </c>
      <c r="BB362" s="16">
        <f t="shared" si="239"/>
        <v>32</v>
      </c>
      <c r="BC362" s="9" t="str">
        <f t="shared" si="240"/>
        <v>-</v>
      </c>
      <c r="BD362" s="3">
        <f t="shared" si="241"/>
        <v>32</v>
      </c>
      <c r="BE362" s="3">
        <f t="shared" si="242"/>
        <v>35</v>
      </c>
    </row>
    <row r="363" spans="1:58" s="3" customFormat="1" x14ac:dyDescent="0.2">
      <c r="A363" s="3" t="s">
        <v>40</v>
      </c>
      <c r="B363" s="3" t="str">
        <f>LOWER(VLOOKUP(A363,Xtal_Templ!A:B,2,FALSE))</f>
        <v>grm1_human</v>
      </c>
      <c r="C363" s="3">
        <f>VLOOKUP($A363,'SegEnds_NonXtal_BW#'!$A:$Z,3,FALSE)+D363-50</f>
        <v>591</v>
      </c>
      <c r="D363" s="3">
        <v>607</v>
      </c>
      <c r="E363" s="3">
        <f>IF(ISERROR(VLOOKUP($A363,'SegEnds_NonXtal_BW#'!$A:$Z,4,FALSE)+VLOOKUP($A363,A:AL,4,FALSE)-50),"-",(VLOOKUP($A363,'SegEnds_NonXtal_BW#'!$A:$Z,4,FALSE)+VLOOKUP($A363,A:AL,4,FALSE)-50))</f>
        <v>617</v>
      </c>
      <c r="F363" s="3">
        <f t="shared" si="245"/>
        <v>620</v>
      </c>
      <c r="G363" s="3">
        <v>623</v>
      </c>
      <c r="H363" s="3">
        <f t="shared" si="246"/>
        <v>626</v>
      </c>
      <c r="I363" s="3">
        <f t="shared" si="247"/>
        <v>627</v>
      </c>
      <c r="J363" s="3">
        <v>638</v>
      </c>
      <c r="K363" s="3">
        <f>VLOOKUP($A363,'SegEnds_NonXtal_BW#'!$A:$Z,8,FALSE)+VLOOKUP($A363,A:AL,10,FALSE)-50</f>
        <v>649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654</v>
      </c>
      <c r="P363" s="3">
        <v>682</v>
      </c>
      <c r="Q363" s="3">
        <f>VLOOKUP($A363,'SegEnds_NonXtal_BW#'!$A:$Z,12,FALSE)+VLOOKUP($A363,A:AL,16,FALSE)-50</f>
        <v>686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702</v>
      </c>
      <c r="V363" s="3">
        <v>714</v>
      </c>
      <c r="W363" s="3">
        <f>IF(ISERROR(VLOOKUP($A363,'SegEnds_NonXtal_BW#'!$A:$Z,16,FALSE)+VLOOKUP($A363,A:AL,22,FALSE)-50),"-",(VLOOKUP($A363,'SegEnds_NonXtal_BW#'!$A:$Z,16,FALSE)+VLOOKUP($A363,A:AL,22,FALSE)-50))</f>
        <v>728</v>
      </c>
      <c r="X363" s="3">
        <f>IF(ISERROR(VLOOKUP($A363,'SegEnds_NonXtal_BW#'!$A:$Z,17,FALSE)+VLOOKUP($A363,A:AL,25,FALSE)-50),"-",(VLOOKUP($A363,'SegEnds_NonXtal_BW#'!$A:$Z,17,FALSE)+VLOOKUP($A363,A:AL,25,FALSE)-50))</f>
        <v>746</v>
      </c>
      <c r="Y363" s="3">
        <v>746</v>
      </c>
      <c r="Z363" s="3">
        <f t="shared" si="248"/>
        <v>748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763</v>
      </c>
      <c r="AC363" s="3">
        <f>IF(ISERROR((VLOOKUP($A363,'SegEnds_NonXtal_BW#'!$A:$Z,20,FALSE)+VLOOKUP($A363,A:AL,28,FALSE)-50)),"-",(VLOOKUP($A363,'SegEnds_NonXtal_BW#'!$A:$Z,20,FALSE)+VLOOKUP($A363,A:AL,28,FALSE)-50))</f>
        <v>774</v>
      </c>
      <c r="AD363" s="3">
        <f>IF(ISERROR(VLOOKUP($A363,'SegEnds_NonXtal_BW#'!$A:$Z,21,FALSE)+VLOOKUP($A363,A:AL,31,FALSE)-50),"-",(VLOOKUP($A363,'SegEnds_NonXtal_BW#'!$A:$Z,21,FALSE)+VLOOKUP($A363,A:AL,31,FALSE)-50))</f>
        <v>783</v>
      </c>
      <c r="AE363" s="3">
        <v>800</v>
      </c>
      <c r="AF363" s="3">
        <f>IF(ISERROR((VLOOKUP($A363,'SegEnds_NonXtal_BW#'!$A:$Z,22,FALSE)+VLOOKUP($A363,A:AL,31,FALSE)-50)),"-",(VLOOKUP($A363,'SegEnds_NonXtal_BW#'!$A:$Z,22,FALSE)+VLOOKUP($A363,A:AL,31,FALSE)-50))</f>
        <v>807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827</v>
      </c>
      <c r="AI363" s="3">
        <f>IF(ISERROR((VLOOKUP($A363,'SegEnds_NonXtal_BW#'!$A:$Z,24,FALSE)+VLOOKUP($A363,A:AL,34,FALSE)-50)),"-",(VLOOKUP($A363,'SegEnds_NonXtal_BW#'!$A:$Z,24,FALSE)+VLOOKUP($A363,A:AL,34,FALSE)-50))</f>
        <v>841</v>
      </c>
      <c r="AJ363" s="3">
        <f>IF(ISERROR(VLOOKUP($A363,'SegEnds_NonXtal_BW#'!$A:$Z,25,FALSE)+VLOOKUP($A363,A:AL,37,FALSE)-50),"-",(VLOOKUP($A363,'SegEnds_NonXtal_BW#'!$A:$Z,25,FALSE)+VLOOKUP($A363,A:AL,37,FALSE)-50))</f>
        <v>842</v>
      </c>
      <c r="AK363" s="3">
        <v>846</v>
      </c>
      <c r="AL363" s="3">
        <f>IF(ISERROR((VLOOKUP($A363,'SegEnds_NonXtal_BW#'!$A:$Z,26,FALSE)+VLOOKUP($A363,A:AL,37,FALSE)-50)),"-",(VLOOKUP($A363,'SegEnds_NonXtal_BW#'!$A:$Z,26,FALSE)+VLOOKUP($A363,A:AL,37,FALSE)-50))</f>
        <v>853</v>
      </c>
      <c r="AM363" s="28" t="str">
        <f>VLOOKUP(A363,Classification!A:B,2,FALSE)</f>
        <v>C</v>
      </c>
      <c r="AN363" s="28" t="b">
        <f t="shared" si="243"/>
        <v>1</v>
      </c>
      <c r="AO363" s="3" t="str">
        <f>IF(ISERROR(MATCH(A363,'SegEnds_Xtal_Prot#'!B:B, 0)), "NoXtal", "Xtal")</f>
        <v>Xtal</v>
      </c>
      <c r="AP363" s="3">
        <f t="shared" si="228"/>
        <v>3</v>
      </c>
      <c r="AQ363" s="3">
        <f t="shared" si="229"/>
        <v>1</v>
      </c>
      <c r="AR363" s="3" t="str">
        <f t="shared" si="230"/>
        <v>-</v>
      </c>
      <c r="AS363" s="3" t="str">
        <f t="shared" si="231"/>
        <v>-</v>
      </c>
      <c r="AT363" s="3" t="str">
        <f t="shared" si="232"/>
        <v>-</v>
      </c>
      <c r="AU363" s="3" t="str">
        <f t="shared" si="233"/>
        <v>-</v>
      </c>
      <c r="AV363" s="3">
        <f t="shared" si="234"/>
        <v>18</v>
      </c>
      <c r="AW363" s="3">
        <f t="shared" si="235"/>
        <v>1</v>
      </c>
      <c r="AX363" s="3">
        <f t="shared" si="236"/>
        <v>9</v>
      </c>
      <c r="AY363" s="3">
        <f t="shared" si="237"/>
        <v>3</v>
      </c>
      <c r="AZ363" s="3">
        <f t="shared" si="238"/>
        <v>1</v>
      </c>
      <c r="BA363" s="3">
        <f>IF(ISERROR(LEN(VLOOKUP(A363,Seqs!A:E,2,FALSE))-AL363),"-",LEN(VLOOKUP(A363,Seqs!A:E,2,FALSE))-AL363)</f>
        <v>341</v>
      </c>
      <c r="BB363" s="16">
        <f t="shared" si="239"/>
        <v>31</v>
      </c>
      <c r="BC363" s="9" t="str">
        <f t="shared" si="240"/>
        <v>-</v>
      </c>
      <c r="BD363" s="3">
        <f t="shared" si="241"/>
        <v>31</v>
      </c>
      <c r="BE363" s="3">
        <f t="shared" si="242"/>
        <v>37</v>
      </c>
    </row>
    <row r="364" spans="1:58" s="3" customFormat="1" x14ac:dyDescent="0.2">
      <c r="A364" s="3" t="s">
        <v>115</v>
      </c>
      <c r="B364" s="3" t="str">
        <f>LOWER(VLOOKUP(A364,Xtal_Templ!A:B,2,FALSE))</f>
        <v>grm1_human</v>
      </c>
      <c r="C364" s="3">
        <f>VLOOKUP($A364,'SegEnds_NonXtal_BW#'!$A:$Z,3,FALSE)+D364-50</f>
        <v>566</v>
      </c>
      <c r="D364" s="3">
        <v>582</v>
      </c>
      <c r="E364" s="3">
        <f>IF(ISERROR(VLOOKUP($A364,'SegEnds_NonXtal_BW#'!$A:$Z,4,FALSE)+VLOOKUP($A364,A:AL,4,FALSE)-50),"-",(VLOOKUP($A364,'SegEnds_NonXtal_BW#'!$A:$Z,4,FALSE)+VLOOKUP($A364,A:AL,4,FALSE)-50))</f>
        <v>592</v>
      </c>
      <c r="F364" s="3">
        <f t="shared" si="245"/>
        <v>595</v>
      </c>
      <c r="G364" s="3">
        <v>598</v>
      </c>
      <c r="H364" s="3">
        <f t="shared" si="246"/>
        <v>601</v>
      </c>
      <c r="I364" s="3">
        <f t="shared" si="247"/>
        <v>602</v>
      </c>
      <c r="J364" s="3">
        <v>613</v>
      </c>
      <c r="K364" s="3">
        <f>VLOOKUP($A364,'SegEnds_NonXtal_BW#'!$A:$Z,8,FALSE)+VLOOKUP($A364,A:AL,10,FALSE)-50</f>
        <v>624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629</v>
      </c>
      <c r="P364" s="3">
        <v>657</v>
      </c>
      <c r="Q364" s="3">
        <f>VLOOKUP($A364,'SegEnds_NonXtal_BW#'!$A:$Z,12,FALSE)+VLOOKUP($A364,A:AL,16,FALSE)-50</f>
        <v>661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721</v>
      </c>
      <c r="Y364" s="3">
        <v>721</v>
      </c>
      <c r="Z364" s="3">
        <f t="shared" si="248"/>
        <v>723</v>
      </c>
      <c r="AA364" s="3">
        <f>IF(ISERROR(VLOOKUP($A364,'SegEnds_NonXtal_BW#'!$A:$Z,19,FALSE)+VLOOKUP($A364,A:AL,28,FALSE)-50),"-",(VLOOKUP($A364,'SegEnds_NonXtal_BW#'!$A:$Z,19,FALSE)+VLOOKUP($A364,A:AL,28,FALSE)-50))</f>
        <v>724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789</v>
      </c>
      <c r="AH364" s="3">
        <v>806</v>
      </c>
      <c r="AI364" s="3">
        <f>IF(ISERROR((VLOOKUP($A364,'SegEnds_NonXtal_BW#'!$A:$Z,24,FALSE)+VLOOKUP($A364,A:AL,34,FALSE)-50)),"-",(VLOOKUP($A364,'SegEnds_NonXtal_BW#'!$A:$Z,24,FALSE)+VLOOKUP($A364,A:AL,34,FALSE)-50))</f>
        <v>820</v>
      </c>
      <c r="AJ364" s="3">
        <f>IF(ISERROR(VLOOKUP($A364,'SegEnds_NonXtal_BW#'!$A:$Z,25,FALSE)+VLOOKUP($A364,A:AL,37,FALSE)-50),"-",(VLOOKUP($A364,'SegEnds_NonXtal_BW#'!$A:$Z,25,FALSE)+VLOOKUP($A364,A:AL,37,FALSE)-50))</f>
        <v>821</v>
      </c>
      <c r="AK364" s="3">
        <v>825</v>
      </c>
      <c r="AL364" s="3">
        <f>IF(ISERROR((VLOOKUP($A364,'SegEnds_NonXtal_BW#'!$A:$Z,26,FALSE)+VLOOKUP($A364,A:AL,37,FALSE)-50)),"-",(VLOOKUP($A364,'SegEnds_NonXtal_BW#'!$A:$Z,26,FALSE)+VLOOKUP($A364,A:AL,37,FALSE)-50))</f>
        <v>832</v>
      </c>
      <c r="AM364" s="28" t="str">
        <f>VLOOKUP(A364,Classification!A:B,2,FALSE)</f>
        <v>C</v>
      </c>
      <c r="AN364" s="28" t="b">
        <f t="shared" si="243"/>
        <v>1</v>
      </c>
      <c r="AO364" s="3" t="str">
        <f>IF(ISERROR(MATCH(A364,'SegEnds_Xtal_Prot#'!B:B, 0)), "NoXtal", "Xtal")</f>
        <v>NoXtal</v>
      </c>
      <c r="AP364" s="3">
        <f t="shared" si="228"/>
        <v>3</v>
      </c>
      <c r="AQ364" s="3">
        <f t="shared" si="229"/>
        <v>1</v>
      </c>
      <c r="AR364" s="3" t="str">
        <f t="shared" si="230"/>
        <v>-</v>
      </c>
      <c r="AS364" s="3" t="str">
        <f t="shared" si="231"/>
        <v>-</v>
      </c>
      <c r="AT364" s="3" t="str">
        <f t="shared" si="232"/>
        <v>-</v>
      </c>
      <c r="AU364" s="3" t="str">
        <f t="shared" si="233"/>
        <v>-</v>
      </c>
      <c r="AV364" s="3">
        <f t="shared" si="234"/>
        <v>20</v>
      </c>
      <c r="AW364" s="3">
        <f t="shared" si="235"/>
        <v>1</v>
      </c>
      <c r="AX364" s="3">
        <f t="shared" si="236"/>
        <v>9</v>
      </c>
      <c r="AY364" s="3">
        <f t="shared" si="237"/>
        <v>7</v>
      </c>
      <c r="AZ364" s="3">
        <f t="shared" si="238"/>
        <v>1</v>
      </c>
      <c r="BA364" s="3">
        <f>IF(ISERROR(LEN(VLOOKUP(A364,Seqs!A:E,2,FALSE))-AL364),"-",LEN(VLOOKUP(A364,Seqs!A:E,2,FALSE))-AL364)</f>
        <v>40</v>
      </c>
      <c r="BB364" s="16">
        <f t="shared" si="239"/>
        <v>31</v>
      </c>
      <c r="BC364" s="9" t="str">
        <f t="shared" si="240"/>
        <v>-</v>
      </c>
      <c r="BD364" s="3">
        <f t="shared" si="241"/>
        <v>31</v>
      </c>
      <c r="BE364" s="3">
        <f t="shared" si="242"/>
        <v>37</v>
      </c>
    </row>
    <row r="365" spans="1:58" s="3" customFormat="1" x14ac:dyDescent="0.2">
      <c r="A365" s="3" t="s">
        <v>116</v>
      </c>
      <c r="B365" s="3" t="str">
        <f>LOWER(VLOOKUP(A365,Xtal_Templ!A:B,2,FALSE))</f>
        <v>grm5_human</v>
      </c>
      <c r="C365" s="3">
        <f>VLOOKUP($A365,'SegEnds_NonXtal_BW#'!$A:$Z,3,FALSE)+D365-50</f>
        <v>575</v>
      </c>
      <c r="D365" s="3">
        <v>591</v>
      </c>
      <c r="E365" s="3">
        <f>IF(ISERROR(VLOOKUP($A365,'SegEnds_NonXtal_BW#'!$A:$Z,4,FALSE)+VLOOKUP($A365,A:AL,4,FALSE)-50),"-",(VLOOKUP($A365,'SegEnds_NonXtal_BW#'!$A:$Z,4,FALSE)+VLOOKUP($A365,A:AL,4,FALSE)-50))</f>
        <v>601</v>
      </c>
      <c r="F365" s="3">
        <f t="shared" si="245"/>
        <v>604</v>
      </c>
      <c r="G365" s="3">
        <v>607</v>
      </c>
      <c r="H365" s="3">
        <f t="shared" si="246"/>
        <v>610</v>
      </c>
      <c r="I365" s="3">
        <f t="shared" si="247"/>
        <v>611</v>
      </c>
      <c r="J365" s="3">
        <v>622</v>
      </c>
      <c r="K365" s="3">
        <f>VLOOKUP($A365,'SegEnds_NonXtal_BW#'!$A:$Z,8,FALSE)+VLOOKUP($A365,A:AL,10,FALSE)-50</f>
        <v>633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637</v>
      </c>
      <c r="P365" s="3">
        <v>666</v>
      </c>
      <c r="Q365" s="3">
        <f>VLOOKUP($A365,'SegEnds_NonXtal_BW#'!$A:$Z,12,FALSE)+VLOOKUP($A365,A:AL,16,FALSE)-50</f>
        <v>670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684</v>
      </c>
      <c r="V365" s="3">
        <v>696</v>
      </c>
      <c r="W365" s="3">
        <f>IF(ISERROR(VLOOKUP($A365,'SegEnds_NonXtal_BW#'!$A:$Z,16,FALSE)+VLOOKUP($A365,A:AL,22,FALSE)-50),"-",(VLOOKUP($A365,'SegEnds_NonXtal_BW#'!$A:$Z,16,FALSE)+VLOOKUP($A365,A:AL,22,FALSE)-50))</f>
        <v>710</v>
      </c>
      <c r="X365" s="3">
        <f>IF(ISERROR(VLOOKUP($A365,'SegEnds_NonXtal_BW#'!$A:$Z,17,FALSE)+VLOOKUP($A365,A:AL,25,FALSE)-50),"-",(VLOOKUP($A365,'SegEnds_NonXtal_BW#'!$A:$Z,17,FALSE)+VLOOKUP($A365,A:AL,25,FALSE)-50))</f>
        <v>730</v>
      </c>
      <c r="Y365" s="3">
        <v>730</v>
      </c>
      <c r="Z365" s="3">
        <f t="shared" si="248"/>
        <v>732</v>
      </c>
      <c r="AA365" s="3">
        <f>IF(ISERROR(VLOOKUP($A365,'SegEnds_NonXtal_BW#'!$A:$Z,19,FALSE)+VLOOKUP($A365,A:AL,28,FALSE)-50),"-",(VLOOKUP($A365,'SegEnds_NonXtal_BW#'!$A:$Z,19,FALSE)+VLOOKUP($A365,A:AL,28,FALSE)-50))</f>
        <v>733</v>
      </c>
      <c r="AB365" s="3">
        <v>747</v>
      </c>
      <c r="AC365" s="3">
        <f>IF(ISERROR((VLOOKUP($A365,'SegEnds_NonXtal_BW#'!$A:$Z,20,FALSE)+VLOOKUP($A365,A:AL,28,FALSE)-50)),"-",(VLOOKUP($A365,'SegEnds_NonXtal_BW#'!$A:$Z,20,FALSE)+VLOOKUP($A365,A:AL,28,FALSE)-50))</f>
        <v>758</v>
      </c>
      <c r="AD365" s="3">
        <f>IF(ISERROR(VLOOKUP($A365,'SegEnds_NonXtal_BW#'!$A:$Z,21,FALSE)+VLOOKUP($A365,A:AL,31,FALSE)-50),"-",(VLOOKUP($A365,'SegEnds_NonXtal_BW#'!$A:$Z,21,FALSE)+VLOOKUP($A365,A:AL,31,FALSE)-50))</f>
        <v>767</v>
      </c>
      <c r="AE365" s="3">
        <v>784</v>
      </c>
      <c r="AF365" s="3">
        <f>IF(ISERROR((VLOOKUP($A365,'SegEnds_NonXtal_BW#'!$A:$Z,22,FALSE)+VLOOKUP($A365,A:AL,31,FALSE)-50)),"-",(VLOOKUP($A365,'SegEnds_NonXtal_BW#'!$A:$Z,22,FALSE)+VLOOKUP($A365,A:AL,31,FALSE)-50))</f>
        <v>791</v>
      </c>
      <c r="AG365" s="3">
        <f>IF(ISERROR(VLOOKUP($A365,'SegEnds_NonXtal_BW#'!$A:$Z,23,FALSE)+VLOOKUP($A365,A:AL,34,FALSE)-50),"-",(VLOOKUP($A365,'SegEnds_NonXtal_BW#'!$A:$Z,23,FALSE)+VLOOKUP($A365,A:AL,34,FALSE)-50))</f>
        <v>798</v>
      </c>
      <c r="AH365" s="3">
        <v>815</v>
      </c>
      <c r="AI365" s="3">
        <f>IF(ISERROR((VLOOKUP($A365,'SegEnds_NonXtal_BW#'!$A:$Z,24,FALSE)+VLOOKUP($A365,A:AL,34,FALSE)-50)),"-",(VLOOKUP($A365,'SegEnds_NonXtal_BW#'!$A:$Z,24,FALSE)+VLOOKUP($A365,A:AL,34,FALSE)-50))</f>
        <v>829</v>
      </c>
      <c r="AJ365" s="3">
        <f>IF(ISERROR(VLOOKUP($A365,'SegEnds_NonXtal_BW#'!$A:$Z,25,FALSE)+VLOOKUP($A365,A:AL,37,FALSE)-50),"-",(VLOOKUP($A365,'SegEnds_NonXtal_BW#'!$A:$Z,25,FALSE)+VLOOKUP($A365,A:AL,37,FALSE)-50))</f>
        <v>830</v>
      </c>
      <c r="AK365" s="3">
        <v>834</v>
      </c>
      <c r="AL365" s="3">
        <f>IF(ISERROR((VLOOKUP($A365,'SegEnds_NonXtal_BW#'!$A:$Z,26,FALSE)+VLOOKUP($A365,A:AL,37,FALSE)-50)),"-",(VLOOKUP($A365,'SegEnds_NonXtal_BW#'!$A:$Z,26,FALSE)+VLOOKUP($A365,A:AL,37,FALSE)-50))</f>
        <v>841</v>
      </c>
      <c r="AM365" s="28" t="str">
        <f>VLOOKUP(A365,Classification!A:B,2,FALSE)</f>
        <v>C</v>
      </c>
      <c r="AN365" s="28" t="b">
        <f t="shared" si="243"/>
        <v>1</v>
      </c>
      <c r="AO365" s="3" t="str">
        <f>IF(ISERROR(MATCH(A365,'SegEnds_Xtal_Prot#'!B:B, 0)), "NoXtal", "Xtal")</f>
        <v>NoXtal</v>
      </c>
      <c r="AP365" s="3">
        <f t="shared" si="228"/>
        <v>3</v>
      </c>
      <c r="AQ365" s="3">
        <f t="shared" si="229"/>
        <v>1</v>
      </c>
      <c r="AR365" s="3" t="str">
        <f t="shared" si="230"/>
        <v>-</v>
      </c>
      <c r="AS365" s="3" t="str">
        <f t="shared" si="231"/>
        <v>-</v>
      </c>
      <c r="AT365" s="3" t="str">
        <f t="shared" si="232"/>
        <v>-</v>
      </c>
      <c r="AU365" s="3" t="str">
        <f t="shared" si="233"/>
        <v>-</v>
      </c>
      <c r="AV365" s="3">
        <f t="shared" si="234"/>
        <v>20</v>
      </c>
      <c r="AW365" s="3">
        <f t="shared" si="235"/>
        <v>1</v>
      </c>
      <c r="AX365" s="3">
        <f t="shared" si="236"/>
        <v>9</v>
      </c>
      <c r="AY365" s="3">
        <f t="shared" si="237"/>
        <v>7</v>
      </c>
      <c r="AZ365" s="3">
        <f t="shared" si="238"/>
        <v>1</v>
      </c>
      <c r="BA365" s="3">
        <f>IF(ISERROR(LEN(VLOOKUP(A365,Seqs!A:E,2,FALSE))-AL365),"-",LEN(VLOOKUP(A365,Seqs!A:E,2,FALSE))-AL365)</f>
        <v>38</v>
      </c>
      <c r="BB365" s="16">
        <f t="shared" si="239"/>
        <v>31</v>
      </c>
      <c r="BC365" s="9" t="str">
        <f t="shared" si="240"/>
        <v>-</v>
      </c>
      <c r="BD365" s="3">
        <f t="shared" si="241"/>
        <v>31</v>
      </c>
      <c r="BE365" s="3">
        <f t="shared" si="242"/>
        <v>37</v>
      </c>
    </row>
    <row r="366" spans="1:58" s="3" customFormat="1" x14ac:dyDescent="0.2">
      <c r="A366" s="3" t="s">
        <v>117</v>
      </c>
      <c r="B366" s="3" t="str">
        <f>LOWER(VLOOKUP(A366,Xtal_Templ!A:B,2,FALSE))</f>
        <v>grm5_human</v>
      </c>
      <c r="C366" s="3">
        <f>VLOOKUP($A366,'SegEnds_NonXtal_BW#'!$A:$Z,3,FALSE)+D366-50</f>
        <v>586</v>
      </c>
      <c r="D366" s="3">
        <v>602</v>
      </c>
      <c r="E366" s="3">
        <f>IF(ISERROR(VLOOKUP($A366,'SegEnds_NonXtal_BW#'!$A:$Z,4,FALSE)+VLOOKUP($A366,A:AL,4,FALSE)-50),"-",(VLOOKUP($A366,'SegEnds_NonXtal_BW#'!$A:$Z,4,FALSE)+VLOOKUP($A366,A:AL,4,FALSE)-50))</f>
        <v>612</v>
      </c>
      <c r="F366" s="3">
        <f t="shared" si="245"/>
        <v>615</v>
      </c>
      <c r="G366" s="3">
        <v>618</v>
      </c>
      <c r="H366" s="3">
        <f t="shared" si="246"/>
        <v>621</v>
      </c>
      <c r="I366" s="3">
        <f t="shared" si="247"/>
        <v>622</v>
      </c>
      <c r="J366" s="3">
        <v>633</v>
      </c>
      <c r="K366" s="3">
        <f>VLOOKUP($A366,'SegEnds_NonXtal_BW#'!$A:$Z,8,FALSE)+VLOOKUP($A366,A:AL,10,FALSE)-50</f>
        <v>644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648</v>
      </c>
      <c r="P366" s="3">
        <v>677</v>
      </c>
      <c r="Q366" s="3">
        <f>VLOOKUP($A366,'SegEnds_NonXtal_BW#'!$A:$Z,12,FALSE)+VLOOKUP($A366,A:AL,16,FALSE)-50</f>
        <v>681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695</v>
      </c>
      <c r="V366" s="3">
        <v>707</v>
      </c>
      <c r="W366" s="3">
        <f>IF(ISERROR(VLOOKUP($A366,'SegEnds_NonXtal_BW#'!$A:$Z,16,FALSE)+VLOOKUP($A366,A:AL,22,FALSE)-50),"-",(VLOOKUP($A366,'SegEnds_NonXtal_BW#'!$A:$Z,16,FALSE)+VLOOKUP($A366,A:AL,22,FALSE)-50))</f>
        <v>721</v>
      </c>
      <c r="X366" s="3">
        <f>IF(ISERROR(VLOOKUP($A366,'SegEnds_NonXtal_BW#'!$A:$Z,17,FALSE)+VLOOKUP($A366,A:AL,25,FALSE)-50),"-",(VLOOKUP($A366,'SegEnds_NonXtal_BW#'!$A:$Z,17,FALSE)+VLOOKUP($A366,A:AL,25,FALSE)-50))</f>
        <v>746</v>
      </c>
      <c r="Y366" s="3">
        <v>746</v>
      </c>
      <c r="Z366" s="3">
        <f t="shared" si="248"/>
        <v>748</v>
      </c>
      <c r="AA366" s="3">
        <f>IF(ISERROR(VLOOKUP($A366,'SegEnds_NonXtal_BW#'!$A:$Z,19,FALSE)+VLOOKUP($A366,A:AL,28,FALSE)-50),"-",(VLOOKUP($A366,'SegEnds_NonXtal_BW#'!$A:$Z,19,FALSE)+VLOOKUP($A366,A:AL,28,FALSE)-50))</f>
        <v>749</v>
      </c>
      <c r="AB366" s="3">
        <v>763</v>
      </c>
      <c r="AC366" s="3">
        <f>IF(ISERROR((VLOOKUP($A366,'SegEnds_NonXtal_BW#'!$A:$Z,20,FALSE)+VLOOKUP($A366,A:AL,28,FALSE)-50)),"-",(VLOOKUP($A366,'SegEnds_NonXtal_BW#'!$A:$Z,20,FALSE)+VLOOKUP($A366,A:AL,28,FALSE)-50))</f>
        <v>774</v>
      </c>
      <c r="AD366" s="3">
        <f>IF(ISERROR(VLOOKUP($A366,'SegEnds_NonXtal_BW#'!$A:$Z,21,FALSE)+VLOOKUP($A366,A:AL,31,FALSE)-50),"-",(VLOOKUP($A366,'SegEnds_NonXtal_BW#'!$A:$Z,21,FALSE)+VLOOKUP($A366,A:AL,31,FALSE)-50))</f>
        <v>783</v>
      </c>
      <c r="AE366" s="3">
        <v>800</v>
      </c>
      <c r="AF366" s="3">
        <f>IF(ISERROR((VLOOKUP($A366,'SegEnds_NonXtal_BW#'!$A:$Z,22,FALSE)+VLOOKUP($A366,A:AL,31,FALSE)-50)),"-",(VLOOKUP($A366,'SegEnds_NonXtal_BW#'!$A:$Z,22,FALSE)+VLOOKUP($A366,A:AL,31,FALSE)-50))</f>
        <v>807</v>
      </c>
      <c r="AG366" s="3">
        <f>IF(ISERROR(VLOOKUP($A366,'SegEnds_NonXtal_BW#'!$A:$Z,23,FALSE)+VLOOKUP($A366,A:AL,34,FALSE)-50),"-",(VLOOKUP($A366,'SegEnds_NonXtal_BW#'!$A:$Z,23,FALSE)+VLOOKUP($A366,A:AL,34,FALSE)-50))</f>
        <v>817</v>
      </c>
      <c r="AH366" s="3">
        <v>834</v>
      </c>
      <c r="AI366" s="3">
        <f>IF(ISERROR((VLOOKUP($A366,'SegEnds_NonXtal_BW#'!$A:$Z,24,FALSE)+VLOOKUP($A366,A:AL,34,FALSE)-50)),"-",(VLOOKUP($A366,'SegEnds_NonXtal_BW#'!$A:$Z,24,FALSE)+VLOOKUP($A366,A:AL,34,FALSE)-50))</f>
        <v>848</v>
      </c>
      <c r="AJ366" s="3">
        <f>IF(ISERROR(VLOOKUP($A366,'SegEnds_NonXtal_BW#'!$A:$Z,25,FALSE)+VLOOKUP($A366,A:AL,37,FALSE)-50),"-",(VLOOKUP($A366,'SegEnds_NonXtal_BW#'!$A:$Z,25,FALSE)+VLOOKUP($A366,A:AL,37,FALSE)-50))</f>
        <v>849</v>
      </c>
      <c r="AK366" s="3">
        <v>853</v>
      </c>
      <c r="AL366" s="3">
        <f>IF(ISERROR((VLOOKUP($A366,'SegEnds_NonXtal_BW#'!$A:$Z,26,FALSE)+VLOOKUP($A366,A:AL,37,FALSE)-50)),"-",(VLOOKUP($A366,'SegEnds_NonXtal_BW#'!$A:$Z,26,FALSE)+VLOOKUP($A366,A:AL,37,FALSE)-50))</f>
        <v>860</v>
      </c>
      <c r="AM366" s="28" t="str">
        <f>VLOOKUP(A366,Classification!A:B,2,FALSE)</f>
        <v>C</v>
      </c>
      <c r="AN366" s="28" t="b">
        <f t="shared" si="243"/>
        <v>1</v>
      </c>
      <c r="AO366" s="3" t="str">
        <f>IF(ISERROR(MATCH(A366,'SegEnds_Xtal_Prot#'!B:B, 0)), "NoXtal", "Xtal")</f>
        <v>NoXtal</v>
      </c>
      <c r="AP366" s="3">
        <f t="shared" si="228"/>
        <v>3</v>
      </c>
      <c r="AQ366" s="3">
        <f t="shared" si="229"/>
        <v>1</v>
      </c>
      <c r="AR366" s="3" t="str">
        <f t="shared" si="230"/>
        <v>-</v>
      </c>
      <c r="AS366" s="3" t="str">
        <f t="shared" si="231"/>
        <v>-</v>
      </c>
      <c r="AT366" s="3" t="str">
        <f t="shared" si="232"/>
        <v>-</v>
      </c>
      <c r="AU366" s="3" t="str">
        <f t="shared" si="233"/>
        <v>-</v>
      </c>
      <c r="AV366" s="3">
        <f t="shared" si="234"/>
        <v>25</v>
      </c>
      <c r="AW366" s="3">
        <f t="shared" si="235"/>
        <v>1</v>
      </c>
      <c r="AX366" s="3">
        <f t="shared" si="236"/>
        <v>9</v>
      </c>
      <c r="AY366" s="3">
        <f t="shared" si="237"/>
        <v>10</v>
      </c>
      <c r="AZ366" s="3">
        <f t="shared" si="238"/>
        <v>1</v>
      </c>
      <c r="BA366" s="3">
        <f>IF(ISERROR(LEN(VLOOKUP(A366,Seqs!A:E,2,FALSE))-AL366),"-",LEN(VLOOKUP(A366,Seqs!A:E,2,FALSE))-AL366)</f>
        <v>52</v>
      </c>
      <c r="BB366" s="16">
        <f t="shared" si="239"/>
        <v>31</v>
      </c>
      <c r="BC366" s="9" t="str">
        <f t="shared" si="240"/>
        <v>-</v>
      </c>
      <c r="BD366" s="3">
        <f t="shared" si="241"/>
        <v>31</v>
      </c>
      <c r="BE366" s="3">
        <f t="shared" si="242"/>
        <v>37</v>
      </c>
    </row>
    <row r="367" spans="1:58" s="3" customFormat="1" x14ac:dyDescent="0.2">
      <c r="A367" s="3" t="s">
        <v>41</v>
      </c>
      <c r="B367" s="3" t="str">
        <f>LOWER(VLOOKUP(A367,Xtal_Templ!A:B,2,FALSE))</f>
        <v>grm5_human</v>
      </c>
      <c r="C367" s="3">
        <f>VLOOKUP($A367,'SegEnds_NonXtal_BW#'!$A:$Z,3,FALSE)+D367-50</f>
        <v>578</v>
      </c>
      <c r="D367" s="3">
        <v>594</v>
      </c>
      <c r="E367" s="3">
        <f>IF(ISERROR(VLOOKUP($A367,'SegEnds_NonXtal_BW#'!$A:$Z,4,FALSE)+VLOOKUP($A367,A:AL,4,FALSE)-50),"-",(VLOOKUP($A367,'SegEnds_NonXtal_BW#'!$A:$Z,4,FALSE)+VLOOKUP($A367,A:AL,4,FALSE)-50))</f>
        <v>604</v>
      </c>
      <c r="F367" s="3">
        <f t="shared" si="245"/>
        <v>607</v>
      </c>
      <c r="G367" s="3">
        <v>610</v>
      </c>
      <c r="H367" s="3">
        <f t="shared" si="246"/>
        <v>613</v>
      </c>
      <c r="I367" s="3">
        <f t="shared" si="247"/>
        <v>614</v>
      </c>
      <c r="J367" s="3">
        <v>625</v>
      </c>
      <c r="K367" s="3">
        <f>VLOOKUP($A367,'SegEnds_NonXtal_BW#'!$A:$Z,8,FALSE)+VLOOKUP($A367,A:AL,10,FALSE)-50</f>
        <v>636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640</v>
      </c>
      <c r="P367" s="3">
        <v>669</v>
      </c>
      <c r="Q367" s="3">
        <f>VLOOKUP($A367,'SegEnds_NonXtal_BW#'!$A:$Z,12,FALSE)+VLOOKUP($A367,A:AL,16,FALSE)-50</f>
        <v>673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689</v>
      </c>
      <c r="V367" s="3">
        <v>701</v>
      </c>
      <c r="W367" s="3">
        <f>IF(ISERROR(VLOOKUP($A367,'SegEnds_NonXtal_BW#'!$A:$Z,16,FALSE)+VLOOKUP($A367,A:AL,22,FALSE)-50),"-",(VLOOKUP($A367,'SegEnds_NonXtal_BW#'!$A:$Z,16,FALSE)+VLOOKUP($A367,A:AL,22,FALSE)-50))</f>
        <v>715</v>
      </c>
      <c r="X367" s="3">
        <f>IF(ISERROR(VLOOKUP($A367,'SegEnds_NonXtal_BW#'!$A:$Z,17,FALSE)+VLOOKUP($A367,A:AL,25,FALSE)-50),"-",(VLOOKUP($A367,'SegEnds_NonXtal_BW#'!$A:$Z,17,FALSE)+VLOOKUP($A367,A:AL,25,FALSE)-50))</f>
        <v>733</v>
      </c>
      <c r="Y367" s="3">
        <v>733</v>
      </c>
      <c r="Z367" s="3">
        <f t="shared" si="248"/>
        <v>735</v>
      </c>
      <c r="AA367" s="3">
        <f>IF(ISERROR(VLOOKUP($A367,'SegEnds_NonXtal_BW#'!$A:$Z,19,FALSE)+VLOOKUP($A367,A:AL,28,FALSE)-50),"-",(VLOOKUP($A367,'SegEnds_NonXtal_BW#'!$A:$Z,19,FALSE)+VLOOKUP($A367,A:AL,28,FALSE)-50))</f>
        <v>736</v>
      </c>
      <c r="AB367" s="3">
        <v>750</v>
      </c>
      <c r="AC367" s="3">
        <f>IF(ISERROR((VLOOKUP($A367,'SegEnds_NonXtal_BW#'!$A:$Z,20,FALSE)+VLOOKUP($A367,A:AL,28,FALSE)-50)),"-",(VLOOKUP($A367,'SegEnds_NonXtal_BW#'!$A:$Z,20,FALSE)+VLOOKUP($A367,A:AL,28,FALSE)-50))</f>
        <v>761</v>
      </c>
      <c r="AD367" s="3">
        <f>IF(ISERROR(VLOOKUP($A367,'SegEnds_NonXtal_BW#'!$A:$Z,21,FALSE)+VLOOKUP($A367,A:AL,31,FALSE)-50),"-",(VLOOKUP($A367,'SegEnds_NonXtal_BW#'!$A:$Z,21,FALSE)+VLOOKUP($A367,A:AL,31,FALSE)-50))</f>
        <v>770</v>
      </c>
      <c r="AE367" s="3">
        <v>787</v>
      </c>
      <c r="AF367" s="3">
        <f>IF(ISERROR((VLOOKUP($A367,'SegEnds_NonXtal_BW#'!$A:$Z,22,FALSE)+VLOOKUP($A367,A:AL,31,FALSE)-50)),"-",(VLOOKUP($A367,'SegEnds_NonXtal_BW#'!$A:$Z,22,FALSE)+VLOOKUP($A367,A:AL,31,FALSE)-50))</f>
        <v>794</v>
      </c>
      <c r="AG367" s="3">
        <f>IF(ISERROR(VLOOKUP($A367,'SegEnds_NonXtal_BW#'!$A:$Z,23,FALSE)+VLOOKUP($A367,A:AL,34,FALSE)-50),"-",(VLOOKUP($A367,'SegEnds_NonXtal_BW#'!$A:$Z,23,FALSE)+VLOOKUP($A367,A:AL,34,FALSE)-50))</f>
        <v>797</v>
      </c>
      <c r="AH367" s="3">
        <v>814</v>
      </c>
      <c r="AI367" s="3">
        <f>IF(ISERROR((VLOOKUP($A367,'SegEnds_NonXtal_BW#'!$A:$Z,24,FALSE)+VLOOKUP($A367,A:AL,34,FALSE)-50)),"-",(VLOOKUP($A367,'SegEnds_NonXtal_BW#'!$A:$Z,24,FALSE)+VLOOKUP($A367,A:AL,34,FALSE)-50))</f>
        <v>828</v>
      </c>
      <c r="AJ367" s="3">
        <f>IF(ISERROR(VLOOKUP($A367,'SegEnds_NonXtal_BW#'!$A:$Z,25,FALSE)+VLOOKUP($A367,A:AL,37,FALSE)-50),"-",(VLOOKUP($A367,'SegEnds_NonXtal_BW#'!$A:$Z,25,FALSE)+VLOOKUP($A367,A:AL,37,FALSE)-50))</f>
        <v>829</v>
      </c>
      <c r="AK367" s="3">
        <v>833</v>
      </c>
      <c r="AL367" s="3">
        <f>IF(ISERROR((VLOOKUP($A367,'SegEnds_NonXtal_BW#'!$A:$Z,26,FALSE)+VLOOKUP($A367,A:AL,37,FALSE)-50)),"-",(VLOOKUP($A367,'SegEnds_NonXtal_BW#'!$A:$Z,26,FALSE)+VLOOKUP($A367,A:AL,37,FALSE)-50))</f>
        <v>840</v>
      </c>
      <c r="AM367" s="28" t="str">
        <f>VLOOKUP(A367,Classification!A:B,2,FALSE)</f>
        <v>C</v>
      </c>
      <c r="AN367" s="28" t="b">
        <f t="shared" si="243"/>
        <v>1</v>
      </c>
      <c r="AO367" s="3" t="str">
        <f>IF(ISERROR(MATCH(A367,'SegEnds_Xtal_Prot#'!B:B, 0)), "NoXtal", "Xtal")</f>
        <v>Xtal</v>
      </c>
      <c r="AP367" s="3">
        <f t="shared" si="228"/>
        <v>3</v>
      </c>
      <c r="AQ367" s="3">
        <f t="shared" si="229"/>
        <v>1</v>
      </c>
      <c r="AR367" s="3" t="str">
        <f t="shared" si="230"/>
        <v>-</v>
      </c>
      <c r="AS367" s="3" t="str">
        <f t="shared" si="231"/>
        <v>-</v>
      </c>
      <c r="AT367" s="3" t="str">
        <f t="shared" si="232"/>
        <v>-</v>
      </c>
      <c r="AU367" s="3" t="str">
        <f t="shared" si="233"/>
        <v>-</v>
      </c>
      <c r="AV367" s="3">
        <f t="shared" si="234"/>
        <v>18</v>
      </c>
      <c r="AW367" s="3">
        <f t="shared" si="235"/>
        <v>1</v>
      </c>
      <c r="AX367" s="3">
        <f t="shared" si="236"/>
        <v>9</v>
      </c>
      <c r="AY367" s="3">
        <f t="shared" si="237"/>
        <v>3</v>
      </c>
      <c r="AZ367" s="3">
        <f t="shared" si="238"/>
        <v>1</v>
      </c>
      <c r="BA367" s="3">
        <f>IF(ISERROR(LEN(VLOOKUP(A367,Seqs!A:E,2,FALSE))-AL367),"-",LEN(VLOOKUP(A367,Seqs!A:E,2,FALSE))-AL367)</f>
        <v>372</v>
      </c>
      <c r="BB367" s="16">
        <f t="shared" si="239"/>
        <v>31</v>
      </c>
      <c r="BC367" s="9" t="str">
        <f t="shared" si="240"/>
        <v>-</v>
      </c>
      <c r="BD367" s="3">
        <f t="shared" si="241"/>
        <v>31</v>
      </c>
      <c r="BE367" s="3">
        <f t="shared" si="242"/>
        <v>37</v>
      </c>
    </row>
    <row r="368" spans="1:58" s="3" customFormat="1" x14ac:dyDescent="0.2">
      <c r="A368" s="3" t="s">
        <v>118</v>
      </c>
      <c r="B368" s="3" t="str">
        <f>LOWER(VLOOKUP(A368,Xtal_Templ!A:B,2,FALSE))</f>
        <v>grm5_human</v>
      </c>
      <c r="C368" s="3">
        <f>VLOOKUP($A368,'SegEnds_NonXtal_BW#'!$A:$Z,3,FALSE)+D368-50</f>
        <v>584</v>
      </c>
      <c r="D368" s="3">
        <v>600</v>
      </c>
      <c r="E368" s="3">
        <f>IF(ISERROR(VLOOKUP($A368,'SegEnds_NonXtal_BW#'!$A:$Z,4,FALSE)+VLOOKUP($A368,A:AL,4,FALSE)-50),"-",(VLOOKUP($A368,'SegEnds_NonXtal_BW#'!$A:$Z,4,FALSE)+VLOOKUP($A368,A:AL,4,FALSE)-50))</f>
        <v>610</v>
      </c>
      <c r="F368" s="3">
        <f t="shared" si="245"/>
        <v>613</v>
      </c>
      <c r="G368" s="3">
        <v>616</v>
      </c>
      <c r="H368" s="3">
        <f t="shared" si="246"/>
        <v>619</v>
      </c>
      <c r="I368" s="3">
        <f t="shared" si="247"/>
        <v>620</v>
      </c>
      <c r="J368" s="3">
        <v>631</v>
      </c>
      <c r="K368" s="3">
        <f>VLOOKUP($A368,'SegEnds_NonXtal_BW#'!$A:$Z,8,FALSE)+VLOOKUP($A368,A:AL,10,FALSE)-50</f>
        <v>642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646</v>
      </c>
      <c r="P368" s="3">
        <v>675</v>
      </c>
      <c r="Q368" s="3">
        <f>VLOOKUP($A368,'SegEnds_NonXtal_BW#'!$A:$Z,12,FALSE)+VLOOKUP($A368,A:AL,16,FALSE)-50</f>
        <v>679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693</v>
      </c>
      <c r="V368" s="3">
        <v>705</v>
      </c>
      <c r="W368" s="3">
        <f>IF(ISERROR(VLOOKUP($A368,'SegEnds_NonXtal_BW#'!$A:$Z,16,FALSE)+VLOOKUP($A368,A:AL,22,FALSE)-50),"-",(VLOOKUP($A368,'SegEnds_NonXtal_BW#'!$A:$Z,16,FALSE)+VLOOKUP($A368,A:AL,22,FALSE)-50))</f>
        <v>719</v>
      </c>
      <c r="X368" s="3">
        <f>IF(ISERROR(VLOOKUP($A368,'SegEnds_NonXtal_BW#'!$A:$Z,17,FALSE)+VLOOKUP($A368,A:AL,25,FALSE)-50),"-",(VLOOKUP($A368,'SegEnds_NonXtal_BW#'!$A:$Z,17,FALSE)+VLOOKUP($A368,A:AL,25,FALSE)-50))</f>
        <v>744</v>
      </c>
      <c r="Y368" s="3">
        <v>744</v>
      </c>
      <c r="Z368" s="3">
        <f t="shared" si="248"/>
        <v>746</v>
      </c>
      <c r="AA368" s="3">
        <f>IF(ISERROR(VLOOKUP($A368,'SegEnds_NonXtal_BW#'!$A:$Z,19,FALSE)+VLOOKUP($A368,A:AL,28,FALSE)-50),"-",(VLOOKUP($A368,'SegEnds_NonXtal_BW#'!$A:$Z,19,FALSE)+VLOOKUP($A368,A:AL,28,FALSE)-50))</f>
        <v>747</v>
      </c>
      <c r="AB368" s="3">
        <v>761</v>
      </c>
      <c r="AC368" s="3">
        <f>IF(ISERROR((VLOOKUP($A368,'SegEnds_NonXtal_BW#'!$A:$Z,20,FALSE)+VLOOKUP($A368,A:AL,28,FALSE)-50)),"-",(VLOOKUP($A368,'SegEnds_NonXtal_BW#'!$A:$Z,20,FALSE)+VLOOKUP($A368,A:AL,28,FALSE)-50))</f>
        <v>772</v>
      </c>
      <c r="AD368" s="3">
        <f>IF(ISERROR(VLOOKUP($A368,'SegEnds_NonXtal_BW#'!$A:$Z,21,FALSE)+VLOOKUP($A368,A:AL,31,FALSE)-50),"-",(VLOOKUP($A368,'SegEnds_NonXtal_BW#'!$A:$Z,21,FALSE)+VLOOKUP($A368,A:AL,31,FALSE)-50))</f>
        <v>781</v>
      </c>
      <c r="AE368" s="3">
        <v>798</v>
      </c>
      <c r="AF368" s="3">
        <f>IF(ISERROR((VLOOKUP($A368,'SegEnds_NonXtal_BW#'!$A:$Z,22,FALSE)+VLOOKUP($A368,A:AL,31,FALSE)-50)),"-",(VLOOKUP($A368,'SegEnds_NonXtal_BW#'!$A:$Z,22,FALSE)+VLOOKUP($A368,A:AL,31,FALSE)-50))</f>
        <v>805</v>
      </c>
      <c r="AG368" s="3">
        <f>IF(ISERROR(VLOOKUP($A368,'SegEnds_NonXtal_BW#'!$A:$Z,23,FALSE)+VLOOKUP($A368,A:AL,34,FALSE)-50),"-",(VLOOKUP($A368,'SegEnds_NonXtal_BW#'!$A:$Z,23,FALSE)+VLOOKUP($A368,A:AL,34,FALSE)-50))</f>
        <v>815</v>
      </c>
      <c r="AH368" s="3">
        <v>832</v>
      </c>
      <c r="AI368" s="3">
        <f>IF(ISERROR((VLOOKUP($A368,'SegEnds_NonXtal_BW#'!$A:$Z,24,FALSE)+VLOOKUP($A368,A:AL,34,FALSE)-50)),"-",(VLOOKUP($A368,'SegEnds_NonXtal_BW#'!$A:$Z,24,FALSE)+VLOOKUP($A368,A:AL,34,FALSE)-50))</f>
        <v>846</v>
      </c>
      <c r="AJ368" s="3">
        <f>IF(ISERROR(VLOOKUP($A368,'SegEnds_NonXtal_BW#'!$A:$Z,25,FALSE)+VLOOKUP($A368,A:AL,37,FALSE)-50),"-",(VLOOKUP($A368,'SegEnds_NonXtal_BW#'!$A:$Z,25,FALSE)+VLOOKUP($A368,A:AL,37,FALSE)-50))</f>
        <v>847</v>
      </c>
      <c r="AK368" s="3">
        <v>851</v>
      </c>
      <c r="AL368" s="3">
        <f>IF(ISERROR((VLOOKUP($A368,'SegEnds_NonXtal_BW#'!$A:$Z,26,FALSE)+VLOOKUP($A368,A:AL,37,FALSE)-50)),"-",(VLOOKUP($A368,'SegEnds_NonXtal_BW#'!$A:$Z,26,FALSE)+VLOOKUP($A368,A:AL,37,FALSE)-50))</f>
        <v>858</v>
      </c>
      <c r="AM368" s="28" t="str">
        <f>VLOOKUP(A368,Classification!A:B,2,FALSE)</f>
        <v>C</v>
      </c>
      <c r="AN368" s="28" t="b">
        <f t="shared" si="243"/>
        <v>1</v>
      </c>
      <c r="AO368" s="3" t="str">
        <f>IF(ISERROR(MATCH(A368,'SegEnds_Xtal_Prot#'!B:B, 0)), "NoXtal", "Xtal")</f>
        <v>NoXtal</v>
      </c>
      <c r="AP368" s="3">
        <f t="shared" si="228"/>
        <v>3</v>
      </c>
      <c r="AQ368" s="3">
        <f t="shared" si="229"/>
        <v>1</v>
      </c>
      <c r="AR368" s="3" t="str">
        <f t="shared" si="230"/>
        <v>-</v>
      </c>
      <c r="AS368" s="3" t="str">
        <f t="shared" si="231"/>
        <v>-</v>
      </c>
      <c r="AT368" s="3" t="str">
        <f t="shared" si="232"/>
        <v>-</v>
      </c>
      <c r="AU368" s="3" t="str">
        <f t="shared" si="233"/>
        <v>-</v>
      </c>
      <c r="AV368" s="3">
        <f t="shared" si="234"/>
        <v>25</v>
      </c>
      <c r="AW368" s="3">
        <f t="shared" si="235"/>
        <v>1</v>
      </c>
      <c r="AX368" s="3">
        <f t="shared" si="236"/>
        <v>9</v>
      </c>
      <c r="AY368" s="3">
        <f t="shared" si="237"/>
        <v>10</v>
      </c>
      <c r="AZ368" s="3">
        <f t="shared" si="238"/>
        <v>1</v>
      </c>
      <c r="BA368" s="3">
        <f>IF(ISERROR(LEN(VLOOKUP(A368,Seqs!A:E,2,FALSE))-AL368),"-",LEN(VLOOKUP(A368,Seqs!A:E,2,FALSE))-AL368)</f>
        <v>19</v>
      </c>
      <c r="BB368" s="16">
        <f t="shared" si="239"/>
        <v>31</v>
      </c>
      <c r="BC368" s="9" t="str">
        <f t="shared" si="240"/>
        <v>-</v>
      </c>
      <c r="BD368" s="3">
        <f t="shared" si="241"/>
        <v>31</v>
      </c>
      <c r="BE368" s="3">
        <f t="shared" si="242"/>
        <v>37</v>
      </c>
      <c r="BF368" s="3">
        <f>AH368-AE368</f>
        <v>34</v>
      </c>
    </row>
    <row r="369" spans="1:58" s="3" customFormat="1" x14ac:dyDescent="0.2">
      <c r="A369" s="3" t="s">
        <v>119</v>
      </c>
      <c r="B369" s="3" t="str">
        <f>LOWER(VLOOKUP(A369,Xtal_Templ!A:B,2,FALSE))</f>
        <v>grm5_human</v>
      </c>
      <c r="C369" s="3">
        <f>VLOOKUP($A369,'SegEnds_NonXtal_BW#'!$A:$Z,3,FALSE)+D369-50</f>
        <v>589</v>
      </c>
      <c r="D369" s="3">
        <v>605</v>
      </c>
      <c r="E369" s="3">
        <f>IF(ISERROR(VLOOKUP($A369,'SegEnds_NonXtal_BW#'!$A:$Z,4,FALSE)+VLOOKUP($A369,A:AL,4,FALSE)-50),"-",(VLOOKUP($A369,'SegEnds_NonXtal_BW#'!$A:$Z,4,FALSE)+VLOOKUP($A369,A:AL,4,FALSE)-50))</f>
        <v>615</v>
      </c>
      <c r="F369" s="3">
        <f t="shared" si="245"/>
        <v>618</v>
      </c>
      <c r="G369" s="3">
        <v>621</v>
      </c>
      <c r="H369" s="3">
        <f t="shared" si="246"/>
        <v>624</v>
      </c>
      <c r="I369" s="3">
        <f t="shared" si="247"/>
        <v>625</v>
      </c>
      <c r="J369" s="3">
        <v>636</v>
      </c>
      <c r="K369" s="3">
        <f>VLOOKUP($A369,'SegEnds_NonXtal_BW#'!$A:$Z,8,FALSE)+VLOOKUP($A369,A:AL,10,FALSE)-50</f>
        <v>647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651</v>
      </c>
      <c r="P369" s="3">
        <v>680</v>
      </c>
      <c r="Q369" s="3">
        <f>VLOOKUP($A369,'SegEnds_NonXtal_BW#'!$A:$Z,12,FALSE)+VLOOKUP($A369,A:AL,16,FALSE)-50</f>
        <v>684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698</v>
      </c>
      <c r="V369" s="3">
        <v>710</v>
      </c>
      <c r="W369" s="3">
        <f>IF(ISERROR(VLOOKUP($A369,'SegEnds_NonXtal_BW#'!$A:$Z,16,FALSE)+VLOOKUP($A369,A:AL,22,FALSE)-50),"-",(VLOOKUP($A369,'SegEnds_NonXtal_BW#'!$A:$Z,16,FALSE)+VLOOKUP($A369,A:AL,22,FALSE)-50))</f>
        <v>724</v>
      </c>
      <c r="X369" s="3">
        <f>IF(ISERROR(VLOOKUP($A369,'SegEnds_NonXtal_BW#'!$A:$Z,17,FALSE)+VLOOKUP($A369,A:AL,25,FALSE)-50),"-",(VLOOKUP($A369,'SegEnds_NonXtal_BW#'!$A:$Z,17,FALSE)+VLOOKUP($A369,A:AL,25,FALSE)-50))</f>
        <v>749</v>
      </c>
      <c r="Y369" s="3">
        <v>749</v>
      </c>
      <c r="Z369" s="3">
        <f t="shared" si="248"/>
        <v>751</v>
      </c>
      <c r="AA369" s="3">
        <f>IF(ISERROR(VLOOKUP($A369,'SegEnds_NonXtal_BW#'!$A:$Z,19,FALSE)+VLOOKUP($A369,A:AL,28,FALSE)-50),"-",(VLOOKUP($A369,'SegEnds_NonXtal_BW#'!$A:$Z,19,FALSE)+VLOOKUP($A369,A:AL,28,FALSE)-50))</f>
        <v>752</v>
      </c>
      <c r="AB369" s="3">
        <v>766</v>
      </c>
      <c r="AC369" s="3">
        <f>IF(ISERROR((VLOOKUP($A369,'SegEnds_NonXtal_BW#'!$A:$Z,20,FALSE)+VLOOKUP($A369,A:AL,28,FALSE)-50)),"-",(VLOOKUP($A369,'SegEnds_NonXtal_BW#'!$A:$Z,20,FALSE)+VLOOKUP($A369,A:AL,28,FALSE)-50))</f>
        <v>777</v>
      </c>
      <c r="AD369" s="3">
        <f>IF(ISERROR(VLOOKUP($A369,'SegEnds_NonXtal_BW#'!$A:$Z,21,FALSE)+VLOOKUP($A369,A:AL,31,FALSE)-50),"-",(VLOOKUP($A369,'SegEnds_NonXtal_BW#'!$A:$Z,21,FALSE)+VLOOKUP($A369,A:AL,31,FALSE)-50))</f>
        <v>786</v>
      </c>
      <c r="AE369" s="3">
        <v>803</v>
      </c>
      <c r="AF369" s="3">
        <f>IF(ISERROR((VLOOKUP($A369,'SegEnds_NonXtal_BW#'!$A:$Z,22,FALSE)+VLOOKUP($A369,A:AL,31,FALSE)-50)),"-",(VLOOKUP($A369,'SegEnds_NonXtal_BW#'!$A:$Z,22,FALSE)+VLOOKUP($A369,A:AL,31,FALSE)-50))</f>
        <v>810</v>
      </c>
      <c r="AG369" s="3">
        <f>IF(ISERROR(VLOOKUP($A369,'SegEnds_NonXtal_BW#'!$A:$Z,23,FALSE)+VLOOKUP($A369,A:AL,34,FALSE)-50),"-",(VLOOKUP($A369,'SegEnds_NonXtal_BW#'!$A:$Z,23,FALSE)+VLOOKUP($A369,A:AL,34,FALSE)-50))</f>
        <v>820</v>
      </c>
      <c r="AH369" s="3">
        <v>837</v>
      </c>
      <c r="AI369" s="3">
        <f>IF(ISERROR((VLOOKUP($A369,'SegEnds_NonXtal_BW#'!$A:$Z,24,FALSE)+VLOOKUP($A369,A:AL,34,FALSE)-50)),"-",(VLOOKUP($A369,'SegEnds_NonXtal_BW#'!$A:$Z,24,FALSE)+VLOOKUP($A369,A:AL,34,FALSE)-50))</f>
        <v>851</v>
      </c>
      <c r="AJ369" s="3">
        <f>IF(ISERROR(VLOOKUP($A369,'SegEnds_NonXtal_BW#'!$A:$Z,25,FALSE)+VLOOKUP($A369,A:AL,37,FALSE)-50),"-",(VLOOKUP($A369,'SegEnds_NonXtal_BW#'!$A:$Z,25,FALSE)+VLOOKUP($A369,A:AL,37,FALSE)-50))</f>
        <v>852</v>
      </c>
      <c r="AK369" s="3">
        <v>856</v>
      </c>
      <c r="AL369" s="3">
        <f>IF(ISERROR((VLOOKUP($A369,'SegEnds_NonXtal_BW#'!$A:$Z,26,FALSE)+VLOOKUP($A369,A:AL,37,FALSE)-50)),"-",(VLOOKUP($A369,'SegEnds_NonXtal_BW#'!$A:$Z,26,FALSE)+VLOOKUP($A369,A:AL,37,FALSE)-50))</f>
        <v>863</v>
      </c>
      <c r="AM369" s="28" t="str">
        <f>VLOOKUP(A369,Classification!A:B,2,FALSE)</f>
        <v>C</v>
      </c>
      <c r="AN369" s="28" t="b">
        <f t="shared" si="243"/>
        <v>1</v>
      </c>
      <c r="AO369" s="3" t="str">
        <f>IF(ISERROR(MATCH(A369,'SegEnds_Xtal_Prot#'!B:B, 0)), "NoXtal", "Xtal")</f>
        <v>NoXtal</v>
      </c>
      <c r="AP369" s="3">
        <f t="shared" si="228"/>
        <v>3</v>
      </c>
      <c r="AQ369" s="3">
        <f t="shared" si="229"/>
        <v>1</v>
      </c>
      <c r="AR369" s="3" t="str">
        <f t="shared" si="230"/>
        <v>-</v>
      </c>
      <c r="AS369" s="3" t="str">
        <f t="shared" si="231"/>
        <v>-</v>
      </c>
      <c r="AT369" s="3" t="str">
        <f t="shared" si="232"/>
        <v>-</v>
      </c>
      <c r="AU369" s="3" t="str">
        <f t="shared" si="233"/>
        <v>-</v>
      </c>
      <c r="AV369" s="3">
        <f t="shared" si="234"/>
        <v>25</v>
      </c>
      <c r="AW369" s="3">
        <f t="shared" si="235"/>
        <v>1</v>
      </c>
      <c r="AX369" s="3">
        <f t="shared" si="236"/>
        <v>9</v>
      </c>
      <c r="AY369" s="3">
        <f t="shared" si="237"/>
        <v>10</v>
      </c>
      <c r="AZ369" s="3">
        <f t="shared" si="238"/>
        <v>1</v>
      </c>
      <c r="BA369" s="3">
        <f>IF(ISERROR(LEN(VLOOKUP(A369,Seqs!A:E,2,FALSE))-AL369),"-",LEN(VLOOKUP(A369,Seqs!A:E,2,FALSE))-AL369)</f>
        <v>52</v>
      </c>
      <c r="BB369" s="16">
        <f t="shared" si="239"/>
        <v>31</v>
      </c>
      <c r="BC369" s="9" t="str">
        <f t="shared" si="240"/>
        <v>-</v>
      </c>
      <c r="BD369" s="3">
        <f t="shared" si="241"/>
        <v>31</v>
      </c>
      <c r="BE369" s="3">
        <f t="shared" si="242"/>
        <v>37</v>
      </c>
    </row>
    <row r="370" spans="1:58" s="3" customFormat="1" x14ac:dyDescent="0.2">
      <c r="A370" s="3" t="s">
        <v>120</v>
      </c>
      <c r="B370" s="3" t="str">
        <f>LOWER(VLOOKUP(A370,Xtal_Templ!A:B,2,FALSE))</f>
        <v>grm5_human</v>
      </c>
      <c r="C370" s="3">
        <f>VLOOKUP($A370,'SegEnds_NonXtal_BW#'!$A:$Z,3,FALSE)+D370-50</f>
        <v>582</v>
      </c>
      <c r="D370" s="3">
        <v>598</v>
      </c>
      <c r="E370" s="3">
        <f>IF(ISERROR(VLOOKUP($A370,'SegEnds_NonXtal_BW#'!$A:$Z,4,FALSE)+VLOOKUP($A370,A:AL,4,FALSE)-50),"-",(VLOOKUP($A370,'SegEnds_NonXtal_BW#'!$A:$Z,4,FALSE)+VLOOKUP($A370,A:AL,4,FALSE)-50))</f>
        <v>608</v>
      </c>
      <c r="F370" s="3">
        <f t="shared" si="245"/>
        <v>611</v>
      </c>
      <c r="G370" s="3">
        <v>614</v>
      </c>
      <c r="H370" s="3">
        <f t="shared" si="246"/>
        <v>617</v>
      </c>
      <c r="I370" s="3">
        <f t="shared" si="247"/>
        <v>618</v>
      </c>
      <c r="J370" s="3">
        <v>629</v>
      </c>
      <c r="K370" s="3">
        <f>VLOOKUP($A370,'SegEnds_NonXtal_BW#'!$A:$Z,8,FALSE)+VLOOKUP($A370,A:AL,10,FALSE)-50</f>
        <v>640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644</v>
      </c>
      <c r="P370" s="3">
        <v>673</v>
      </c>
      <c r="Q370" s="3">
        <f>VLOOKUP($A370,'SegEnds_NonXtal_BW#'!$A:$Z,12,FALSE)+VLOOKUP($A370,A:AL,16,FALSE)-50</f>
        <v>677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691</v>
      </c>
      <c r="V370" s="3">
        <v>703</v>
      </c>
      <c r="W370" s="3">
        <f>IF(ISERROR(VLOOKUP($A370,'SegEnds_NonXtal_BW#'!$A:$Z,16,FALSE)+VLOOKUP($A370,A:AL,22,FALSE)-50),"-",(VLOOKUP($A370,'SegEnds_NonXtal_BW#'!$A:$Z,16,FALSE)+VLOOKUP($A370,A:AL,22,FALSE)-50))</f>
        <v>717</v>
      </c>
      <c r="X370" s="3">
        <f>IF(ISERROR(VLOOKUP($A370,'SegEnds_NonXtal_BW#'!$A:$Z,17,FALSE)+VLOOKUP($A370,A:AL,25,FALSE)-50),"-",(VLOOKUP($A370,'SegEnds_NonXtal_BW#'!$A:$Z,17,FALSE)+VLOOKUP($A370,A:AL,25,FALSE)-50))</f>
        <v>742</v>
      </c>
      <c r="Y370" s="3">
        <v>742</v>
      </c>
      <c r="Z370" s="3">
        <f t="shared" si="248"/>
        <v>744</v>
      </c>
      <c r="AA370" s="3">
        <f>IF(ISERROR(VLOOKUP($A370,'SegEnds_NonXtal_BW#'!$A:$Z,19,FALSE)+VLOOKUP($A370,A:AL,28,FALSE)-50),"-",(VLOOKUP($A370,'SegEnds_NonXtal_BW#'!$A:$Z,19,FALSE)+VLOOKUP($A370,A:AL,28,FALSE)-50))</f>
        <v>745</v>
      </c>
      <c r="AB370" s="3">
        <v>759</v>
      </c>
      <c r="AC370" s="3">
        <f>IF(ISERROR((VLOOKUP($A370,'SegEnds_NonXtal_BW#'!$A:$Z,20,FALSE)+VLOOKUP($A370,A:AL,28,FALSE)-50)),"-",(VLOOKUP($A370,'SegEnds_NonXtal_BW#'!$A:$Z,20,FALSE)+VLOOKUP($A370,A:AL,28,FALSE)-50))</f>
        <v>770</v>
      </c>
      <c r="AD370" s="3">
        <f>IF(ISERROR(VLOOKUP($A370,'SegEnds_NonXtal_BW#'!$A:$Z,21,FALSE)+VLOOKUP($A370,A:AL,31,FALSE)-50),"-",(VLOOKUP($A370,'SegEnds_NonXtal_BW#'!$A:$Z,21,FALSE)+VLOOKUP($A370,A:AL,31,FALSE)-50))</f>
        <v>779</v>
      </c>
      <c r="AE370" s="3">
        <v>796</v>
      </c>
      <c r="AF370" s="3">
        <f>IF(ISERROR((VLOOKUP($A370,'SegEnds_NonXtal_BW#'!$A:$Z,22,FALSE)+VLOOKUP($A370,A:AL,31,FALSE)-50)),"-",(VLOOKUP($A370,'SegEnds_NonXtal_BW#'!$A:$Z,22,FALSE)+VLOOKUP($A370,A:AL,31,FALSE)-50))</f>
        <v>803</v>
      </c>
      <c r="AG370" s="3">
        <f>IF(ISERROR(VLOOKUP($A370,'SegEnds_NonXtal_BW#'!$A:$Z,23,FALSE)+VLOOKUP($A370,A:AL,34,FALSE)-50),"-",(VLOOKUP($A370,'SegEnds_NonXtal_BW#'!$A:$Z,23,FALSE)+VLOOKUP($A370,A:AL,34,FALSE)-50))</f>
        <v>813</v>
      </c>
      <c r="AH370" s="3">
        <v>830</v>
      </c>
      <c r="AI370" s="3">
        <f>IF(ISERROR((VLOOKUP($A370,'SegEnds_NonXtal_BW#'!$A:$Z,24,FALSE)+VLOOKUP($A370,A:AL,34,FALSE)-50)),"-",(VLOOKUP($A370,'SegEnds_NonXtal_BW#'!$A:$Z,24,FALSE)+VLOOKUP($A370,A:AL,34,FALSE)-50))</f>
        <v>844</v>
      </c>
      <c r="AJ370" s="3">
        <f>IF(ISERROR(VLOOKUP($A370,'SegEnds_NonXtal_BW#'!$A:$Z,25,FALSE)+VLOOKUP($A370,A:AL,37,FALSE)-50),"-",(VLOOKUP($A370,'SegEnds_NonXtal_BW#'!$A:$Z,25,FALSE)+VLOOKUP($A370,A:AL,37,FALSE)-50))</f>
        <v>845</v>
      </c>
      <c r="AK370" s="3">
        <v>849</v>
      </c>
      <c r="AL370" s="3">
        <f>IF(ISERROR((VLOOKUP($A370,'SegEnds_NonXtal_BW#'!$A:$Z,26,FALSE)+VLOOKUP($A370,A:AL,37,FALSE)-50)),"-",(VLOOKUP($A370,'SegEnds_NonXtal_BW#'!$A:$Z,26,FALSE)+VLOOKUP($A370,A:AL,37,FALSE)-50))</f>
        <v>856</v>
      </c>
      <c r="AM370" s="28" t="str">
        <f>VLOOKUP(A370,Classification!A:B,2,FALSE)</f>
        <v>C</v>
      </c>
      <c r="AN370" s="28" t="b">
        <f t="shared" si="243"/>
        <v>1</v>
      </c>
      <c r="AO370" s="3" t="str">
        <f>IF(ISERROR(MATCH(A370,'SegEnds_Xtal_Prot#'!B:B, 0)), "NoXtal", "Xtal")</f>
        <v>NoXtal</v>
      </c>
      <c r="AP370" s="3">
        <f t="shared" si="228"/>
        <v>3</v>
      </c>
      <c r="AQ370" s="3">
        <f t="shared" si="229"/>
        <v>1</v>
      </c>
      <c r="AR370" s="3" t="str">
        <f t="shared" si="230"/>
        <v>-</v>
      </c>
      <c r="AS370" s="3" t="str">
        <f t="shared" si="231"/>
        <v>-</v>
      </c>
      <c r="AT370" s="3" t="str">
        <f t="shared" si="232"/>
        <v>-</v>
      </c>
      <c r="AU370" s="3" t="str">
        <f t="shared" si="233"/>
        <v>-</v>
      </c>
      <c r="AV370" s="3">
        <f t="shared" si="234"/>
        <v>25</v>
      </c>
      <c r="AW370" s="3">
        <f t="shared" si="235"/>
        <v>1</v>
      </c>
      <c r="AX370" s="3">
        <f t="shared" si="236"/>
        <v>9</v>
      </c>
      <c r="AY370" s="3">
        <f t="shared" si="237"/>
        <v>10</v>
      </c>
      <c r="AZ370" s="3">
        <f t="shared" si="238"/>
        <v>1</v>
      </c>
      <c r="BA370" s="3">
        <f>IF(ISERROR(LEN(VLOOKUP(A370,Seqs!A:E,2,FALSE))-AL370),"-",LEN(VLOOKUP(A370,Seqs!A:E,2,FALSE))-AL370)</f>
        <v>52</v>
      </c>
      <c r="BB370" s="16">
        <f t="shared" si="239"/>
        <v>31</v>
      </c>
      <c r="BC370" s="9" t="str">
        <f t="shared" si="240"/>
        <v>-</v>
      </c>
      <c r="BD370" s="3">
        <f t="shared" si="241"/>
        <v>31</v>
      </c>
      <c r="BE370" s="3">
        <f t="shared" si="242"/>
        <v>37</v>
      </c>
    </row>
    <row r="371" spans="1:58" s="3" customFormat="1" x14ac:dyDescent="0.2">
      <c r="A371" s="3" t="s">
        <v>121</v>
      </c>
      <c r="B371" s="3" t="str">
        <f>LOWER(VLOOKUP(A371,Xtal_Templ!A:B,2,FALSE))</f>
        <v>grm1_human</v>
      </c>
      <c r="C371" s="3">
        <f>VLOOKUP($A371,'SegEnds_NonXtal_BW#'!$A:$Z,3,FALSE)+D371-50</f>
        <v>26</v>
      </c>
      <c r="D371" s="3">
        <v>42</v>
      </c>
      <c r="E371" s="3">
        <f>IF(ISERROR(VLOOKUP($A371,'SegEnds_NonXtal_BW#'!$A:$Z,4,FALSE)+VLOOKUP($A371,A:AL,4,FALSE)-50),"-",(VLOOKUP($A371,'SegEnds_NonXtal_BW#'!$A:$Z,4,FALSE)+VLOOKUP($A371,A:AL,4,FALSE)-50))</f>
        <v>52</v>
      </c>
      <c r="F371" s="3">
        <f t="shared" si="245"/>
        <v>53</v>
      </c>
      <c r="G371" s="3">
        <v>56</v>
      </c>
      <c r="H371" s="3">
        <f t="shared" si="246"/>
        <v>59</v>
      </c>
      <c r="I371" s="3">
        <f t="shared" si="247"/>
        <v>60</v>
      </c>
      <c r="J371" s="3">
        <v>75</v>
      </c>
      <c r="K371" s="3">
        <f>VLOOKUP($A371,'SegEnds_NonXtal_BW#'!$A:$Z,8,FALSE)+VLOOKUP($A371,A:AL,10,FALSE)-50</f>
        <v>86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91</v>
      </c>
      <c r="P371" s="3">
        <v>119</v>
      </c>
      <c r="Q371" s="3">
        <f>VLOOKUP($A371,'SegEnds_NonXtal_BW#'!$A:$Z,12,FALSE)+VLOOKUP($A371,A:AL,16,FALSE)-50</f>
        <v>123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130</v>
      </c>
      <c r="V371" s="3">
        <v>142</v>
      </c>
      <c r="W371" s="3">
        <f>IF(ISERROR(VLOOKUP($A371,'SegEnds_NonXtal_BW#'!$A:$Z,16,FALSE)+VLOOKUP($A371,A:AL,22,FALSE)-50),"-",(VLOOKUP($A371,'SegEnds_NonXtal_BW#'!$A:$Z,16,FALSE)+VLOOKUP($A371,A:AL,22,FALSE)-50))</f>
        <v>156</v>
      </c>
      <c r="X371" s="3" t="str">
        <f>IF(ISERROR(VLOOKUP($A371,'SegEnds_NonXtal_BW#'!$A:$Z,17,FALSE)+VLOOKUP($A371,A:AL,25,FALSE)-50),"-",(VLOOKUP($A371,'SegEnds_NonXtal_BW#'!$A:$Z,17,FALSE)+VLOOKUP($A371,A:AL,25,FALSE)-50))</f>
        <v>-</v>
      </c>
      <c r="Y371" s="3" t="s">
        <v>23</v>
      </c>
      <c r="Z371" s="3" t="str">
        <f>IF(ISERROR(VLOOKUP($A371,'SegEnds_NonXtal_BW#'!$A:$Z,18,FALSE)+VLOOKUP($A371,A:AL,25,FALSE)-50),"-",(VLOOKUP($A371,'SegEnds_NonXtal_BW#'!$A:$Z,18,FALSE)+VLOOKUP($A371,A:AL,25,FALSE)-50))</f>
        <v>-</v>
      </c>
      <c r="AA371" s="3">
        <f>IF(ISERROR(VLOOKUP($A371,'SegEnds_NonXtal_BW#'!$A:$Z,19,FALSE)+VLOOKUP($A371,A:AL,28,FALSE)-50),"-",(VLOOKUP($A371,'SegEnds_NonXtal_BW#'!$A:$Z,19,FALSE)+VLOOKUP($A371,A:AL,28,FALSE)-50))</f>
        <v>173</v>
      </c>
      <c r="AB371" s="3">
        <v>187</v>
      </c>
      <c r="AC371" s="3">
        <f>IF(ISERROR((VLOOKUP($A371,'SegEnds_NonXtal_BW#'!$A:$Z,20,FALSE)+VLOOKUP($A371,A:AL,28,FALSE)-50)),"-",(VLOOKUP($A371,'SegEnds_NonXtal_BW#'!$A:$Z,20,FALSE)+VLOOKUP($A371,A:AL,28,FALSE)-50))</f>
        <v>198</v>
      </c>
      <c r="AD371" s="3">
        <f>IF(ISERROR(VLOOKUP($A371,'SegEnds_NonXtal_BW#'!$A:$Z,21,FALSE)+VLOOKUP($A371,A:AL,31,FALSE)-50),"-",(VLOOKUP($A371,'SegEnds_NonXtal_BW#'!$A:$Z,21,FALSE)+VLOOKUP($A371,A:AL,31,FALSE)-50))</f>
        <v>209</v>
      </c>
      <c r="AE371" s="3">
        <v>226</v>
      </c>
      <c r="AF371" s="3">
        <f>IF(ISERROR((VLOOKUP($A371,'SegEnds_NonXtal_BW#'!$A:$Z,22,FALSE)+VLOOKUP($A371,A:AL,31,FALSE)-50)),"-",(VLOOKUP($A371,'SegEnds_NonXtal_BW#'!$A:$Z,22,FALSE)+VLOOKUP($A371,A:AL,31,FALSE)-50))</f>
        <v>233</v>
      </c>
      <c r="AG371" s="3">
        <f>IF(ISERROR(VLOOKUP($A371,'SegEnds_NonXtal_BW#'!$A:$Z,23,FALSE)+VLOOKUP($A371,A:AL,34,FALSE)-50),"-",(VLOOKUP($A371,'SegEnds_NonXtal_BW#'!$A:$Z,23,FALSE)+VLOOKUP($A371,A:AL,34,FALSE)-50))</f>
        <v>240</v>
      </c>
      <c r="AH371" s="3">
        <v>257</v>
      </c>
      <c r="AI371" s="3">
        <f>IF(ISERROR((VLOOKUP($A371,'SegEnds_NonXtal_BW#'!$A:$Z,24,FALSE)+VLOOKUP($A371,A:AL,34,FALSE)-50)),"-",(VLOOKUP($A371,'SegEnds_NonXtal_BW#'!$A:$Z,24,FALSE)+VLOOKUP($A371,A:AL,34,FALSE)-50))</f>
        <v>271</v>
      </c>
      <c r="AJ371" s="3">
        <v>273</v>
      </c>
      <c r="AK371" s="3">
        <v>278</v>
      </c>
      <c r="AL371" s="3">
        <v>285</v>
      </c>
      <c r="AM371" s="28" t="str">
        <f>VLOOKUP(A371,Classification!A:B,2,FALSE)</f>
        <v>C</v>
      </c>
      <c r="AN371" s="28" t="b">
        <f t="shared" si="243"/>
        <v>1</v>
      </c>
      <c r="AO371" s="3" t="str">
        <f>IF(ISERROR(MATCH(A371,'SegEnds_Xtal_Prot#'!B:B, 0)), "NoXtal", "Xtal")</f>
        <v>NoXtal</v>
      </c>
      <c r="AP371" s="3">
        <f t="shared" si="228"/>
        <v>1</v>
      </c>
      <c r="AQ371" s="3">
        <f t="shared" si="229"/>
        <v>1</v>
      </c>
      <c r="AR371" s="3" t="str">
        <f t="shared" si="230"/>
        <v>-</v>
      </c>
      <c r="AS371" s="3" t="str">
        <f t="shared" si="231"/>
        <v>-</v>
      </c>
      <c r="AT371" s="3" t="str">
        <f t="shared" si="232"/>
        <v>-</v>
      </c>
      <c r="AU371" s="3" t="str">
        <f t="shared" si="233"/>
        <v>-</v>
      </c>
      <c r="AV371" s="3" t="str">
        <f t="shared" si="234"/>
        <v>-</v>
      </c>
      <c r="AW371" s="3" t="str">
        <f t="shared" si="235"/>
        <v>-</v>
      </c>
      <c r="AX371" s="3">
        <f t="shared" si="236"/>
        <v>11</v>
      </c>
      <c r="AY371" s="3">
        <f t="shared" si="237"/>
        <v>7</v>
      </c>
      <c r="AZ371" s="3">
        <f t="shared" si="238"/>
        <v>2</v>
      </c>
      <c r="BA371" s="3">
        <f>IF(ISERROR(LEN(VLOOKUP(A371,Seqs!A:E,2,FALSE))-AL371),"-",LEN(VLOOKUP(A371,Seqs!A:E,2,FALSE))-AL371)</f>
        <v>72</v>
      </c>
      <c r="BB371" s="16">
        <f t="shared" si="239"/>
        <v>33</v>
      </c>
      <c r="BC371" s="9" t="str">
        <f t="shared" si="240"/>
        <v>-</v>
      </c>
      <c r="BD371" s="3">
        <f t="shared" si="241"/>
        <v>33</v>
      </c>
      <c r="BE371" s="3">
        <f t="shared" si="242"/>
        <v>39</v>
      </c>
    </row>
    <row r="372" spans="1:58" s="3" customFormat="1" ht="17" customHeight="1" x14ac:dyDescent="0.2">
      <c r="A372" s="3" t="s">
        <v>122</v>
      </c>
      <c r="B372" s="3" t="str">
        <f>LOWER(VLOOKUP(A372,Xtal_Templ!A:B,2,FALSE))</f>
        <v>grm1_human</v>
      </c>
      <c r="C372" s="3">
        <f>VLOOKUP($A372,'SegEnds_NonXtal_BW#'!$A:$Z,3,FALSE)+D372-50</f>
        <v>565</v>
      </c>
      <c r="D372" s="3">
        <v>581</v>
      </c>
      <c r="E372" s="3">
        <f>IF(ISERROR(VLOOKUP($A372,'SegEnds_NonXtal_BW#'!$A:$Z,4,FALSE)+VLOOKUP($A372,A:AL,4,FALSE)-50),"-",(VLOOKUP($A372,'SegEnds_NonXtal_BW#'!$A:$Z,4,FALSE)+VLOOKUP($A372,A:AL,4,FALSE)-50))</f>
        <v>591</v>
      </c>
      <c r="F372" s="3">
        <f t="shared" si="245"/>
        <v>594</v>
      </c>
      <c r="G372" s="3">
        <v>597</v>
      </c>
      <c r="H372" s="3">
        <f t="shared" si="246"/>
        <v>600</v>
      </c>
      <c r="I372" s="3">
        <f t="shared" si="247"/>
        <v>601</v>
      </c>
      <c r="J372" s="3">
        <v>612</v>
      </c>
      <c r="K372" s="3">
        <f>VLOOKUP($A372,'SegEnds_NonXtal_BW#'!$A:$Z,8,FALSE)+VLOOKUP($A372,A:AL,10,FALSE)-50</f>
        <v>623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628</v>
      </c>
      <c r="P372" s="3">
        <v>656</v>
      </c>
      <c r="Q372" s="3">
        <f>VLOOKUP($A372,'SegEnds_NonXtal_BW#'!$A:$Z,12,FALSE)+VLOOKUP($A372,A:AL,16,FALSE)-50</f>
        <v>660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675</v>
      </c>
      <c r="V372" s="3">
        <v>687</v>
      </c>
      <c r="W372" s="3">
        <f>IF(ISERROR(VLOOKUP($A372,'SegEnds_NonXtal_BW#'!$A:$Z,16,FALSE)+VLOOKUP($A372,A:AL,22,FALSE)-50),"-",(VLOOKUP($A372,'SegEnds_NonXtal_BW#'!$A:$Z,16,FALSE)+VLOOKUP($A372,A:AL,22,FALSE)-50))</f>
        <v>701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ref="Z372:Z385" si="249">Y372+2</f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43"/>
        <v>1</v>
      </c>
      <c r="AO372" s="3" t="str">
        <f>IF(ISERROR(MATCH(A372,'SegEnds_Xtal_Prot#'!B:B, 0)), "NoXtal", "Xtal")</f>
        <v>NoXtal</v>
      </c>
      <c r="AP372" s="3">
        <f t="shared" si="228"/>
        <v>3</v>
      </c>
      <c r="AQ372" s="3">
        <f t="shared" si="229"/>
        <v>1</v>
      </c>
      <c r="AR372" s="3" t="str">
        <f t="shared" si="230"/>
        <v>-</v>
      </c>
      <c r="AS372" s="3" t="str">
        <f t="shared" si="231"/>
        <v>-</v>
      </c>
      <c r="AT372" s="3" t="str">
        <f t="shared" si="232"/>
        <v>-</v>
      </c>
      <c r="AU372" s="3" t="str">
        <f t="shared" si="233"/>
        <v>-</v>
      </c>
      <c r="AV372" s="3">
        <f t="shared" si="234"/>
        <v>19</v>
      </c>
      <c r="AW372" s="3">
        <f t="shared" si="235"/>
        <v>2</v>
      </c>
      <c r="AX372" s="3">
        <f t="shared" si="236"/>
        <v>9</v>
      </c>
      <c r="AY372" s="3">
        <f t="shared" si="237"/>
        <v>5</v>
      </c>
      <c r="AZ372" s="3">
        <f t="shared" si="238"/>
        <v>1</v>
      </c>
      <c r="BA372" s="3">
        <f>IF(ISERROR(LEN(VLOOKUP(A372,Seqs!A:E,2,FALSE))-AL372),"-",LEN(VLOOKUP(A372,Seqs!A:E,2,FALSE))-AL372)</f>
        <v>11</v>
      </c>
      <c r="BB372" s="16">
        <f t="shared" si="239"/>
        <v>31</v>
      </c>
      <c r="BC372" s="9" t="str">
        <f t="shared" si="240"/>
        <v>-</v>
      </c>
      <c r="BD372" s="3">
        <f t="shared" si="241"/>
        <v>31</v>
      </c>
      <c r="BE372" s="3">
        <f t="shared" si="242"/>
        <v>37</v>
      </c>
      <c r="BF372" s="3">
        <f>AH372-AE372</f>
        <v>29</v>
      </c>
    </row>
    <row r="373" spans="1:58" s="3" customFormat="1" x14ac:dyDescent="0.2">
      <c r="A373" s="3" t="s">
        <v>123</v>
      </c>
      <c r="B373" s="3" t="str">
        <f>LOWER(VLOOKUP(A373,Xtal_Templ!A:B,2,FALSE))</f>
        <v>grm1_human</v>
      </c>
      <c r="C373" s="3">
        <f>VLOOKUP($A373,'SegEnds_NonXtal_BW#'!$A:$Z,3,FALSE)+D373-50</f>
        <v>564</v>
      </c>
      <c r="D373" s="3">
        <v>580</v>
      </c>
      <c r="E373" s="3">
        <f>IF(ISERROR(VLOOKUP($A373,'SegEnds_NonXtal_BW#'!$A:$Z,4,FALSE)+VLOOKUP($A373,A:AL,4,FALSE)-50),"-",(VLOOKUP($A373,'SegEnds_NonXtal_BW#'!$A:$Z,4,FALSE)+VLOOKUP($A373,A:AL,4,FALSE)-50))</f>
        <v>590</v>
      </c>
      <c r="F373" s="3">
        <f t="shared" si="245"/>
        <v>593</v>
      </c>
      <c r="G373" s="3">
        <v>596</v>
      </c>
      <c r="H373" s="3">
        <f t="shared" si="246"/>
        <v>599</v>
      </c>
      <c r="I373" s="3">
        <f t="shared" si="247"/>
        <v>600</v>
      </c>
      <c r="J373" s="3">
        <v>611</v>
      </c>
      <c r="K373" s="3">
        <f>VLOOKUP($A373,'SegEnds_NonXtal_BW#'!$A:$Z,8,FALSE)+VLOOKUP($A373,A:AL,10,FALSE)-50</f>
        <v>622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627</v>
      </c>
      <c r="P373" s="3">
        <v>655</v>
      </c>
      <c r="Q373" s="3">
        <f>VLOOKUP($A373,'SegEnds_NonXtal_BW#'!$A:$Z,12,FALSE)+VLOOKUP($A373,A:AL,16,FALSE)-50</f>
        <v>659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674</v>
      </c>
      <c r="V373" s="3">
        <v>686</v>
      </c>
      <c r="W373" s="3">
        <f>IF(ISERROR(VLOOKUP($A373,'SegEnds_NonXtal_BW#'!$A:$Z,16,FALSE)+VLOOKUP($A373,A:AL,22,FALSE)-50),"-",(VLOOKUP($A373,'SegEnds_NonXtal_BW#'!$A:$Z,16,FALSE)+VLOOKUP($A373,A:AL,22,FALSE)-50))</f>
        <v>700</v>
      </c>
      <c r="X373" s="3">
        <f>IF(ISERROR(VLOOKUP($A373,'SegEnds_NonXtal_BW#'!$A:$Z,17,FALSE)+VLOOKUP($A373,A:AL,25,FALSE)-50),"-",(VLOOKUP($A373,'SegEnds_NonXtal_BW#'!$A:$Z,17,FALSE)+VLOOKUP($A373,A:AL,25,FALSE)-50))</f>
        <v>720</v>
      </c>
      <c r="Y373" s="3">
        <v>720</v>
      </c>
      <c r="Z373" s="3">
        <f t="shared" si="249"/>
        <v>722</v>
      </c>
      <c r="AA373" s="3">
        <f>IF(ISERROR(VLOOKUP($A373,'SegEnds_NonXtal_BW#'!$A:$Z,19,FALSE)+VLOOKUP($A373,A:AL,28,FALSE)-50),"-",(VLOOKUP($A373,'SegEnds_NonXtal_BW#'!$A:$Z,19,FALSE)+VLOOKUP($A373,A:AL,28,FALSE)-50))</f>
        <v>724</v>
      </c>
      <c r="AB373" s="3">
        <v>738</v>
      </c>
      <c r="AC373" s="3">
        <f>IF(ISERROR((VLOOKUP($A373,'SegEnds_NonXtal_BW#'!$A:$Z,20,FALSE)+VLOOKUP($A373,A:AL,28,FALSE)-50)),"-",(VLOOKUP($A373,'SegEnds_NonXtal_BW#'!$A:$Z,20,FALSE)+VLOOKUP($A373,A:AL,28,FALSE)-50))</f>
        <v>749</v>
      </c>
      <c r="AD373" s="3">
        <f>IF(ISERROR(VLOOKUP($A373,'SegEnds_NonXtal_BW#'!$A:$Z,21,FALSE)+VLOOKUP($A373,A:AL,31,FALSE)-50),"-",(VLOOKUP($A373,'SegEnds_NonXtal_BW#'!$A:$Z,21,FALSE)+VLOOKUP($A373,A:AL,31,FALSE)-50))</f>
        <v>758</v>
      </c>
      <c r="AE373" s="3">
        <v>775</v>
      </c>
      <c r="AF373" s="3">
        <f>IF(ISERROR((VLOOKUP($A373,'SegEnds_NonXtal_BW#'!$A:$Z,22,FALSE)+VLOOKUP($A373,A:AL,31,FALSE)-50)),"-",(VLOOKUP($A373,'SegEnds_NonXtal_BW#'!$A:$Z,22,FALSE)+VLOOKUP($A373,A:AL,31,FALSE)-50))</f>
        <v>782</v>
      </c>
      <c r="AG373" s="3">
        <f>IF(ISERROR(VLOOKUP($A373,'SegEnds_NonXtal_BW#'!$A:$Z,23,FALSE)+VLOOKUP($A373,A:AL,34,FALSE)-50),"-",(VLOOKUP($A373,'SegEnds_NonXtal_BW#'!$A:$Z,23,FALSE)+VLOOKUP($A373,A:AL,34,FALSE)-50))</f>
        <v>787</v>
      </c>
      <c r="AH373" s="3">
        <v>804</v>
      </c>
      <c r="AI373" s="3">
        <f>IF(ISERROR((VLOOKUP($A373,'SegEnds_NonXtal_BW#'!$A:$Z,24,FALSE)+VLOOKUP($A373,A:AL,34,FALSE)-50)),"-",(VLOOKUP($A373,'SegEnds_NonXtal_BW#'!$A:$Z,24,FALSE)+VLOOKUP($A373,A:AL,34,FALSE)-50))</f>
        <v>818</v>
      </c>
      <c r="AJ373" s="3">
        <f>IF(ISERROR(VLOOKUP($A373,'SegEnds_NonXtal_BW#'!$A:$Z,25,FALSE)+VLOOKUP($A373,A:AL,37,FALSE)-50),"-",(VLOOKUP($A373,'SegEnds_NonXtal_BW#'!$A:$Z,25,FALSE)+VLOOKUP($A373,A:AL,37,FALSE)-50))</f>
        <v>819</v>
      </c>
      <c r="AK373" s="3">
        <v>823</v>
      </c>
      <c r="AL373" s="3">
        <f>IF(ISERROR((VLOOKUP($A373,'SegEnds_NonXtal_BW#'!$A:$Z,26,FALSE)+VLOOKUP($A373,A:AL,37,FALSE)-50)),"-",(VLOOKUP($A373,'SegEnds_NonXtal_BW#'!$A:$Z,26,FALSE)+VLOOKUP($A373,A:AL,37,FALSE)-50))</f>
        <v>830</v>
      </c>
      <c r="AM373" s="28" t="str">
        <f>VLOOKUP(A373,Classification!A:B,2,FALSE)</f>
        <v>C</v>
      </c>
      <c r="AN373" s="28" t="b">
        <f t="shared" si="243"/>
        <v>1</v>
      </c>
      <c r="AO373" s="3" t="str">
        <f>IF(ISERROR(MATCH(A373,'SegEnds_Xtal_Prot#'!B:B, 0)), "NoXtal", "Xtal")</f>
        <v>NoXtal</v>
      </c>
      <c r="AP373" s="3">
        <f t="shared" si="228"/>
        <v>3</v>
      </c>
      <c r="AQ373" s="3">
        <f t="shared" si="229"/>
        <v>1</v>
      </c>
      <c r="AR373" s="3" t="str">
        <f t="shared" si="230"/>
        <v>-</v>
      </c>
      <c r="AS373" s="3" t="str">
        <f t="shared" si="231"/>
        <v>-</v>
      </c>
      <c r="AT373" s="3" t="str">
        <f t="shared" si="232"/>
        <v>-</v>
      </c>
      <c r="AU373" s="3" t="str">
        <f t="shared" si="233"/>
        <v>-</v>
      </c>
      <c r="AV373" s="3">
        <f t="shared" si="234"/>
        <v>20</v>
      </c>
      <c r="AW373" s="3">
        <f t="shared" si="235"/>
        <v>2</v>
      </c>
      <c r="AX373" s="3">
        <f t="shared" si="236"/>
        <v>9</v>
      </c>
      <c r="AY373" s="3">
        <f t="shared" si="237"/>
        <v>5</v>
      </c>
      <c r="AZ373" s="3">
        <f t="shared" si="238"/>
        <v>1</v>
      </c>
      <c r="BA373" s="3">
        <f>IF(ISERROR(LEN(VLOOKUP(A373,Seqs!A:E,2,FALSE))-AL373),"-",LEN(VLOOKUP(A373,Seqs!A:E,2,FALSE))-AL373)</f>
        <v>9</v>
      </c>
      <c r="BB373" s="16">
        <f t="shared" si="239"/>
        <v>31</v>
      </c>
      <c r="BC373" s="9" t="str">
        <f t="shared" si="240"/>
        <v>-</v>
      </c>
      <c r="BD373" s="3">
        <f t="shared" si="241"/>
        <v>31</v>
      </c>
      <c r="BE373" s="3">
        <f t="shared" si="242"/>
        <v>37</v>
      </c>
      <c r="BF373" s="3">
        <f>AH373-AE373</f>
        <v>29</v>
      </c>
    </row>
    <row r="374" spans="1:58" s="3" customFormat="1" x14ac:dyDescent="0.2">
      <c r="A374" s="3" t="s">
        <v>124</v>
      </c>
      <c r="B374" s="3" t="str">
        <f>LOWER(VLOOKUP(A374,Xtal_Templ!A:B,2,FALSE))</f>
        <v>grm1_human</v>
      </c>
      <c r="C374" s="3">
        <f>VLOOKUP($A374,'SegEnds_NonXtal_BW#'!$A:$Z,3,FALSE)+D374-50</f>
        <v>567</v>
      </c>
      <c r="D374" s="3">
        <v>583</v>
      </c>
      <c r="E374" s="3">
        <f>IF(ISERROR(VLOOKUP($A374,'SegEnds_NonXtal_BW#'!$A:$Z,4,FALSE)+VLOOKUP($A374,A:AL,4,FALSE)-50),"-",(VLOOKUP($A374,'SegEnds_NonXtal_BW#'!$A:$Z,4,FALSE)+VLOOKUP($A374,A:AL,4,FALSE)-50))</f>
        <v>593</v>
      </c>
      <c r="F374" s="3">
        <f t="shared" si="245"/>
        <v>596</v>
      </c>
      <c r="G374" s="3">
        <v>599</v>
      </c>
      <c r="H374" s="3">
        <f t="shared" si="246"/>
        <v>602</v>
      </c>
      <c r="I374" s="3">
        <f t="shared" si="247"/>
        <v>603</v>
      </c>
      <c r="J374" s="3">
        <v>614</v>
      </c>
      <c r="K374" s="3">
        <f>VLOOKUP($A374,'SegEnds_NonXtal_BW#'!$A:$Z,8,FALSE)+VLOOKUP($A374,A:AL,10,FALSE)-50</f>
        <v>625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630</v>
      </c>
      <c r="P374" s="3">
        <v>658</v>
      </c>
      <c r="Q374" s="3">
        <f>VLOOKUP($A374,'SegEnds_NonXtal_BW#'!$A:$Z,12,FALSE)+VLOOKUP($A374,A:AL,16,FALSE)-50</f>
        <v>662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677</v>
      </c>
      <c r="V374" s="3">
        <v>689</v>
      </c>
      <c r="W374" s="3">
        <f>IF(ISERROR(VLOOKUP($A374,'SegEnds_NonXtal_BW#'!$A:$Z,16,FALSE)+VLOOKUP($A374,A:AL,22,FALSE)-50),"-",(VLOOKUP($A374,'SegEnds_NonXtal_BW#'!$A:$Z,16,FALSE)+VLOOKUP($A374,A:AL,22,FALSE)-50))</f>
        <v>703</v>
      </c>
      <c r="X374" s="3">
        <f>IF(ISERROR(VLOOKUP($A374,'SegEnds_NonXtal_BW#'!$A:$Z,17,FALSE)+VLOOKUP($A374,A:AL,25,FALSE)-50),"-",(VLOOKUP($A374,'SegEnds_NonXtal_BW#'!$A:$Z,17,FALSE)+VLOOKUP($A374,A:AL,25,FALSE)-50))</f>
        <v>722</v>
      </c>
      <c r="Y374" s="3">
        <v>722</v>
      </c>
      <c r="Z374" s="3">
        <f t="shared" si="249"/>
        <v>724</v>
      </c>
      <c r="AA374" s="3">
        <f>IF(ISERROR(VLOOKUP($A374,'SegEnds_NonXtal_BW#'!$A:$Z,19,FALSE)+VLOOKUP($A374,A:AL,28,FALSE)-50),"-",(VLOOKUP($A374,'SegEnds_NonXtal_BW#'!$A:$Z,19,FALSE)+VLOOKUP($A374,A:AL,28,FALSE)-50))</f>
        <v>726</v>
      </c>
      <c r="AB374" s="3">
        <v>740</v>
      </c>
      <c r="AC374" s="3">
        <f>IF(ISERROR((VLOOKUP($A374,'SegEnds_NonXtal_BW#'!$A:$Z,20,FALSE)+VLOOKUP($A374,A:AL,28,FALSE)-50)),"-",(VLOOKUP($A374,'SegEnds_NonXtal_BW#'!$A:$Z,20,FALSE)+VLOOKUP($A374,A:AL,28,FALSE)-50))</f>
        <v>751</v>
      </c>
      <c r="AD374" s="3">
        <f>IF(ISERROR(VLOOKUP($A374,'SegEnds_NonXtal_BW#'!$A:$Z,21,FALSE)+VLOOKUP($A374,A:AL,31,FALSE)-50),"-",(VLOOKUP($A374,'SegEnds_NonXtal_BW#'!$A:$Z,21,FALSE)+VLOOKUP($A374,A:AL,31,FALSE)-50))</f>
        <v>760</v>
      </c>
      <c r="AE374" s="3">
        <v>777</v>
      </c>
      <c r="AF374" s="3">
        <f>IF(ISERROR((VLOOKUP($A374,'SegEnds_NonXtal_BW#'!$A:$Z,22,FALSE)+VLOOKUP($A374,A:AL,31,FALSE)-50)),"-",(VLOOKUP($A374,'SegEnds_NonXtal_BW#'!$A:$Z,22,FALSE)+VLOOKUP($A374,A:AL,31,FALSE)-50))</f>
        <v>784</v>
      </c>
      <c r="AG374" s="3">
        <f>IF(ISERROR(VLOOKUP($A374,'SegEnds_NonXtal_BW#'!$A:$Z,23,FALSE)+VLOOKUP($A374,A:AL,34,FALSE)-50),"-",(VLOOKUP($A374,'SegEnds_NonXtal_BW#'!$A:$Z,23,FALSE)+VLOOKUP($A374,A:AL,34,FALSE)-50))</f>
        <v>789</v>
      </c>
      <c r="AH374" s="3">
        <v>806</v>
      </c>
      <c r="AI374" s="3">
        <f>IF(ISERROR((VLOOKUP($A374,'SegEnds_NonXtal_BW#'!$A:$Z,24,FALSE)+VLOOKUP($A374,A:AL,34,FALSE)-50)),"-",(VLOOKUP($A374,'SegEnds_NonXtal_BW#'!$A:$Z,24,FALSE)+VLOOKUP($A374,A:AL,34,FALSE)-50))</f>
        <v>820</v>
      </c>
      <c r="AJ374" s="3">
        <f>IF(ISERROR(VLOOKUP($A374,'SegEnds_NonXtal_BW#'!$A:$Z,25,FALSE)+VLOOKUP($A374,A:AL,37,FALSE)-50),"-",(VLOOKUP($A374,'SegEnds_NonXtal_BW#'!$A:$Z,25,FALSE)+VLOOKUP($A374,A:AL,37,FALSE)-50))</f>
        <v>821</v>
      </c>
      <c r="AK374" s="3">
        <v>825</v>
      </c>
      <c r="AL374" s="3">
        <f>IF(ISERROR((VLOOKUP($A374,'SegEnds_NonXtal_BW#'!$A:$Z,26,FALSE)+VLOOKUP($A374,A:AL,37,FALSE)-50)),"-",(VLOOKUP($A374,'SegEnds_NonXtal_BW#'!$A:$Z,26,FALSE)+VLOOKUP($A374,A:AL,37,FALSE)-50))</f>
        <v>832</v>
      </c>
      <c r="AM374" s="28" t="str">
        <f>VLOOKUP(A374,Classification!A:B,2,FALSE)</f>
        <v>C</v>
      </c>
      <c r="AN374" s="28" t="b">
        <f t="shared" si="243"/>
        <v>1</v>
      </c>
      <c r="AO374" s="3" t="str">
        <f>IF(ISERROR(MATCH(A374,'SegEnds_Xtal_Prot#'!B:B, 0)), "NoXtal", "Xtal")</f>
        <v>NoXtal</v>
      </c>
      <c r="AP374" s="3">
        <f t="shared" si="228"/>
        <v>3</v>
      </c>
      <c r="AQ374" s="3">
        <f t="shared" si="229"/>
        <v>1</v>
      </c>
      <c r="AR374" s="3" t="str">
        <f t="shared" si="230"/>
        <v>-</v>
      </c>
      <c r="AS374" s="3" t="str">
        <f t="shared" si="231"/>
        <v>-</v>
      </c>
      <c r="AT374" s="3" t="str">
        <f t="shared" si="232"/>
        <v>-</v>
      </c>
      <c r="AU374" s="3" t="str">
        <f t="shared" si="233"/>
        <v>-</v>
      </c>
      <c r="AV374" s="3">
        <f t="shared" si="234"/>
        <v>19</v>
      </c>
      <c r="AW374" s="3">
        <f t="shared" si="235"/>
        <v>2</v>
      </c>
      <c r="AX374" s="3">
        <f t="shared" si="236"/>
        <v>9</v>
      </c>
      <c r="AY374" s="3">
        <f t="shared" si="237"/>
        <v>5</v>
      </c>
      <c r="AZ374" s="3">
        <f t="shared" si="238"/>
        <v>1</v>
      </c>
      <c r="BA374" s="3">
        <f>IF(ISERROR(LEN(VLOOKUP(A374,Seqs!A:E,2,FALSE))-AL374),"-",LEN(VLOOKUP(A374,Seqs!A:E,2,FALSE))-AL374)</f>
        <v>20</v>
      </c>
      <c r="BB374" s="16">
        <f t="shared" si="239"/>
        <v>31</v>
      </c>
      <c r="BC374" s="9" t="str">
        <f t="shared" si="240"/>
        <v>-</v>
      </c>
      <c r="BD374" s="3">
        <f t="shared" si="241"/>
        <v>31</v>
      </c>
      <c r="BE374" s="3">
        <f t="shared" si="242"/>
        <v>37</v>
      </c>
      <c r="BF374" s="3">
        <f>AH374-AE374</f>
        <v>29</v>
      </c>
    </row>
    <row r="375" spans="1:58" s="3" customFormat="1" x14ac:dyDescent="0.2">
      <c r="A375" s="3" t="s">
        <v>442</v>
      </c>
      <c r="B375" s="3" t="str">
        <f>LOWER(VLOOKUP(A375,Xtal_Templ!A:B,2,FALSE))</f>
        <v>fzd4_human</v>
      </c>
      <c r="C375" s="3">
        <f>VLOOKUP($A375,'SegEnds_NonXtal_BW#'!$A:$Z,3,FALSE)+D375-50</f>
        <v>312</v>
      </c>
      <c r="D375" s="3">
        <v>334</v>
      </c>
      <c r="E375" s="3">
        <f>IF(ISERROR(VLOOKUP($A375,'SegEnds_NonXtal_BW#'!$A:$Z,4,FALSE)+VLOOKUP($A375,A:AL,4,FALSE)-50),"-",(VLOOKUP($A375,'SegEnds_NonXtal_BW#'!$A:$Z,4,FALSE)+VLOOKUP($A375,A:AL,4,FALSE)-50))</f>
        <v>344</v>
      </c>
      <c r="F375" s="3">
        <f t="shared" si="245"/>
        <v>345</v>
      </c>
      <c r="G375" s="3">
        <v>348</v>
      </c>
      <c r="H375" s="3">
        <f t="shared" ref="H375:H385" si="250">G375+1</f>
        <v>349</v>
      </c>
      <c r="I375" s="3">
        <f t="shared" si="247"/>
        <v>350</v>
      </c>
      <c r="J375" s="3">
        <v>360</v>
      </c>
      <c r="K375" s="3">
        <f>VLOOKUP($A375,'SegEnds_NonXtal_BW#'!$A:$Z,8,FALSE)+VLOOKUP($A375,A:AL,10,FALSE)-50</f>
        <v>376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399</v>
      </c>
      <c r="P375" s="3">
        <v>427</v>
      </c>
      <c r="Q375" s="3">
        <f>VLOOKUP($A375,'SegEnds_NonXtal_BW#'!$A:$Z,12,FALSE)+VLOOKUP($A375,A:AL,16,FALSE)-50</f>
        <v>432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443</v>
      </c>
      <c r="V375" s="3">
        <v>452</v>
      </c>
      <c r="W375" s="3">
        <f>IF(ISERROR(VLOOKUP($A375,'SegEnds_NonXtal_BW#'!$A:$Z,16,FALSE)+VLOOKUP($A375,A:AL,22,FALSE)-50),"-",(VLOOKUP($A375,'SegEnds_NonXtal_BW#'!$A:$Z,16,FALSE)+VLOOKUP($A375,A:AL,22,FALSE)-50))</f>
        <v>466</v>
      </c>
      <c r="X375" s="3">
        <f>IF(ISERROR(VLOOKUP($A375,'SegEnds_NonXtal_BW#'!$A:$Z,17,FALSE)+VLOOKUP($A375,A:AL,25,FALSE)-50),"-",(VLOOKUP($A375,'SegEnds_NonXtal_BW#'!$A:$Z,17,FALSE)+VLOOKUP($A375,A:AL,25,FALSE)-50))</f>
        <v>477</v>
      </c>
      <c r="Y375" s="3">
        <v>477</v>
      </c>
      <c r="Z375" s="3">
        <f t="shared" si="249"/>
        <v>479</v>
      </c>
      <c r="AA375" s="3">
        <f>IF(ISERROR(VLOOKUP($A375,'SegEnds_NonXtal_BW#'!$A:$Z,19,FALSE)+VLOOKUP($A375,A:AL,28,FALSE)-50),"-",(VLOOKUP($A375,'SegEnds_NonXtal_BW#'!$A:$Z,19,FALSE)+VLOOKUP($A375,A:AL,28,FALSE)-50))</f>
        <v>483</v>
      </c>
      <c r="AB375" s="3">
        <v>498</v>
      </c>
      <c r="AC375" s="3">
        <f>IF(ISERROR((VLOOKUP($A375,'SegEnds_NonXtal_BW#'!$A:$Z,20,FALSE)+VLOOKUP($A375,A:AL,28,FALSE)-50)),"-",(VLOOKUP($A375,'SegEnds_NonXtal_BW#'!$A:$Z,20,FALSE)+VLOOKUP($A375,A:AL,28,FALSE)-50))</f>
        <v>520</v>
      </c>
      <c r="AD375" s="3">
        <f>IF(ISERROR(VLOOKUP($A375,'SegEnds_NonXtal_BW#'!$A:$Z,21,FALSE)+VLOOKUP($A375,A:AL,31,FALSE)-50),"-",(VLOOKUP($A375,'SegEnds_NonXtal_BW#'!$A:$Z,21,FALSE)+VLOOKUP($A375,A:AL,31,FALSE)-50))</f>
        <v>531</v>
      </c>
      <c r="AE375" s="3">
        <v>553</v>
      </c>
      <c r="AF375" s="3">
        <f>IF(ISERROR((VLOOKUP($A375,'SegEnds_NonXtal_BW#'!$A:$Z,22,FALSE)+VLOOKUP($A375,A:AL,31,FALSE)-50)),"-",(VLOOKUP($A375,'SegEnds_NonXtal_BW#'!$A:$Z,22,FALSE)+VLOOKUP($A375,A:AL,31,FALSE)-50))</f>
        <v>581</v>
      </c>
      <c r="AG375" s="3">
        <f>IF(ISERROR(VLOOKUP($A375,'SegEnds_NonXtal_BW#'!$A:$Z,23,FALSE)+VLOOKUP($A375,A:AL,34,FALSE)-50),"-",(VLOOKUP($A375,'SegEnds_NonXtal_BW#'!$A:$Z,23,FALSE)+VLOOKUP($A375,A:AL,34,FALSE)-50))</f>
        <v>599</v>
      </c>
      <c r="AH375" s="3">
        <v>615</v>
      </c>
      <c r="AI375" s="3">
        <f>IF(ISERROR((VLOOKUP($A375,'SegEnds_NonXtal_BW#'!$A:$Z,24,FALSE)+VLOOKUP($A375,A:AL,34,FALSE)-50)),"-",(VLOOKUP($A375,'SegEnds_NonXtal_BW#'!$A:$Z,24,FALSE)+VLOOKUP($A375,A:AL,34,FALSE)-50))</f>
        <v>622</v>
      </c>
      <c r="AJ375" s="3">
        <f>IF(ISERROR(VLOOKUP($A375,'SegEnds_NonXtal_BW#'!$A:$Z,25,FALSE)+VLOOKUP($A375,A:AL,37,FALSE)-50),"-",(VLOOKUP($A375,'SegEnds_NonXtal_BW#'!$A:$Z,25,FALSE)+VLOOKUP($A375,A:AL,37,FALSE)-50))</f>
        <v>623</v>
      </c>
      <c r="AK375" s="3">
        <v>626</v>
      </c>
      <c r="AL375" s="3">
        <f>IF(ISERROR((VLOOKUP($A375,'SegEnds_NonXtal_BW#'!$A:$Z,26,FALSE)+VLOOKUP($A375,A:AL,37,FALSE)-50)),"-",(VLOOKUP($A375,'SegEnds_NonXtal_BW#'!$A:$Z,26,FALSE)+VLOOKUP($A375,A:AL,37,FALSE)-50))</f>
        <v>638</v>
      </c>
      <c r="AM375" s="28" t="str">
        <f>VLOOKUP(A375,Classification!A:B,2,FALSE)</f>
        <v>F</v>
      </c>
      <c r="AN375" s="28" t="b">
        <f t="shared" si="243"/>
        <v>1</v>
      </c>
      <c r="AO375" s="3" t="str">
        <f>IF(ISERROR(MATCH(A375,'SegEnds_Xtal_Prot#'!B:B, 0)), "NoXtal", "Xtal")</f>
        <v>NoXtal</v>
      </c>
      <c r="AP375" s="3">
        <f t="shared" si="228"/>
        <v>1</v>
      </c>
      <c r="AQ375" s="3">
        <f t="shared" si="229"/>
        <v>1</v>
      </c>
      <c r="AR375" s="3" t="str">
        <f t="shared" si="230"/>
        <v>-</v>
      </c>
      <c r="AS375" s="3" t="str">
        <f t="shared" si="231"/>
        <v>-</v>
      </c>
      <c r="AT375" s="3" t="str">
        <f t="shared" si="232"/>
        <v>-</v>
      </c>
      <c r="AU375" s="3" t="str">
        <f t="shared" si="233"/>
        <v>-</v>
      </c>
      <c r="AV375" s="3">
        <f t="shared" si="234"/>
        <v>11</v>
      </c>
      <c r="AW375" s="3">
        <f t="shared" si="235"/>
        <v>4</v>
      </c>
      <c r="AX375" s="3">
        <f t="shared" si="236"/>
        <v>11</v>
      </c>
      <c r="AY375" s="3">
        <f t="shared" si="237"/>
        <v>18</v>
      </c>
      <c r="AZ375" s="3">
        <f t="shared" si="238"/>
        <v>1</v>
      </c>
      <c r="BA375" s="3">
        <f>IF(ISERROR(LEN(VLOOKUP(A375,Seqs!A:E,2,FALSE))-AL375),"-",LEN(VLOOKUP(A375,Seqs!A:E,2,FALSE))-AL375)</f>
        <v>9</v>
      </c>
      <c r="BB375" s="16">
        <f t="shared" si="239"/>
        <v>26</v>
      </c>
      <c r="BC375" s="9" t="str">
        <f t="shared" si="240"/>
        <v>-</v>
      </c>
      <c r="BD375" s="3">
        <f t="shared" si="241"/>
        <v>26</v>
      </c>
      <c r="BE375" s="3">
        <f t="shared" si="242"/>
        <v>55</v>
      </c>
      <c r="BF375" s="3">
        <f>AH375-AE375</f>
        <v>62</v>
      </c>
    </row>
    <row r="376" spans="1:58" s="3" customFormat="1" x14ac:dyDescent="0.2">
      <c r="A376" s="3" t="s">
        <v>443</v>
      </c>
      <c r="B376" s="3" t="str">
        <f>LOWER(VLOOKUP(A376,Xtal_Templ!A:B,2,FALSE))</f>
        <v>fzd4_human</v>
      </c>
      <c r="C376" s="3">
        <f>VLOOKUP($A376,'SegEnds_NonXtal_BW#'!$A:$Z,3,FALSE)+D376-50</f>
        <v>220</v>
      </c>
      <c r="D376" s="3">
        <v>242</v>
      </c>
      <c r="E376" s="3">
        <f>IF(ISERROR(VLOOKUP($A376,'SegEnds_NonXtal_BW#'!$A:$Z,4,FALSE)+VLOOKUP($A376,A:AL,4,FALSE)-50),"-",(VLOOKUP($A376,'SegEnds_NonXtal_BW#'!$A:$Z,4,FALSE)+VLOOKUP($A376,A:AL,4,FALSE)-50))</f>
        <v>252</v>
      </c>
      <c r="F376" s="3">
        <f t="shared" si="245"/>
        <v>253</v>
      </c>
      <c r="G376" s="3">
        <v>256</v>
      </c>
      <c r="H376" s="3">
        <f t="shared" si="250"/>
        <v>257</v>
      </c>
      <c r="I376" s="3">
        <f t="shared" si="247"/>
        <v>258</v>
      </c>
      <c r="J376" s="3">
        <v>268</v>
      </c>
      <c r="K376" s="3">
        <f>VLOOKUP($A376,'SegEnds_NonXtal_BW#'!$A:$Z,8,FALSE)+VLOOKUP($A376,A:AL,10,FALSE)-50</f>
        <v>284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306</v>
      </c>
      <c r="P376" s="3">
        <v>334</v>
      </c>
      <c r="Q376" s="3">
        <f>VLOOKUP($A376,'SegEnds_NonXtal_BW#'!$A:$Z,12,FALSE)+VLOOKUP($A376,A:AL,16,FALSE)-50</f>
        <v>339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350</v>
      </c>
      <c r="V376" s="3">
        <v>359</v>
      </c>
      <c r="W376" s="3">
        <f>IF(ISERROR(VLOOKUP($A376,'SegEnds_NonXtal_BW#'!$A:$Z,16,FALSE)+VLOOKUP($A376,A:AL,22,FALSE)-50),"-",(VLOOKUP($A376,'SegEnds_NonXtal_BW#'!$A:$Z,16,FALSE)+VLOOKUP($A376,A:AL,22,FALSE)-50))</f>
        <v>373</v>
      </c>
      <c r="X376" s="3">
        <f>IF(ISERROR(VLOOKUP($A376,'SegEnds_NonXtal_BW#'!$A:$Z,17,FALSE)+VLOOKUP($A376,A:AL,25,FALSE)-50),"-",(VLOOKUP($A376,'SegEnds_NonXtal_BW#'!$A:$Z,17,FALSE)+VLOOKUP($A376,A:AL,25,FALSE)-50))</f>
        <v>384</v>
      </c>
      <c r="Y376" s="3">
        <v>384</v>
      </c>
      <c r="Z376" s="3">
        <f t="shared" si="249"/>
        <v>386</v>
      </c>
      <c r="AA376" s="3">
        <f>IF(ISERROR(VLOOKUP($A376,'SegEnds_NonXtal_BW#'!$A:$Z,19,FALSE)+VLOOKUP($A376,A:AL,28,FALSE)-50),"-",(VLOOKUP($A376,'SegEnds_NonXtal_BW#'!$A:$Z,19,FALSE)+VLOOKUP($A376,A:AL,28,FALSE)-50))</f>
        <v>390</v>
      </c>
      <c r="AB376" s="3">
        <v>405</v>
      </c>
      <c r="AC376" s="3">
        <f>IF(ISERROR((VLOOKUP($A376,'SegEnds_NonXtal_BW#'!$A:$Z,20,FALSE)+VLOOKUP($A376,A:AL,28,FALSE)-50)),"-",(VLOOKUP($A376,'SegEnds_NonXtal_BW#'!$A:$Z,20,FALSE)+VLOOKUP($A376,A:AL,28,FALSE)-50))</f>
        <v>427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3">
        <v>460</v>
      </c>
      <c r="AF376" s="3">
        <f>IF(ISERROR((VLOOKUP($A376,'SegEnds_NonXtal_BW#'!$A:$Z,22,FALSE)+VLOOKUP($A376,A:AL,31,FALSE)-50)),"-",(VLOOKUP($A376,'SegEnds_NonXtal_BW#'!$A:$Z,22,FALSE)+VLOOKUP($A376,A:AL,31,FALSE)-50))</f>
        <v>488</v>
      </c>
      <c r="AG376" s="3">
        <f>IF(ISERROR(VLOOKUP($A376,'SegEnds_NonXtal_BW#'!$A:$Z,23,FALSE)+VLOOKUP($A376,A:AL,34,FALSE)-50),"-",(VLOOKUP($A376,'SegEnds_NonXtal_BW#'!$A:$Z,23,FALSE)+VLOOKUP($A376,A:AL,34,FALSE)-50))</f>
        <v>500</v>
      </c>
      <c r="AH376" s="3">
        <v>516</v>
      </c>
      <c r="AI376" s="3">
        <f>IF(ISERROR((VLOOKUP($A376,'SegEnds_NonXtal_BW#'!$A:$Z,24,FALSE)+VLOOKUP($A376,A:AL,34,FALSE)-50)),"-",(VLOOKUP($A376,'SegEnds_NonXtal_BW#'!$A:$Z,24,FALSE)+VLOOKUP($A376,A:AL,34,FALSE)-50))</f>
        <v>523</v>
      </c>
      <c r="AJ376" s="3">
        <f>IF(ISERROR(VLOOKUP($A376,'SegEnds_NonXtal_BW#'!$A:$Z,25,FALSE)+VLOOKUP($A376,A:AL,37,FALSE)-50),"-",(VLOOKUP($A376,'SegEnds_NonXtal_BW#'!$A:$Z,25,FALSE)+VLOOKUP($A376,A:AL,37,FALSE)-50))</f>
        <v>524</v>
      </c>
      <c r="AK376" s="3">
        <v>527</v>
      </c>
      <c r="AL376" s="3">
        <f>IF(ISERROR((VLOOKUP($A376,'SegEnds_NonXtal_BW#'!$A:$Z,26,FALSE)+VLOOKUP($A376,A:AL,37,FALSE)-50)),"-",(VLOOKUP($A376,'SegEnds_NonXtal_BW#'!$A:$Z,26,FALSE)+VLOOKUP($A376,A:AL,37,FALSE)-50))</f>
        <v>539</v>
      </c>
      <c r="AM376" s="28" t="str">
        <f>VLOOKUP(A376,Classification!A:B,2,FALSE)</f>
        <v>F</v>
      </c>
      <c r="AN376" s="28" t="b">
        <f t="shared" si="243"/>
        <v>1</v>
      </c>
      <c r="AO376" s="3" t="str">
        <f>IF(ISERROR(MATCH(A376,'SegEnds_Xtal_Prot#'!B:B, 0)), "NoXtal", "Xtal")</f>
        <v>NoXtal</v>
      </c>
      <c r="AP376" s="3">
        <f t="shared" si="228"/>
        <v>1</v>
      </c>
      <c r="AQ376" s="3">
        <f t="shared" si="229"/>
        <v>1</v>
      </c>
      <c r="AR376" s="3" t="str">
        <f t="shared" si="230"/>
        <v>-</v>
      </c>
      <c r="AS376" s="3" t="str">
        <f t="shared" si="231"/>
        <v>-</v>
      </c>
      <c r="AT376" s="3" t="str">
        <f t="shared" si="232"/>
        <v>-</v>
      </c>
      <c r="AU376" s="3" t="str">
        <f t="shared" si="233"/>
        <v>-</v>
      </c>
      <c r="AV376" s="3">
        <f t="shared" si="234"/>
        <v>11</v>
      </c>
      <c r="AW376" s="3">
        <f t="shared" si="235"/>
        <v>4</v>
      </c>
      <c r="AX376" s="3">
        <f t="shared" si="236"/>
        <v>11</v>
      </c>
      <c r="AY376" s="3">
        <f t="shared" si="237"/>
        <v>12</v>
      </c>
      <c r="AZ376" s="3">
        <f t="shared" si="238"/>
        <v>1</v>
      </c>
      <c r="BA376" s="3">
        <f>IF(ISERROR(LEN(VLOOKUP(A376,Seqs!A:E,2,FALSE))-AL376),"-",LEN(VLOOKUP(A376,Seqs!A:E,2,FALSE))-AL376)</f>
        <v>42</v>
      </c>
      <c r="BB376" s="16">
        <f t="shared" si="239"/>
        <v>26</v>
      </c>
      <c r="BC376" s="9" t="str">
        <f t="shared" si="240"/>
        <v>-</v>
      </c>
      <c r="BD376" s="3">
        <f t="shared" si="241"/>
        <v>26</v>
      </c>
      <c r="BE376" s="3">
        <f t="shared" si="242"/>
        <v>55</v>
      </c>
    </row>
    <row r="377" spans="1:58" s="3" customFormat="1" x14ac:dyDescent="0.2">
      <c r="A377" s="3" t="s">
        <v>444</v>
      </c>
      <c r="B377" s="3" t="str">
        <f>LOWER(VLOOKUP(A377,Xtal_Templ!A:B,2,FALSE))</f>
        <v>fzd4_human</v>
      </c>
      <c r="C377" s="3">
        <f>VLOOKUP($A377,'SegEnds_NonXtal_BW#'!$A:$Z,3,FALSE)+D377-50</f>
        <v>237</v>
      </c>
      <c r="D377" s="3">
        <v>259</v>
      </c>
      <c r="E377" s="3">
        <f>IF(ISERROR(VLOOKUP($A377,'SegEnds_NonXtal_BW#'!$A:$Z,4,FALSE)+VLOOKUP($A377,A:AL,4,FALSE)-50),"-",(VLOOKUP($A377,'SegEnds_NonXtal_BW#'!$A:$Z,4,FALSE)+VLOOKUP($A377,A:AL,4,FALSE)-50))</f>
        <v>269</v>
      </c>
      <c r="F377" s="3">
        <f t="shared" si="245"/>
        <v>270</v>
      </c>
      <c r="G377" s="3">
        <v>273</v>
      </c>
      <c r="H377" s="3">
        <f t="shared" si="250"/>
        <v>274</v>
      </c>
      <c r="I377" s="3">
        <f t="shared" si="247"/>
        <v>275</v>
      </c>
      <c r="J377" s="3">
        <v>285</v>
      </c>
      <c r="K377" s="3">
        <f>VLOOKUP($A377,'SegEnds_NonXtal_BW#'!$A:$Z,8,FALSE)+VLOOKUP($A377,A:AL,10,FALSE)-50</f>
        <v>301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324</v>
      </c>
      <c r="P377" s="3">
        <v>352</v>
      </c>
      <c r="Q377" s="3">
        <f>VLOOKUP($A377,'SegEnds_NonXtal_BW#'!$A:$Z,12,FALSE)+VLOOKUP($A377,A:AL,16,FALSE)-50</f>
        <v>357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368</v>
      </c>
      <c r="V377" s="3">
        <v>377</v>
      </c>
      <c r="W377" s="3">
        <f>IF(ISERROR(VLOOKUP($A377,'SegEnds_NonXtal_BW#'!$A:$Z,16,FALSE)+VLOOKUP($A377,A:AL,22,FALSE)-50),"-",(VLOOKUP($A377,'SegEnds_NonXtal_BW#'!$A:$Z,16,FALSE)+VLOOKUP($A377,A:AL,22,FALSE)-50))</f>
        <v>391</v>
      </c>
      <c r="X377" s="3">
        <f>IF(ISERROR(VLOOKUP($A377,'SegEnds_NonXtal_BW#'!$A:$Z,17,FALSE)+VLOOKUP($A377,A:AL,25,FALSE)-50),"-",(VLOOKUP($A377,'SegEnds_NonXtal_BW#'!$A:$Z,17,FALSE)+VLOOKUP($A377,A:AL,25,FALSE)-50))</f>
        <v>402</v>
      </c>
      <c r="Y377" s="3">
        <v>402</v>
      </c>
      <c r="Z377" s="3">
        <f t="shared" si="249"/>
        <v>404</v>
      </c>
      <c r="AA377" s="3">
        <f>IF(ISERROR(VLOOKUP($A377,'SegEnds_NonXtal_BW#'!$A:$Z,19,FALSE)+VLOOKUP($A377,A:AL,28,FALSE)-50),"-",(VLOOKUP($A377,'SegEnds_NonXtal_BW#'!$A:$Z,19,FALSE)+VLOOKUP($A377,A:AL,28,FALSE)-50))</f>
        <v>408</v>
      </c>
      <c r="AB377" s="3">
        <v>423</v>
      </c>
      <c r="AC377" s="3">
        <f>IF(ISERROR((VLOOKUP($A377,'SegEnds_NonXtal_BW#'!$A:$Z,20,FALSE)+VLOOKUP($A377,A:AL,28,FALSE)-50)),"-",(VLOOKUP($A377,'SegEnds_NonXtal_BW#'!$A:$Z,20,FALSE)+VLOOKUP($A377,A:AL,28,FALSE)-50))</f>
        <v>445</v>
      </c>
      <c r="AD377" s="3">
        <f>IF(ISERROR(VLOOKUP($A377,'SegEnds_NonXtal_BW#'!$A:$Z,21,FALSE)+VLOOKUP($A377,A:AL,31,FALSE)-50),"-",(VLOOKUP($A377,'SegEnds_NonXtal_BW#'!$A:$Z,21,FALSE)+VLOOKUP($A377,A:AL,31,FALSE)-50))</f>
        <v>456</v>
      </c>
      <c r="AE377" s="3">
        <v>478</v>
      </c>
      <c r="AF377" s="3">
        <f>IF(ISERROR((VLOOKUP($A377,'SegEnds_NonXtal_BW#'!$A:$Z,22,FALSE)+VLOOKUP($A377,A:AL,31,FALSE)-50)),"-",(VLOOKUP($A377,'SegEnds_NonXtal_BW#'!$A:$Z,22,FALSE)+VLOOKUP($A377,A:AL,31,FALSE)-50))</f>
        <v>506</v>
      </c>
      <c r="AG377" s="3">
        <f>IF(ISERROR(VLOOKUP($A377,'SegEnds_NonXtal_BW#'!$A:$Z,23,FALSE)+VLOOKUP($A377,A:AL,34,FALSE)-50),"-",(VLOOKUP($A377,'SegEnds_NonXtal_BW#'!$A:$Z,23,FALSE)+VLOOKUP($A377,A:AL,34,FALSE)-50))</f>
        <v>517</v>
      </c>
      <c r="AH377" s="3">
        <v>533</v>
      </c>
      <c r="AI377" s="3">
        <f>IF(ISERROR((VLOOKUP($A377,'SegEnds_NonXtal_BW#'!$A:$Z,24,FALSE)+VLOOKUP($A377,A:AL,34,FALSE)-50)),"-",(VLOOKUP($A377,'SegEnds_NonXtal_BW#'!$A:$Z,24,FALSE)+VLOOKUP($A377,A:AL,34,FALSE)-50))</f>
        <v>540</v>
      </c>
      <c r="AJ377" s="3">
        <f>IF(ISERROR(VLOOKUP($A377,'SegEnds_NonXtal_BW#'!$A:$Z,25,FALSE)+VLOOKUP($A377,A:AL,37,FALSE)-50),"-",(VLOOKUP($A377,'SegEnds_NonXtal_BW#'!$A:$Z,25,FALSE)+VLOOKUP($A377,A:AL,37,FALSE)-50))</f>
        <v>541</v>
      </c>
      <c r="AK377" s="3">
        <v>544</v>
      </c>
      <c r="AL377" s="3">
        <f>IF(ISERROR((VLOOKUP($A377,'SegEnds_NonXtal_BW#'!$A:$Z,26,FALSE)+VLOOKUP($A377,A:AL,37,FALSE)-50)),"-",(VLOOKUP($A377,'SegEnds_NonXtal_BW#'!$A:$Z,26,FALSE)+VLOOKUP($A377,A:AL,37,FALSE)-50))</f>
        <v>556</v>
      </c>
      <c r="AM377" s="28" t="str">
        <f>VLOOKUP(A377,Classification!A:B,2,FALSE)</f>
        <v>F</v>
      </c>
      <c r="AN377" s="28" t="b">
        <f t="shared" si="243"/>
        <v>1</v>
      </c>
      <c r="AO377" s="3" t="str">
        <f>IF(ISERROR(MATCH(A377,'SegEnds_Xtal_Prot#'!B:B, 0)), "NoXtal", "Xtal")</f>
        <v>NoXtal</v>
      </c>
      <c r="AP377" s="3">
        <f t="shared" si="228"/>
        <v>1</v>
      </c>
      <c r="AQ377" s="3">
        <f t="shared" si="229"/>
        <v>1</v>
      </c>
      <c r="AR377" s="3" t="str">
        <f t="shared" si="230"/>
        <v>-</v>
      </c>
      <c r="AS377" s="3" t="str">
        <f t="shared" si="231"/>
        <v>-</v>
      </c>
      <c r="AT377" s="3" t="str">
        <f t="shared" si="232"/>
        <v>-</v>
      </c>
      <c r="AU377" s="3" t="str">
        <f t="shared" si="233"/>
        <v>-</v>
      </c>
      <c r="AV377" s="3">
        <f t="shared" si="234"/>
        <v>11</v>
      </c>
      <c r="AW377" s="3">
        <f t="shared" si="235"/>
        <v>4</v>
      </c>
      <c r="AX377" s="3">
        <f t="shared" si="236"/>
        <v>11</v>
      </c>
      <c r="AY377" s="3">
        <f t="shared" si="237"/>
        <v>11</v>
      </c>
      <c r="AZ377" s="3">
        <f t="shared" si="238"/>
        <v>1</v>
      </c>
      <c r="BA377" s="3">
        <f>IF(ISERROR(LEN(VLOOKUP(A377,Seqs!A:E,2,FALSE))-AL377),"-",LEN(VLOOKUP(A377,Seqs!A:E,2,FALSE))-AL377)</f>
        <v>9</v>
      </c>
      <c r="BB377" s="16">
        <f t="shared" si="239"/>
        <v>26</v>
      </c>
      <c r="BC377" s="9" t="str">
        <f t="shared" si="240"/>
        <v>-</v>
      </c>
      <c r="BD377" s="3">
        <f t="shared" si="241"/>
        <v>26</v>
      </c>
      <c r="BE377" s="3">
        <f t="shared" si="242"/>
        <v>55</v>
      </c>
      <c r="BF377" s="3">
        <f>AH377-AE377</f>
        <v>55</v>
      </c>
    </row>
    <row r="378" spans="1:58" s="3" customFormat="1" x14ac:dyDescent="0.2">
      <c r="A378" s="3" t="s">
        <v>445</v>
      </c>
      <c r="B378" s="3" t="str">
        <f>LOWER(VLOOKUP(A378,Xtal_Templ!A:B,2,FALSE))</f>
        <v>fzd4_human</v>
      </c>
      <c r="C378" s="3">
        <f>VLOOKUP($A378,'SegEnds_NonXtal_BW#'!$A:$Z,3,FALSE)+D378-50</f>
        <v>195</v>
      </c>
      <c r="D378" s="3">
        <v>217</v>
      </c>
      <c r="E378" s="3">
        <f>IF(ISERROR(VLOOKUP($A378,'SegEnds_NonXtal_BW#'!$A:$Z,4,FALSE)+VLOOKUP($A378,A:AL,4,FALSE)-50),"-",(VLOOKUP($A378,'SegEnds_NonXtal_BW#'!$A:$Z,4,FALSE)+VLOOKUP($A378,A:AL,4,FALSE)-50))</f>
        <v>227</v>
      </c>
      <c r="F378" s="3">
        <f t="shared" si="245"/>
        <v>228</v>
      </c>
      <c r="G378" s="3">
        <v>231</v>
      </c>
      <c r="H378" s="3">
        <f t="shared" si="250"/>
        <v>232</v>
      </c>
      <c r="I378" s="3">
        <f t="shared" si="247"/>
        <v>233</v>
      </c>
      <c r="J378" s="3">
        <v>243</v>
      </c>
      <c r="K378" s="3">
        <f>VLOOKUP($A378,'SegEnds_NonXtal_BW#'!$A:$Z,8,FALSE)+VLOOKUP($A378,A:AL,10,FALSE)-50</f>
        <v>259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283</v>
      </c>
      <c r="P378" s="3">
        <v>311</v>
      </c>
      <c r="Q378" s="3">
        <f>VLOOKUP($A378,'SegEnds_NonXtal_BW#'!$A:$Z,12,FALSE)+VLOOKUP($A378,A:AL,16,FALSE)-50</f>
        <v>316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327</v>
      </c>
      <c r="V378" s="3">
        <v>336</v>
      </c>
      <c r="W378" s="3">
        <f>IF(ISERROR(VLOOKUP($A378,'SegEnds_NonXtal_BW#'!$A:$Z,16,FALSE)+VLOOKUP($A378,A:AL,22,FALSE)-50),"-",(VLOOKUP($A378,'SegEnds_NonXtal_BW#'!$A:$Z,16,FALSE)+VLOOKUP($A378,A:AL,22,FALSE)-50))</f>
        <v>350</v>
      </c>
      <c r="X378" s="3">
        <f>IF(ISERROR(VLOOKUP($A378,'SegEnds_NonXtal_BW#'!$A:$Z,17,FALSE)+VLOOKUP($A378,A:AL,25,FALSE)-50),"-",(VLOOKUP($A378,'SegEnds_NonXtal_BW#'!$A:$Z,17,FALSE)+VLOOKUP($A378,A:AL,25,FALSE)-50))</f>
        <v>361</v>
      </c>
      <c r="Y378" s="3">
        <v>361</v>
      </c>
      <c r="Z378" s="3">
        <f t="shared" si="249"/>
        <v>363</v>
      </c>
      <c r="AA378" s="3">
        <f>IF(ISERROR(VLOOKUP($A378,'SegEnds_NonXtal_BW#'!$A:$Z,19,FALSE)+VLOOKUP($A378,A:AL,28,FALSE)-50),"-",(VLOOKUP($A378,'SegEnds_NonXtal_BW#'!$A:$Z,19,FALSE)+VLOOKUP($A378,A:AL,28,FALSE)-50))</f>
        <v>367</v>
      </c>
      <c r="AB378" s="3">
        <v>382</v>
      </c>
      <c r="AC378" s="3">
        <f>IF(ISERROR((VLOOKUP($A378,'SegEnds_NonXtal_BW#'!$A:$Z,20,FALSE)+VLOOKUP($A378,A:AL,28,FALSE)-50)),"-",(VLOOKUP($A378,'SegEnds_NonXtal_BW#'!$A:$Z,20,FALSE)+VLOOKUP($A378,A:AL,28,FALSE)-50))</f>
        <v>404</v>
      </c>
      <c r="AD378" s="3">
        <f>IF(ISERROR(VLOOKUP($A378,'SegEnds_NonXtal_BW#'!$A:$Z,21,FALSE)+VLOOKUP($A378,A:AL,31,FALSE)-50),"-",(VLOOKUP($A378,'SegEnds_NonXtal_BW#'!$A:$Z,21,FALSE)+VLOOKUP($A378,A:AL,31,FALSE)-50))</f>
        <v>415</v>
      </c>
      <c r="AE378" s="3">
        <v>437</v>
      </c>
      <c r="AF378" s="3">
        <f>IF(ISERROR((VLOOKUP($A378,'SegEnds_NonXtal_BW#'!$A:$Z,22,FALSE)+VLOOKUP($A378,A:AL,31,FALSE)-50)),"-",(VLOOKUP($A378,'SegEnds_NonXtal_BW#'!$A:$Z,22,FALSE)+VLOOKUP($A378,A:AL,31,FALSE)-50))</f>
        <v>465</v>
      </c>
      <c r="AG378" s="3">
        <f>IF(ISERROR(VLOOKUP($A378,'SegEnds_NonXtal_BW#'!$A:$Z,23,FALSE)+VLOOKUP($A378,A:AL,34,FALSE)-50),"-",(VLOOKUP($A378,'SegEnds_NonXtal_BW#'!$A:$Z,23,FALSE)+VLOOKUP($A378,A:AL,34,FALSE)-50))</f>
        <v>476</v>
      </c>
      <c r="AH378" s="3">
        <v>492</v>
      </c>
      <c r="AI378" s="3">
        <f>IF(ISERROR((VLOOKUP($A378,'SegEnds_NonXtal_BW#'!$A:$Z,24,FALSE)+VLOOKUP($A378,A:AL,34,FALSE)-50)),"-",(VLOOKUP($A378,'SegEnds_NonXtal_BW#'!$A:$Z,24,FALSE)+VLOOKUP($A378,A:AL,34,FALSE)-50))</f>
        <v>499</v>
      </c>
      <c r="AJ378" s="3">
        <f>IF(ISERROR(VLOOKUP($A378,'SegEnds_NonXtal_BW#'!$A:$Z,25,FALSE)+VLOOKUP($A378,A:AL,37,FALSE)-50),"-",(VLOOKUP($A378,'SegEnds_NonXtal_BW#'!$A:$Z,25,FALSE)+VLOOKUP($A378,A:AL,37,FALSE)-50))</f>
        <v>500</v>
      </c>
      <c r="AK378" s="3">
        <v>503</v>
      </c>
      <c r="AL378" s="3">
        <f>IF(ISERROR((VLOOKUP($A378,'SegEnds_NonXtal_BW#'!$A:$Z,26,FALSE)+VLOOKUP($A378,A:AL,37,FALSE)-50)),"-",(VLOOKUP($A378,'SegEnds_NonXtal_BW#'!$A:$Z,26,FALSE)+VLOOKUP($A378,A:AL,37,FALSE)-50))</f>
        <v>515</v>
      </c>
      <c r="AM378" s="28" t="str">
        <f>VLOOKUP(A378,Classification!A:B,2,FALSE)</f>
        <v>F</v>
      </c>
      <c r="AN378" s="28" t="b">
        <f t="shared" si="243"/>
        <v>1</v>
      </c>
      <c r="AO378" s="3" t="str">
        <f>IF(ISERROR(MATCH(A378,'SegEnds_Xtal_Prot#'!B:B, 0)), "NoXtal", "Xtal")</f>
        <v>NoXtal</v>
      </c>
      <c r="AP378" s="3">
        <f t="shared" si="228"/>
        <v>1</v>
      </c>
      <c r="AQ378" s="3">
        <f t="shared" si="229"/>
        <v>1</v>
      </c>
      <c r="AR378" s="3" t="str">
        <f t="shared" si="230"/>
        <v>-</v>
      </c>
      <c r="AS378" s="3" t="str">
        <f t="shared" si="231"/>
        <v>-</v>
      </c>
      <c r="AT378" s="3" t="str">
        <f t="shared" si="232"/>
        <v>-</v>
      </c>
      <c r="AU378" s="3" t="str">
        <f t="shared" si="233"/>
        <v>-</v>
      </c>
      <c r="AV378" s="3">
        <f t="shared" si="234"/>
        <v>11</v>
      </c>
      <c r="AW378" s="3">
        <f t="shared" si="235"/>
        <v>4</v>
      </c>
      <c r="AX378" s="3">
        <f t="shared" si="236"/>
        <v>11</v>
      </c>
      <c r="AY378" s="3">
        <f t="shared" si="237"/>
        <v>11</v>
      </c>
      <c r="AZ378" s="3">
        <f t="shared" si="238"/>
        <v>1</v>
      </c>
      <c r="BA378" s="3">
        <f>IF(ISERROR(LEN(VLOOKUP(A378,Seqs!A:E,2,FALSE))-AL378),"-",LEN(VLOOKUP(A378,Seqs!A:E,2,FALSE))-AL378)</f>
        <v>151</v>
      </c>
      <c r="BB378" s="16">
        <f t="shared" si="239"/>
        <v>26</v>
      </c>
      <c r="BC378" s="9" t="str">
        <f t="shared" si="240"/>
        <v>-</v>
      </c>
      <c r="BD378" s="3">
        <f t="shared" si="241"/>
        <v>26</v>
      </c>
      <c r="BE378" s="3">
        <f t="shared" si="242"/>
        <v>55</v>
      </c>
    </row>
    <row r="379" spans="1:58" s="3" customFormat="1" x14ac:dyDescent="0.2">
      <c r="A379" s="3" t="s">
        <v>446</v>
      </c>
      <c r="B379" s="3" t="str">
        <f>LOWER(VLOOKUP(A379,Xtal_Templ!A:B,2,FALSE))</f>
        <v>fzd4_human</v>
      </c>
      <c r="C379" s="3">
        <f>VLOOKUP($A379,'SegEnds_NonXtal_BW#'!$A:$Z,3,FALSE)+D379-50</f>
        <v>212</v>
      </c>
      <c r="D379" s="3">
        <v>234</v>
      </c>
      <c r="E379" s="3">
        <f>IF(ISERROR(VLOOKUP($A379,'SegEnds_NonXtal_BW#'!$A:$Z,4,FALSE)+VLOOKUP($A379,A:AL,4,FALSE)-50),"-",(VLOOKUP($A379,'SegEnds_NonXtal_BW#'!$A:$Z,4,FALSE)+VLOOKUP($A379,A:AL,4,FALSE)-50))</f>
        <v>244</v>
      </c>
      <c r="F379" s="3">
        <f t="shared" si="245"/>
        <v>245</v>
      </c>
      <c r="G379" s="3">
        <v>248</v>
      </c>
      <c r="H379" s="3">
        <f t="shared" si="250"/>
        <v>249</v>
      </c>
      <c r="I379" s="3">
        <f t="shared" si="247"/>
        <v>250</v>
      </c>
      <c r="J379" s="3">
        <v>260</v>
      </c>
      <c r="K379" s="3">
        <f>VLOOKUP($A379,'SegEnds_NonXtal_BW#'!$A:$Z,8,FALSE)+VLOOKUP($A379,A:AL,10,FALSE)-50</f>
        <v>276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299</v>
      </c>
      <c r="P379" s="3">
        <v>327</v>
      </c>
      <c r="Q379" s="3">
        <f>VLOOKUP($A379,'SegEnds_NonXtal_BW#'!$A:$Z,12,FALSE)+VLOOKUP($A379,A:AL,16,FALSE)-50</f>
        <v>332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343</v>
      </c>
      <c r="V379" s="3">
        <v>352</v>
      </c>
      <c r="W379" s="3">
        <f>IF(ISERROR(VLOOKUP($A379,'SegEnds_NonXtal_BW#'!$A:$Z,16,FALSE)+VLOOKUP($A379,A:AL,22,FALSE)-50),"-",(VLOOKUP($A379,'SegEnds_NonXtal_BW#'!$A:$Z,16,FALSE)+VLOOKUP($A379,A:AL,22,FALSE)-50))</f>
        <v>366</v>
      </c>
      <c r="X379" s="3">
        <f>IF(ISERROR(VLOOKUP($A379,'SegEnds_NonXtal_BW#'!$A:$Z,17,FALSE)+VLOOKUP($A379,A:AL,25,FALSE)-50),"-",(VLOOKUP($A379,'SegEnds_NonXtal_BW#'!$A:$Z,17,FALSE)+VLOOKUP($A379,A:AL,25,FALSE)-50))</f>
        <v>377</v>
      </c>
      <c r="Y379" s="3">
        <v>377</v>
      </c>
      <c r="Z379" s="3">
        <f t="shared" si="249"/>
        <v>379</v>
      </c>
      <c r="AA379" s="3">
        <f>IF(ISERROR(VLOOKUP($A379,'SegEnds_NonXtal_BW#'!$A:$Z,19,FALSE)+VLOOKUP($A379,A:AL,28,FALSE)-50),"-",(VLOOKUP($A379,'SegEnds_NonXtal_BW#'!$A:$Z,19,FALSE)+VLOOKUP($A379,A:AL,28,FALSE)-50))</f>
        <v>383</v>
      </c>
      <c r="AB379" s="3">
        <v>398</v>
      </c>
      <c r="AC379" s="3">
        <f>IF(ISERROR((VLOOKUP($A379,'SegEnds_NonXtal_BW#'!$A:$Z,20,FALSE)+VLOOKUP($A379,A:AL,28,FALSE)-50)),"-",(VLOOKUP($A379,'SegEnds_NonXtal_BW#'!$A:$Z,20,FALSE)+VLOOKUP($A379,A:AL,28,FALSE)-50))</f>
        <v>420</v>
      </c>
      <c r="AD379" s="3">
        <f>IF(ISERROR(VLOOKUP($A379,'SegEnds_NonXtal_BW#'!$A:$Z,21,FALSE)+VLOOKUP($A379,A:AL,31,FALSE)-50),"-",(VLOOKUP($A379,'SegEnds_NonXtal_BW#'!$A:$Z,21,FALSE)+VLOOKUP($A379,A:AL,31,FALSE)-50))</f>
        <v>431</v>
      </c>
      <c r="AE379" s="3">
        <v>453</v>
      </c>
      <c r="AF379" s="3">
        <f>IF(ISERROR((VLOOKUP($A379,'SegEnds_NonXtal_BW#'!$A:$Z,22,FALSE)+VLOOKUP($A379,A:AL,31,FALSE)-50)),"-",(VLOOKUP($A379,'SegEnds_NonXtal_BW#'!$A:$Z,22,FALSE)+VLOOKUP($A379,A:AL,31,FALSE)-50))</f>
        <v>461</v>
      </c>
      <c r="AG379" s="3">
        <f>IF(ISERROR(VLOOKUP($A379,'SegEnds_NonXtal_BW#'!$A:$Z,23,FALSE)+VLOOKUP($A379,A:AL,34,FALSE)-50),"-",(VLOOKUP($A379,'SegEnds_NonXtal_BW#'!$A:$Z,23,FALSE)+VLOOKUP($A379,A:AL,34,FALSE)-50))</f>
        <v>473</v>
      </c>
      <c r="AH379" s="3">
        <v>489</v>
      </c>
      <c r="AI379" s="3">
        <f>IF(ISERROR((VLOOKUP($A379,'SegEnds_NonXtal_BW#'!$A:$Z,24,FALSE)+VLOOKUP($A379,A:AL,34,FALSE)-50)),"-",(VLOOKUP($A379,'SegEnds_NonXtal_BW#'!$A:$Z,24,FALSE)+VLOOKUP($A379,A:AL,34,FALSE)-50))</f>
        <v>496</v>
      </c>
      <c r="AJ379" s="3">
        <f>IF(ISERROR(VLOOKUP($A379,'SegEnds_NonXtal_BW#'!$A:$Z,25,FALSE)+VLOOKUP($A379,A:AL,37,FALSE)-50),"-",(VLOOKUP($A379,'SegEnds_NonXtal_BW#'!$A:$Z,25,FALSE)+VLOOKUP($A379,A:AL,37,FALSE)-50))</f>
        <v>497</v>
      </c>
      <c r="AK379" s="3">
        <v>500</v>
      </c>
      <c r="AL379" s="3">
        <f>IF(ISERROR((VLOOKUP($A379,'SegEnds_NonXtal_BW#'!$A:$Z,26,FALSE)+VLOOKUP($A379,A:AL,37,FALSE)-50)),"-",(VLOOKUP($A379,'SegEnds_NonXtal_BW#'!$A:$Z,26,FALSE)+VLOOKUP($A379,A:AL,37,FALSE)-50))</f>
        <v>512</v>
      </c>
      <c r="AM379" s="28" t="str">
        <f>VLOOKUP(A379,Classification!A:B,2,FALSE)</f>
        <v>F</v>
      </c>
      <c r="AN379" s="28" t="b">
        <f t="shared" si="243"/>
        <v>1</v>
      </c>
      <c r="AO379" s="3" t="str">
        <f>IF(ISERROR(MATCH(A379,'SegEnds_Xtal_Prot#'!B:B, 0)), "NoXtal", "Xtal")</f>
        <v>Xtal</v>
      </c>
      <c r="AP379" s="3">
        <f t="shared" si="228"/>
        <v>1</v>
      </c>
      <c r="AQ379" s="3">
        <f t="shared" si="229"/>
        <v>1</v>
      </c>
      <c r="AR379" s="3" t="str">
        <f t="shared" si="230"/>
        <v>-</v>
      </c>
      <c r="AS379" s="3" t="str">
        <f t="shared" si="231"/>
        <v>-</v>
      </c>
      <c r="AT379" s="3" t="str">
        <f t="shared" si="232"/>
        <v>-</v>
      </c>
      <c r="AU379" s="3" t="str">
        <f t="shared" si="233"/>
        <v>-</v>
      </c>
      <c r="AV379" s="3">
        <f t="shared" si="234"/>
        <v>11</v>
      </c>
      <c r="AW379" s="3">
        <f t="shared" si="235"/>
        <v>4</v>
      </c>
      <c r="AX379" s="3">
        <f t="shared" si="236"/>
        <v>11</v>
      </c>
      <c r="AY379" s="3">
        <f t="shared" si="237"/>
        <v>12</v>
      </c>
      <c r="AZ379" s="3">
        <f t="shared" si="238"/>
        <v>1</v>
      </c>
      <c r="BA379" s="3">
        <f>IF(ISERROR(LEN(VLOOKUP(A379,Seqs!A:E,2,FALSE))-AL379),"-",LEN(VLOOKUP(A379,Seqs!A:E,2,FALSE))-AL379)</f>
        <v>25</v>
      </c>
      <c r="BB379" s="16">
        <f t="shared" si="239"/>
        <v>26</v>
      </c>
      <c r="BC379" s="9" t="str">
        <f t="shared" si="240"/>
        <v>-</v>
      </c>
      <c r="BD379" s="3">
        <f t="shared" si="241"/>
        <v>26</v>
      </c>
      <c r="BE379" s="3">
        <f t="shared" si="242"/>
        <v>55</v>
      </c>
      <c r="BF379" s="3">
        <f>AH379-AE379</f>
        <v>36</v>
      </c>
    </row>
    <row r="380" spans="1:58" s="3" customFormat="1" x14ac:dyDescent="0.2">
      <c r="A380" s="3" t="s">
        <v>447</v>
      </c>
      <c r="B380" s="3" t="str">
        <f>LOWER(VLOOKUP(A380,Xtal_Templ!A:B,2,FALSE))</f>
        <v>fzd4_human</v>
      </c>
      <c r="C380" s="3">
        <f>VLOOKUP($A380,'SegEnds_NonXtal_BW#'!$A:$Z,3,FALSE)+D380-50</f>
        <v>228</v>
      </c>
      <c r="D380" s="3">
        <v>250</v>
      </c>
      <c r="E380" s="3">
        <f>IF(ISERROR(VLOOKUP($A380,'SegEnds_NonXtal_BW#'!$A:$Z,4,FALSE)+VLOOKUP($A380,A:AL,4,FALSE)-50),"-",(VLOOKUP($A380,'SegEnds_NonXtal_BW#'!$A:$Z,4,FALSE)+VLOOKUP($A380,A:AL,4,FALSE)-50))</f>
        <v>260</v>
      </c>
      <c r="F380" s="3">
        <f t="shared" si="245"/>
        <v>261</v>
      </c>
      <c r="G380" s="3">
        <v>264</v>
      </c>
      <c r="H380" s="3">
        <f t="shared" si="250"/>
        <v>265</v>
      </c>
      <c r="I380" s="3">
        <f t="shared" si="247"/>
        <v>266</v>
      </c>
      <c r="J380" s="3">
        <v>276</v>
      </c>
      <c r="K380" s="3">
        <f>VLOOKUP($A380,'SegEnds_NonXtal_BW#'!$A:$Z,8,FALSE)+VLOOKUP($A380,A:AL,10,FALSE)-50</f>
        <v>292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340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379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49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444</v>
      </c>
      <c r="AE380" s="3">
        <v>466</v>
      </c>
      <c r="AF380" s="3">
        <f>IF(ISERROR((VLOOKUP($A380,'SegEnds_NonXtal_BW#'!$A:$Z,22,FALSE)+VLOOKUP($A380,A:AL,31,FALSE)-50)),"-",(VLOOKUP($A380,'SegEnds_NonXtal_BW#'!$A:$Z,22,FALSE)+VLOOKUP($A380,A:AL,31,FALSE)-50))</f>
        <v>494</v>
      </c>
      <c r="AG380" s="3">
        <f>IF(ISERROR(VLOOKUP($A380,'SegEnds_NonXtal_BW#'!$A:$Z,23,FALSE)+VLOOKUP($A380,A:AL,34,FALSE)-50),"-",(VLOOKUP($A380,'SegEnds_NonXtal_BW#'!$A:$Z,23,FALSE)+VLOOKUP($A380,A:AL,34,FALSE)-50))</f>
        <v>499</v>
      </c>
      <c r="AH380" s="3">
        <v>515</v>
      </c>
      <c r="AI380" s="3">
        <f>IF(ISERROR((VLOOKUP($A380,'SegEnds_NonXtal_BW#'!$A:$Z,24,FALSE)+VLOOKUP($A380,A:AL,34,FALSE)-50)),"-",(VLOOKUP($A380,'SegEnds_NonXtal_BW#'!$A:$Z,24,FALSE)+VLOOKUP($A380,A:AL,34,FALSE)-50))</f>
        <v>522</v>
      </c>
      <c r="AJ380" s="3">
        <f>IF(ISERROR(VLOOKUP($A380,'SegEnds_NonXtal_BW#'!$A:$Z,25,FALSE)+VLOOKUP($A380,A:AL,37,FALSE)-50),"-",(VLOOKUP($A380,'SegEnds_NonXtal_BW#'!$A:$Z,25,FALSE)+VLOOKUP($A380,A:AL,37,FALSE)-50))</f>
        <v>523</v>
      </c>
      <c r="AK380" s="3">
        <v>526</v>
      </c>
      <c r="AL380" s="3">
        <f>IF(ISERROR((VLOOKUP($A380,'SegEnds_NonXtal_BW#'!$A:$Z,26,FALSE)+VLOOKUP($A380,A:AL,37,FALSE)-50)),"-",(VLOOKUP($A380,'SegEnds_NonXtal_BW#'!$A:$Z,26,FALSE)+VLOOKUP($A380,A:AL,37,FALSE)-50))</f>
        <v>538</v>
      </c>
      <c r="AM380" s="28" t="str">
        <f>VLOOKUP(A380,Classification!A:B,2,FALSE)</f>
        <v>F</v>
      </c>
      <c r="AN380" s="28" t="b">
        <f t="shared" si="243"/>
        <v>1</v>
      </c>
      <c r="AO380" s="3" t="str">
        <f>IF(ISERROR(MATCH(A380,'SegEnds_Xtal_Prot#'!B:B, 0)), "NoXtal", "Xtal")</f>
        <v>NoXtal</v>
      </c>
      <c r="AP380" s="3">
        <f t="shared" si="228"/>
        <v>1</v>
      </c>
      <c r="AQ380" s="3">
        <f t="shared" si="229"/>
        <v>1</v>
      </c>
      <c r="AR380" s="3" t="str">
        <f t="shared" si="230"/>
        <v>-</v>
      </c>
      <c r="AS380" s="3" t="str">
        <f t="shared" si="231"/>
        <v>-</v>
      </c>
      <c r="AT380" s="3" t="str">
        <f t="shared" si="232"/>
        <v>-</v>
      </c>
      <c r="AU380" s="3" t="str">
        <f t="shared" si="233"/>
        <v>-</v>
      </c>
      <c r="AV380" s="3">
        <f t="shared" si="234"/>
        <v>11</v>
      </c>
      <c r="AW380" s="3">
        <f t="shared" si="235"/>
        <v>4</v>
      </c>
      <c r="AX380" s="3">
        <f t="shared" si="236"/>
        <v>11</v>
      </c>
      <c r="AY380" s="3">
        <f t="shared" si="237"/>
        <v>5</v>
      </c>
      <c r="AZ380" s="3">
        <f t="shared" si="238"/>
        <v>1</v>
      </c>
      <c r="BA380" s="3">
        <f>IF(ISERROR(LEN(VLOOKUP(A380,Seqs!A:E,2,FALSE))-AL380),"-",LEN(VLOOKUP(A380,Seqs!A:E,2,FALSE))-AL380)</f>
        <v>47</v>
      </c>
      <c r="BB380" s="16">
        <f t="shared" si="239"/>
        <v>26</v>
      </c>
      <c r="BC380" s="9" t="str">
        <f t="shared" si="240"/>
        <v>-</v>
      </c>
      <c r="BD380" s="3">
        <f t="shared" si="241"/>
        <v>26</v>
      </c>
      <c r="BE380" s="3">
        <f t="shared" si="242"/>
        <v>55</v>
      </c>
    </row>
    <row r="381" spans="1:58" s="3" customFormat="1" x14ac:dyDescent="0.2">
      <c r="A381" s="3" t="s">
        <v>448</v>
      </c>
      <c r="B381" s="3" t="str">
        <f>LOWER(VLOOKUP(A381,Xtal_Templ!A:B,2,FALSE))</f>
        <v>fzd4_human</v>
      </c>
      <c r="C381" s="3">
        <f>VLOOKUP($A381,'SegEnds_NonXtal_BW#'!$A:$Z,3,FALSE)+D381-50</f>
        <v>191</v>
      </c>
      <c r="D381" s="3">
        <v>213</v>
      </c>
      <c r="E381" s="3">
        <f>IF(ISERROR(VLOOKUP($A381,'SegEnds_NonXtal_BW#'!$A:$Z,4,FALSE)+VLOOKUP($A381,A:AL,4,FALSE)-50),"-",(VLOOKUP($A381,'SegEnds_NonXtal_BW#'!$A:$Z,4,FALSE)+VLOOKUP($A381,A:AL,4,FALSE)-50))</f>
        <v>223</v>
      </c>
      <c r="F381" s="3">
        <f t="shared" si="245"/>
        <v>224</v>
      </c>
      <c r="G381" s="3">
        <v>227</v>
      </c>
      <c r="H381" s="3">
        <f t="shared" si="250"/>
        <v>228</v>
      </c>
      <c r="I381" s="3">
        <f t="shared" si="247"/>
        <v>229</v>
      </c>
      <c r="J381" s="3">
        <v>239</v>
      </c>
      <c r="K381" s="3">
        <f>VLOOKUP($A381,'SegEnds_NonXtal_BW#'!$A:$Z,8,FALSE)+VLOOKUP($A381,A:AL,10,FALSE)-50</f>
        <v>255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279</v>
      </c>
      <c r="P381" s="3">
        <v>307</v>
      </c>
      <c r="Q381" s="3">
        <f>VLOOKUP($A381,'SegEnds_NonXtal_BW#'!$A:$Z,12,FALSE)+VLOOKUP($A381,A:AL,16,FALSE)-50</f>
        <v>312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323</v>
      </c>
      <c r="V381" s="3">
        <v>332</v>
      </c>
      <c r="W381" s="3">
        <f>IF(ISERROR(VLOOKUP($A381,'SegEnds_NonXtal_BW#'!$A:$Z,16,FALSE)+VLOOKUP($A381,A:AL,22,FALSE)-50),"-",(VLOOKUP($A381,'SegEnds_NonXtal_BW#'!$A:$Z,16,FALSE)+VLOOKUP($A381,A:AL,22,FALSE)-50))</f>
        <v>346</v>
      </c>
      <c r="X381" s="3">
        <f>IF(ISERROR(VLOOKUP($A381,'SegEnds_NonXtal_BW#'!$A:$Z,17,FALSE)+VLOOKUP($A381,A:AL,25,FALSE)-50),"-",(VLOOKUP($A381,'SegEnds_NonXtal_BW#'!$A:$Z,17,FALSE)+VLOOKUP($A381,A:AL,25,FALSE)-50))</f>
        <v>357</v>
      </c>
      <c r="Y381" s="3">
        <v>357</v>
      </c>
      <c r="Z381" s="3">
        <f t="shared" si="249"/>
        <v>359</v>
      </c>
      <c r="AA381" s="3">
        <f>IF(ISERROR(VLOOKUP($A381,'SegEnds_NonXtal_BW#'!$A:$Z,19,FALSE)+VLOOKUP($A381,A:AL,28,FALSE)-50),"-",(VLOOKUP($A381,'SegEnds_NonXtal_BW#'!$A:$Z,19,FALSE)+VLOOKUP($A381,A:AL,28,FALSE)-50))</f>
        <v>363</v>
      </c>
      <c r="AB381" s="3">
        <v>378</v>
      </c>
      <c r="AC381" s="3">
        <f>IF(ISERROR((VLOOKUP($A381,'SegEnds_NonXtal_BW#'!$A:$Z,20,FALSE)+VLOOKUP($A381,A:AL,28,FALSE)-50)),"-",(VLOOKUP($A381,'SegEnds_NonXtal_BW#'!$A:$Z,20,FALSE)+VLOOKUP($A381,A:AL,28,FALSE)-50))</f>
        <v>400</v>
      </c>
      <c r="AD381" s="3">
        <f>IF(ISERROR(VLOOKUP($A381,'SegEnds_NonXtal_BW#'!$A:$Z,21,FALSE)+VLOOKUP($A381,A:AL,31,FALSE)-50),"-",(VLOOKUP($A381,'SegEnds_NonXtal_BW#'!$A:$Z,21,FALSE)+VLOOKUP($A381,A:AL,31,FALSE)-50))</f>
        <v>411</v>
      </c>
      <c r="AE381" s="3">
        <v>433</v>
      </c>
      <c r="AF381" s="3">
        <f>IF(ISERROR((VLOOKUP($A381,'SegEnds_NonXtal_BW#'!$A:$Z,22,FALSE)+VLOOKUP($A381,A:AL,31,FALSE)-50)),"-",(VLOOKUP($A381,'SegEnds_NonXtal_BW#'!$A:$Z,22,FALSE)+VLOOKUP($A381,A:AL,31,FALSE)-50))</f>
        <v>461</v>
      </c>
      <c r="AG381" s="3">
        <f>IF(ISERROR(VLOOKUP($A381,'SegEnds_NonXtal_BW#'!$A:$Z,23,FALSE)+VLOOKUP($A381,A:AL,34,FALSE)-50),"-",(VLOOKUP($A381,'SegEnds_NonXtal_BW#'!$A:$Z,23,FALSE)+VLOOKUP($A381,A:AL,34,FALSE)-50))</f>
        <v>472</v>
      </c>
      <c r="AH381" s="3">
        <v>488</v>
      </c>
      <c r="AI381" s="3">
        <f>IF(ISERROR((VLOOKUP($A381,'SegEnds_NonXtal_BW#'!$A:$Z,24,FALSE)+VLOOKUP($A381,A:AL,34,FALSE)-50)),"-",(VLOOKUP($A381,'SegEnds_NonXtal_BW#'!$A:$Z,24,FALSE)+VLOOKUP($A381,A:AL,34,FALSE)-50))</f>
        <v>495</v>
      </c>
      <c r="AJ381" s="3">
        <f>IF(ISERROR(VLOOKUP($A381,'SegEnds_NonXtal_BW#'!$A:$Z,25,FALSE)+VLOOKUP($A381,A:AL,37,FALSE)-50),"-",(VLOOKUP($A381,'SegEnds_NonXtal_BW#'!$A:$Z,25,FALSE)+VLOOKUP($A381,A:AL,37,FALSE)-50))</f>
        <v>496</v>
      </c>
      <c r="AK381" s="3">
        <v>499</v>
      </c>
      <c r="AL381" s="3">
        <f>IF(ISERROR((VLOOKUP($A381,'SegEnds_NonXtal_BW#'!$A:$Z,26,FALSE)+VLOOKUP($A381,A:AL,37,FALSE)-50)),"-",(VLOOKUP($A381,'SegEnds_NonXtal_BW#'!$A:$Z,26,FALSE)+VLOOKUP($A381,A:AL,37,FALSE)-50))</f>
        <v>511</v>
      </c>
      <c r="AM381" s="28" t="str">
        <f>VLOOKUP(A381,Classification!A:B,2,FALSE)</f>
        <v>F</v>
      </c>
      <c r="AN381" s="28" t="b">
        <f t="shared" si="243"/>
        <v>1</v>
      </c>
      <c r="AO381" s="3" t="str">
        <f>IF(ISERROR(MATCH(A381,'SegEnds_Xtal_Prot#'!B:B, 0)), "NoXtal", "Xtal")</f>
        <v>NoXtal</v>
      </c>
      <c r="AP381" s="3">
        <f t="shared" si="228"/>
        <v>1</v>
      </c>
      <c r="AQ381" s="3">
        <f t="shared" si="229"/>
        <v>1</v>
      </c>
      <c r="AR381" s="3" t="str">
        <f t="shared" si="230"/>
        <v>-</v>
      </c>
      <c r="AS381" s="3" t="str">
        <f t="shared" si="231"/>
        <v>-</v>
      </c>
      <c r="AT381" s="3" t="str">
        <f t="shared" si="232"/>
        <v>-</v>
      </c>
      <c r="AU381" s="3" t="str">
        <f t="shared" si="233"/>
        <v>-</v>
      </c>
      <c r="AV381" s="3">
        <f t="shared" si="234"/>
        <v>11</v>
      </c>
      <c r="AW381" s="3">
        <f t="shared" si="235"/>
        <v>4</v>
      </c>
      <c r="AX381" s="3">
        <f t="shared" si="236"/>
        <v>11</v>
      </c>
      <c r="AY381" s="3">
        <f t="shared" si="237"/>
        <v>11</v>
      </c>
      <c r="AZ381" s="3">
        <f t="shared" si="238"/>
        <v>1</v>
      </c>
      <c r="BA381" s="3">
        <f>IF(ISERROR(LEN(VLOOKUP(A381,Seqs!A:E,2,FALSE))-AL381),"-",LEN(VLOOKUP(A381,Seqs!A:E,2,FALSE))-AL381)</f>
        <v>195</v>
      </c>
      <c r="BB381" s="16">
        <f t="shared" si="239"/>
        <v>26</v>
      </c>
      <c r="BC381" s="9" t="str">
        <f t="shared" si="240"/>
        <v>-</v>
      </c>
      <c r="BD381" s="3">
        <f t="shared" si="241"/>
        <v>26</v>
      </c>
      <c r="BE381" s="3">
        <f t="shared" si="242"/>
        <v>55</v>
      </c>
    </row>
    <row r="382" spans="1:58" s="3" customFormat="1" x14ac:dyDescent="0.2">
      <c r="A382" s="3" t="s">
        <v>449</v>
      </c>
      <c r="B382" s="3" t="str">
        <f>LOWER(VLOOKUP(A382,Xtal_Templ!A:B,2,FALSE))</f>
        <v>fzd4_human</v>
      </c>
      <c r="C382" s="3">
        <f>VLOOKUP($A382,'SegEnds_NonXtal_BW#'!$A:$Z,3,FALSE)+D382-50</f>
        <v>246</v>
      </c>
      <c r="D382" s="3">
        <v>268</v>
      </c>
      <c r="E382" s="3">
        <f>IF(ISERROR(VLOOKUP($A382,'SegEnds_NonXtal_BW#'!$A:$Z,4,FALSE)+VLOOKUP($A382,A:AL,4,FALSE)-50),"-",(VLOOKUP($A382,'SegEnds_NonXtal_BW#'!$A:$Z,4,FALSE)+VLOOKUP($A382,A:AL,4,FALSE)-50))</f>
        <v>278</v>
      </c>
      <c r="F382" s="3">
        <f t="shared" si="245"/>
        <v>279</v>
      </c>
      <c r="G382" s="3">
        <v>282</v>
      </c>
      <c r="H382" s="3">
        <f t="shared" si="250"/>
        <v>283</v>
      </c>
      <c r="I382" s="3">
        <f t="shared" si="247"/>
        <v>284</v>
      </c>
      <c r="J382" s="3">
        <v>294</v>
      </c>
      <c r="K382" s="3">
        <f>VLOOKUP($A382,'SegEnds_NonXtal_BW#'!$A:$Z,8,FALSE)+VLOOKUP($A382,A:AL,10,FALSE)-50</f>
        <v>310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333</v>
      </c>
      <c r="P382" s="3">
        <v>361</v>
      </c>
      <c r="Q382" s="3">
        <f>VLOOKUP($A382,'SegEnds_NonXtal_BW#'!$A:$Z,12,FALSE)+VLOOKUP($A382,A:AL,16,FALSE)-50</f>
        <v>366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377</v>
      </c>
      <c r="V382" s="3">
        <v>386</v>
      </c>
      <c r="W382" s="3">
        <f>IF(ISERROR(VLOOKUP($A382,'SegEnds_NonXtal_BW#'!$A:$Z,16,FALSE)+VLOOKUP($A382,A:AL,22,FALSE)-50),"-",(VLOOKUP($A382,'SegEnds_NonXtal_BW#'!$A:$Z,16,FALSE)+VLOOKUP($A382,A:AL,22,FALSE)-50))</f>
        <v>400</v>
      </c>
      <c r="X382" s="3">
        <f>IF(ISERROR(VLOOKUP($A382,'SegEnds_NonXtal_BW#'!$A:$Z,17,FALSE)+VLOOKUP($A382,A:AL,25,FALSE)-50),"-",(VLOOKUP($A382,'SegEnds_NonXtal_BW#'!$A:$Z,17,FALSE)+VLOOKUP($A382,A:AL,25,FALSE)-50))</f>
        <v>411</v>
      </c>
      <c r="Y382" s="3">
        <v>411</v>
      </c>
      <c r="Z382" s="3">
        <f t="shared" si="249"/>
        <v>413</v>
      </c>
      <c r="AA382" s="3">
        <f>IF(ISERROR(VLOOKUP($A382,'SegEnds_NonXtal_BW#'!$A:$Z,19,FALSE)+VLOOKUP($A382,A:AL,28,FALSE)-50),"-",(VLOOKUP($A382,'SegEnds_NonXtal_BW#'!$A:$Z,19,FALSE)+VLOOKUP($A382,A:AL,28,FALSE)-50))</f>
        <v>417</v>
      </c>
      <c r="AB382" s="3">
        <v>432</v>
      </c>
      <c r="AC382" s="3">
        <f>IF(ISERROR((VLOOKUP($A382,'SegEnds_NonXtal_BW#'!$A:$Z,20,FALSE)+VLOOKUP($A382,A:AL,28,FALSE)-50)),"-",(VLOOKUP($A382,'SegEnds_NonXtal_BW#'!$A:$Z,20,FALSE)+VLOOKUP($A382,A:AL,28,FALSE)-50))</f>
        <v>454</v>
      </c>
      <c r="AD382" s="3">
        <f>IF(ISERROR(VLOOKUP($A382,'SegEnds_NonXtal_BW#'!$A:$Z,21,FALSE)+VLOOKUP($A382,A:AL,31,FALSE)-50),"-",(VLOOKUP($A382,'SegEnds_NonXtal_BW#'!$A:$Z,21,FALSE)+VLOOKUP($A382,A:AL,31,FALSE)-50))</f>
        <v>465</v>
      </c>
      <c r="AE382" s="3">
        <v>487</v>
      </c>
      <c r="AF382" s="3">
        <f>IF(ISERROR((VLOOKUP($A382,'SegEnds_NonXtal_BW#'!$A:$Z,22,FALSE)+VLOOKUP($A382,A:AL,31,FALSE)-50)),"-",(VLOOKUP($A382,'SegEnds_NonXtal_BW#'!$A:$Z,22,FALSE)+VLOOKUP($A382,A:AL,31,FALSE)-50))</f>
        <v>515</v>
      </c>
      <c r="AG382" s="3">
        <f>IF(ISERROR(VLOOKUP($A382,'SegEnds_NonXtal_BW#'!$A:$Z,23,FALSE)+VLOOKUP($A382,A:AL,34,FALSE)-50),"-",(VLOOKUP($A382,'SegEnds_NonXtal_BW#'!$A:$Z,23,FALSE)+VLOOKUP($A382,A:AL,34,FALSE)-50))</f>
        <v>526</v>
      </c>
      <c r="AH382" s="3">
        <v>542</v>
      </c>
      <c r="AI382" s="3">
        <f>IF(ISERROR((VLOOKUP($A382,'SegEnds_NonXtal_BW#'!$A:$Z,24,FALSE)+VLOOKUP($A382,A:AL,34,FALSE)-50)),"-",(VLOOKUP($A382,'SegEnds_NonXtal_BW#'!$A:$Z,24,FALSE)+VLOOKUP($A382,A:AL,34,FALSE)-50))</f>
        <v>549</v>
      </c>
      <c r="AJ382" s="3">
        <f>IF(ISERROR(VLOOKUP($A382,'SegEnds_NonXtal_BW#'!$A:$Z,25,FALSE)+VLOOKUP($A382,A:AL,37,FALSE)-50),"-",(VLOOKUP($A382,'SegEnds_NonXtal_BW#'!$A:$Z,25,FALSE)+VLOOKUP($A382,A:AL,37,FALSE)-50))</f>
        <v>550</v>
      </c>
      <c r="AK382" s="3">
        <v>553</v>
      </c>
      <c r="AL382" s="3">
        <f>IF(ISERROR((VLOOKUP($A382,'SegEnds_NonXtal_BW#'!$A:$Z,26,FALSE)+VLOOKUP($A382,A:AL,37,FALSE)-50)),"-",(VLOOKUP($A382,'SegEnds_NonXtal_BW#'!$A:$Z,26,FALSE)+VLOOKUP($A382,A:AL,37,FALSE)-50))</f>
        <v>565</v>
      </c>
      <c r="AM382" s="28" t="str">
        <f>VLOOKUP(A382,Classification!A:B,2,FALSE)</f>
        <v>F</v>
      </c>
      <c r="AN382" s="28" t="b">
        <f t="shared" si="243"/>
        <v>1</v>
      </c>
      <c r="AO382" s="3" t="str">
        <f>IF(ISERROR(MATCH(A382,'SegEnds_Xtal_Prot#'!B:B, 0)), "NoXtal", "Xtal")</f>
        <v>NoXtal</v>
      </c>
      <c r="AP382" s="3">
        <f t="shared" si="228"/>
        <v>1</v>
      </c>
      <c r="AQ382" s="3">
        <f t="shared" si="229"/>
        <v>1</v>
      </c>
      <c r="AR382" s="3" t="str">
        <f t="shared" si="230"/>
        <v>-</v>
      </c>
      <c r="AS382" s="3" t="str">
        <f t="shared" si="231"/>
        <v>-</v>
      </c>
      <c r="AT382" s="3" t="str">
        <f t="shared" si="232"/>
        <v>-</v>
      </c>
      <c r="AU382" s="3" t="str">
        <f t="shared" si="233"/>
        <v>-</v>
      </c>
      <c r="AV382" s="3">
        <f t="shared" si="234"/>
        <v>11</v>
      </c>
      <c r="AW382" s="3">
        <f t="shared" si="235"/>
        <v>4</v>
      </c>
      <c r="AX382" s="3">
        <f t="shared" si="236"/>
        <v>11</v>
      </c>
      <c r="AY382" s="3">
        <f t="shared" si="237"/>
        <v>11</v>
      </c>
      <c r="AZ382" s="3">
        <f t="shared" si="238"/>
        <v>1</v>
      </c>
      <c r="BA382" s="3">
        <f>IF(ISERROR(LEN(VLOOKUP(A382,Seqs!A:E,2,FALSE))-AL382),"-",LEN(VLOOKUP(A382,Seqs!A:E,2,FALSE))-AL382)</f>
        <v>9</v>
      </c>
      <c r="BB382" s="16">
        <f t="shared" si="239"/>
        <v>26</v>
      </c>
      <c r="BC382" s="9" t="str">
        <f t="shared" si="240"/>
        <v>-</v>
      </c>
      <c r="BD382" s="3">
        <f t="shared" si="241"/>
        <v>26</v>
      </c>
      <c r="BE382" s="3">
        <f t="shared" si="242"/>
        <v>55</v>
      </c>
      <c r="BF382" s="3">
        <f>AH382-AE382</f>
        <v>55</v>
      </c>
    </row>
    <row r="383" spans="1:58" s="3" customFormat="1" x14ac:dyDescent="0.2">
      <c r="A383" s="3" t="s">
        <v>450</v>
      </c>
      <c r="B383" s="3" t="str">
        <f>LOWER(VLOOKUP(A383,Xtal_Templ!A:B,2,FALSE))</f>
        <v>fzd4_human</v>
      </c>
      <c r="C383" s="3">
        <f>VLOOKUP($A383,'SegEnds_NonXtal_BW#'!$A:$Z,3,FALSE)+D383-50</f>
        <v>270</v>
      </c>
      <c r="D383" s="3">
        <v>292</v>
      </c>
      <c r="E383" s="3">
        <f>IF(ISERROR(VLOOKUP($A383,'SegEnds_NonXtal_BW#'!$A:$Z,4,FALSE)+VLOOKUP($A383,A:AL,4,FALSE)-50),"-",(VLOOKUP($A383,'SegEnds_NonXtal_BW#'!$A:$Z,4,FALSE)+VLOOKUP($A383,A:AL,4,FALSE)-50))</f>
        <v>302</v>
      </c>
      <c r="F383" s="3">
        <f t="shared" si="245"/>
        <v>303</v>
      </c>
      <c r="G383" s="3">
        <v>306</v>
      </c>
      <c r="H383" s="3">
        <f t="shared" si="250"/>
        <v>307</v>
      </c>
      <c r="I383" s="3">
        <f t="shared" si="247"/>
        <v>308</v>
      </c>
      <c r="J383" s="3">
        <v>318</v>
      </c>
      <c r="K383" s="3">
        <f>VLOOKUP($A383,'SegEnds_NonXtal_BW#'!$A:$Z,8,FALSE)+VLOOKUP($A383,A:AL,10,FALSE)-50</f>
        <v>334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393</v>
      </c>
      <c r="P383" s="3">
        <v>421</v>
      </c>
      <c r="Q383" s="3">
        <f>VLOOKUP($A383,'SegEnds_NonXtal_BW#'!$A:$Z,12,FALSE)+VLOOKUP($A383,A:AL,16,FALSE)-50</f>
        <v>426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437</v>
      </c>
      <c r="V383" s="3">
        <v>446</v>
      </c>
      <c r="W383" s="3">
        <f>IF(ISERROR(VLOOKUP($A383,'SegEnds_NonXtal_BW#'!$A:$Z,16,FALSE)+VLOOKUP($A383,A:AL,22,FALSE)-50),"-",(VLOOKUP($A383,'SegEnds_NonXtal_BW#'!$A:$Z,16,FALSE)+VLOOKUP($A383,A:AL,22,FALSE)-50))</f>
        <v>460</v>
      </c>
      <c r="X383" s="3">
        <f>IF(ISERROR(VLOOKUP($A383,'SegEnds_NonXtal_BW#'!$A:$Z,17,FALSE)+VLOOKUP($A383,A:AL,25,FALSE)-50),"-",(VLOOKUP($A383,'SegEnds_NonXtal_BW#'!$A:$Z,17,FALSE)+VLOOKUP($A383,A:AL,25,FALSE)-50))</f>
        <v>471</v>
      </c>
      <c r="Y383" s="3">
        <v>471</v>
      </c>
      <c r="Z383" s="3">
        <f t="shared" si="249"/>
        <v>473</v>
      </c>
      <c r="AA383" s="3">
        <f>IF(ISERROR(VLOOKUP($A383,'SegEnds_NonXtal_BW#'!$A:$Z,19,FALSE)+VLOOKUP($A383,A:AL,28,FALSE)-50),"-",(VLOOKUP($A383,'SegEnds_NonXtal_BW#'!$A:$Z,19,FALSE)+VLOOKUP($A383,A:AL,28,FALSE)-50))</f>
        <v>477</v>
      </c>
      <c r="AB383" s="3">
        <v>492</v>
      </c>
      <c r="AC383" s="3">
        <f>IF(ISERROR((VLOOKUP($A383,'SegEnds_NonXtal_BW#'!$A:$Z,20,FALSE)+VLOOKUP($A383,A:AL,28,FALSE)-50)),"-",(VLOOKUP($A383,'SegEnds_NonXtal_BW#'!$A:$Z,20,FALSE)+VLOOKUP($A383,A:AL,28,FALSE)-50))</f>
        <v>514</v>
      </c>
      <c r="AD383" s="3">
        <f>IF(ISERROR(VLOOKUP($A383,'SegEnds_NonXtal_BW#'!$A:$Z,21,FALSE)+VLOOKUP($A383,A:AL,31,FALSE)-50),"-",(VLOOKUP($A383,'SegEnds_NonXtal_BW#'!$A:$Z,21,FALSE)+VLOOKUP($A383,A:AL,31,FALSE)-50))</f>
        <v>527</v>
      </c>
      <c r="AE383" s="3">
        <v>549</v>
      </c>
      <c r="AF383" s="3">
        <f>IF(ISERROR((VLOOKUP($A383,'SegEnds_NonXtal_BW#'!$A:$Z,22,FALSE)+VLOOKUP($A383,A:AL,31,FALSE)-50)),"-",(VLOOKUP($A383,'SegEnds_NonXtal_BW#'!$A:$Z,22,FALSE)+VLOOKUP($A383,A:AL,31,FALSE)-50))</f>
        <v>577</v>
      </c>
      <c r="AG383" s="3">
        <f>IF(ISERROR(VLOOKUP($A383,'SegEnds_NonXtal_BW#'!$A:$Z,23,FALSE)+VLOOKUP($A383,A:AL,34,FALSE)-50),"-",(VLOOKUP($A383,'SegEnds_NonXtal_BW#'!$A:$Z,23,FALSE)+VLOOKUP($A383,A:AL,34,FALSE)-50))</f>
        <v>582</v>
      </c>
      <c r="AH383" s="3">
        <v>598</v>
      </c>
      <c r="AI383" s="3">
        <f>IF(ISERROR((VLOOKUP($A383,'SegEnds_NonXtal_BW#'!$A:$Z,24,FALSE)+VLOOKUP($A383,A:AL,34,FALSE)-50)),"-",(VLOOKUP($A383,'SegEnds_NonXtal_BW#'!$A:$Z,24,FALSE)+VLOOKUP($A383,A:AL,34,FALSE)-50))</f>
        <v>605</v>
      </c>
      <c r="AJ383" s="3">
        <f>IF(ISERROR(VLOOKUP($A383,'SegEnds_NonXtal_BW#'!$A:$Z,25,FALSE)+VLOOKUP($A383,A:AL,37,FALSE)-50),"-",(VLOOKUP($A383,'SegEnds_NonXtal_BW#'!$A:$Z,25,FALSE)+VLOOKUP($A383,A:AL,37,FALSE)-50))</f>
        <v>606</v>
      </c>
      <c r="AK383" s="3">
        <v>609</v>
      </c>
      <c r="AL383" s="3">
        <f>IF(ISERROR((VLOOKUP($A383,'SegEnds_NonXtal_BW#'!$A:$Z,26,FALSE)+VLOOKUP($A383,A:AL,37,FALSE)-50)),"-",(VLOOKUP($A383,'SegEnds_NonXtal_BW#'!$A:$Z,26,FALSE)+VLOOKUP($A383,A:AL,37,FALSE)-50))</f>
        <v>621</v>
      </c>
      <c r="AM383" s="28" t="str">
        <f>VLOOKUP(A383,Classification!A:B,2,FALSE)</f>
        <v>F</v>
      </c>
      <c r="AN383" s="28" t="b">
        <f t="shared" si="243"/>
        <v>1</v>
      </c>
      <c r="AO383" s="3" t="str">
        <f>IF(ISERROR(MATCH(A383,'SegEnds_Xtal_Prot#'!B:B, 0)), "NoXtal", "Xtal")</f>
        <v>NoXtal</v>
      </c>
      <c r="AP383" s="3">
        <f t="shared" si="228"/>
        <v>1</v>
      </c>
      <c r="AQ383" s="3">
        <f t="shared" si="229"/>
        <v>1</v>
      </c>
      <c r="AR383" s="3" t="str">
        <f t="shared" si="230"/>
        <v>-</v>
      </c>
      <c r="AS383" s="3" t="str">
        <f t="shared" si="231"/>
        <v>-</v>
      </c>
      <c r="AT383" s="3" t="str">
        <f t="shared" si="232"/>
        <v>-</v>
      </c>
      <c r="AU383" s="3" t="str">
        <f t="shared" si="233"/>
        <v>-</v>
      </c>
      <c r="AV383" s="3">
        <f t="shared" si="234"/>
        <v>11</v>
      </c>
      <c r="AW383" s="3">
        <f t="shared" si="235"/>
        <v>4</v>
      </c>
      <c r="AX383" s="3">
        <f t="shared" si="236"/>
        <v>13</v>
      </c>
      <c r="AY383" s="3">
        <f t="shared" si="237"/>
        <v>5</v>
      </c>
      <c r="AZ383" s="3">
        <f t="shared" si="238"/>
        <v>1</v>
      </c>
      <c r="BA383" s="3">
        <f>IF(ISERROR(LEN(VLOOKUP(A383,Seqs!A:E,2,FALSE))-AL383),"-",LEN(VLOOKUP(A383,Seqs!A:E,2,FALSE))-AL383)</f>
        <v>73</v>
      </c>
      <c r="BB383" s="16">
        <f t="shared" si="239"/>
        <v>26</v>
      </c>
      <c r="BC383" s="9" t="str">
        <f t="shared" si="240"/>
        <v>-</v>
      </c>
      <c r="BD383" s="3">
        <f t="shared" si="241"/>
        <v>26</v>
      </c>
      <c r="BE383" s="3">
        <f t="shared" si="242"/>
        <v>57</v>
      </c>
    </row>
    <row r="384" spans="1:58" s="3" customFormat="1" x14ac:dyDescent="0.2">
      <c r="A384" s="3" t="s">
        <v>451</v>
      </c>
      <c r="B384" s="3" t="str">
        <f>LOWER(VLOOKUP(A384,Xtal_Templ!A:B,2,FALSE))</f>
        <v>fzd4_human</v>
      </c>
      <c r="C384" s="3">
        <f>VLOOKUP($A384,'SegEnds_NonXtal_BW#'!$A:$Z,3,FALSE)+D384-50</f>
        <v>224</v>
      </c>
      <c r="D384" s="3">
        <v>246</v>
      </c>
      <c r="E384" s="3">
        <f>IF(ISERROR(VLOOKUP($A384,'SegEnds_NonXtal_BW#'!$A:$Z,4,FALSE)+VLOOKUP($A384,A:AL,4,FALSE)-50),"-",(VLOOKUP($A384,'SegEnds_NonXtal_BW#'!$A:$Z,4,FALSE)+VLOOKUP($A384,A:AL,4,FALSE)-50))</f>
        <v>256</v>
      </c>
      <c r="F384" s="3">
        <f t="shared" si="245"/>
        <v>257</v>
      </c>
      <c r="G384" s="3">
        <v>260</v>
      </c>
      <c r="H384" s="3">
        <f t="shared" si="250"/>
        <v>261</v>
      </c>
      <c r="I384" s="3">
        <f t="shared" si="247"/>
        <v>262</v>
      </c>
      <c r="J384" s="3">
        <v>272</v>
      </c>
      <c r="K384" s="3">
        <f>VLOOKUP($A384,'SegEnds_NonXtal_BW#'!$A:$Z,8,FALSE)+VLOOKUP($A384,A:AL,10,FALSE)-50</f>
        <v>288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310</v>
      </c>
      <c r="P384" s="3">
        <v>338</v>
      </c>
      <c r="Q384" s="3">
        <f>VLOOKUP($A384,'SegEnds_NonXtal_BW#'!$A:$Z,12,FALSE)+VLOOKUP($A384,A:AL,16,FALSE)-50</f>
        <v>343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354</v>
      </c>
      <c r="V384" s="3">
        <v>363</v>
      </c>
      <c r="W384" s="3">
        <f>IF(ISERROR(VLOOKUP($A384,'SegEnds_NonXtal_BW#'!$A:$Z,16,FALSE)+VLOOKUP($A384,A:AL,22,FALSE)-50),"-",(VLOOKUP($A384,'SegEnds_NonXtal_BW#'!$A:$Z,16,FALSE)+VLOOKUP($A384,A:AL,22,FALSE)-50))</f>
        <v>377</v>
      </c>
      <c r="X384" s="3">
        <f>IF(ISERROR(VLOOKUP($A384,'SegEnds_NonXtal_BW#'!$A:$Z,17,FALSE)+VLOOKUP($A384,A:AL,25,FALSE)-50),"-",(VLOOKUP($A384,'SegEnds_NonXtal_BW#'!$A:$Z,17,FALSE)+VLOOKUP($A384,A:AL,25,FALSE)-50))</f>
        <v>388</v>
      </c>
      <c r="Y384" s="3">
        <v>388</v>
      </c>
      <c r="Z384" s="3">
        <f t="shared" si="249"/>
        <v>390</v>
      </c>
      <c r="AA384" s="3">
        <f>IF(ISERROR(VLOOKUP($A384,'SegEnds_NonXtal_BW#'!$A:$Z,19,FALSE)+VLOOKUP($A384,A:AL,28,FALSE)-50),"-",(VLOOKUP($A384,'SegEnds_NonXtal_BW#'!$A:$Z,19,FALSE)+VLOOKUP($A384,A:AL,28,FALSE)-50))</f>
        <v>394</v>
      </c>
      <c r="AB384" s="3">
        <v>409</v>
      </c>
      <c r="AC384" s="3">
        <f>IF(ISERROR((VLOOKUP($A384,'SegEnds_NonXtal_BW#'!$A:$Z,20,FALSE)+VLOOKUP($A384,A:AL,28,FALSE)-50)),"-",(VLOOKUP($A384,'SegEnds_NonXtal_BW#'!$A:$Z,20,FALSE)+VLOOKUP($A384,A:AL,28,FALSE)-50))</f>
        <v>431</v>
      </c>
      <c r="AD384" s="3">
        <f>IF(ISERROR(VLOOKUP($A384,'SegEnds_NonXtal_BW#'!$A:$Z,21,FALSE)+VLOOKUP($A384,A:AL,31,FALSE)-50),"-",(VLOOKUP($A384,'SegEnds_NonXtal_BW#'!$A:$Z,21,FALSE)+VLOOKUP($A384,A:AL,31,FALSE)-50))</f>
        <v>442</v>
      </c>
      <c r="AE384" s="3">
        <v>464</v>
      </c>
      <c r="AF384" s="3">
        <f>IF(ISERROR((VLOOKUP($A384,'SegEnds_NonXtal_BW#'!$A:$Z,22,FALSE)+VLOOKUP($A384,A:AL,31,FALSE)-50)),"-",(VLOOKUP($A384,'SegEnds_NonXtal_BW#'!$A:$Z,22,FALSE)+VLOOKUP($A384,A:AL,31,FALSE)-50))</f>
        <v>492</v>
      </c>
      <c r="AG384" s="3">
        <f>IF(ISERROR(VLOOKUP($A384,'SegEnds_NonXtal_BW#'!$A:$Z,23,FALSE)+VLOOKUP($A384,A:AL,34,FALSE)-50),"-",(VLOOKUP($A384,'SegEnds_NonXtal_BW#'!$A:$Z,23,FALSE)+VLOOKUP($A384,A:AL,34,FALSE)-50))</f>
        <v>506</v>
      </c>
      <c r="AH384" s="3">
        <v>522</v>
      </c>
      <c r="AI384" s="3">
        <f>IF(ISERROR((VLOOKUP($A384,'SegEnds_NonXtal_BW#'!$A:$Z,24,FALSE)+VLOOKUP($A384,A:AL,34,FALSE)-50)),"-",(VLOOKUP($A384,'SegEnds_NonXtal_BW#'!$A:$Z,24,FALSE)+VLOOKUP($A384,A:AL,34,FALSE)-50))</f>
        <v>529</v>
      </c>
      <c r="AJ384" s="3">
        <f>IF(ISERROR(VLOOKUP($A384,'SegEnds_NonXtal_BW#'!$A:$Z,25,FALSE)+VLOOKUP($A384,A:AL,37,FALSE)-50),"-",(VLOOKUP($A384,'SegEnds_NonXtal_BW#'!$A:$Z,25,FALSE)+VLOOKUP($A384,A:AL,37,FALSE)-50))</f>
        <v>530</v>
      </c>
      <c r="AK384" s="3">
        <v>533</v>
      </c>
      <c r="AL384" s="3">
        <f>IF(ISERROR((VLOOKUP($A384,'SegEnds_NonXtal_BW#'!$A:$Z,26,FALSE)+VLOOKUP($A384,A:AL,37,FALSE)-50)),"-",(VLOOKUP($A384,'SegEnds_NonXtal_BW#'!$A:$Z,26,FALSE)+VLOOKUP($A384,A:AL,37,FALSE)-50))</f>
        <v>545</v>
      </c>
      <c r="AM384" s="28" t="str">
        <f>VLOOKUP(A384,Classification!A:B,2,FALSE)</f>
        <v>F</v>
      </c>
      <c r="AN384" s="28" t="b">
        <f t="shared" si="243"/>
        <v>1</v>
      </c>
      <c r="AO384" s="3" t="str">
        <f>IF(ISERROR(MATCH(A384,'SegEnds_Xtal_Prot#'!B:B, 0)), "NoXtal", "Xtal")</f>
        <v>NoXtal</v>
      </c>
      <c r="AP384" s="3">
        <f t="shared" si="228"/>
        <v>1</v>
      </c>
      <c r="AQ384" s="3">
        <f t="shared" si="229"/>
        <v>1</v>
      </c>
      <c r="AR384" s="3" t="str">
        <f t="shared" si="230"/>
        <v>-</v>
      </c>
      <c r="AS384" s="3" t="str">
        <f t="shared" si="231"/>
        <v>-</v>
      </c>
      <c r="AT384" s="3" t="str">
        <f t="shared" si="232"/>
        <v>-</v>
      </c>
      <c r="AU384" s="3" t="str">
        <f t="shared" si="233"/>
        <v>-</v>
      </c>
      <c r="AV384" s="3">
        <f t="shared" si="234"/>
        <v>11</v>
      </c>
      <c r="AW384" s="3">
        <f t="shared" si="235"/>
        <v>4</v>
      </c>
      <c r="AX384" s="3">
        <f t="shared" si="236"/>
        <v>11</v>
      </c>
      <c r="AY384" s="3">
        <f t="shared" si="237"/>
        <v>14</v>
      </c>
      <c r="AZ384" s="3">
        <f t="shared" si="238"/>
        <v>1</v>
      </c>
      <c r="BA384" s="3">
        <f>IF(ISERROR(LEN(VLOOKUP(A384,Seqs!A:E,2,FALSE))-AL384),"-",LEN(VLOOKUP(A384,Seqs!A:E,2,FALSE))-AL384)</f>
        <v>46</v>
      </c>
      <c r="BB384" s="16">
        <f t="shared" si="239"/>
        <v>26</v>
      </c>
      <c r="BC384" s="9" t="str">
        <f t="shared" si="240"/>
        <v>-</v>
      </c>
      <c r="BD384" s="3">
        <f t="shared" si="241"/>
        <v>26</v>
      </c>
      <c r="BE384" s="3">
        <f t="shared" si="242"/>
        <v>55</v>
      </c>
    </row>
    <row r="385" spans="1:58" s="3" customFormat="1" x14ac:dyDescent="0.2">
      <c r="A385" s="3" t="s">
        <v>33</v>
      </c>
      <c r="B385" s="3" t="str">
        <f>LOWER(VLOOKUP(A385,Xtal_Templ!A:B,2,FALSE))</f>
        <v>smo_human</v>
      </c>
      <c r="C385" s="3">
        <f>VLOOKUP($A385,'SegEnds_NonXtal_BW#'!$A:$Z,3,FALSE)+D385-50</f>
        <v>223</v>
      </c>
      <c r="D385" s="3">
        <v>245</v>
      </c>
      <c r="E385" s="3">
        <f>IF(ISERROR(VLOOKUP($A385,'SegEnds_NonXtal_BW#'!$A:$Z,4,FALSE)+VLOOKUP($A385,A:AL,4,FALSE)-50),"-",(VLOOKUP($A385,'SegEnds_NonXtal_BW#'!$A:$Z,4,FALSE)+VLOOKUP($A385,A:AL,4,FALSE)-50))</f>
        <v>255</v>
      </c>
      <c r="F385" s="3">
        <f t="shared" si="245"/>
        <v>256</v>
      </c>
      <c r="G385" s="3">
        <v>259</v>
      </c>
      <c r="H385" s="3">
        <f t="shared" si="250"/>
        <v>260</v>
      </c>
      <c r="I385" s="3">
        <f t="shared" si="247"/>
        <v>261</v>
      </c>
      <c r="J385" s="3">
        <v>272</v>
      </c>
      <c r="K385" s="3">
        <f>VLOOKUP($A385,'SegEnds_NonXtal_BW#'!$A:$Z,8,FALSE)+VLOOKUP($A385,A:AL,10,FALSE)-50</f>
        <v>285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312</v>
      </c>
      <c r="P385" s="3">
        <v>339</v>
      </c>
      <c r="Q385" s="3">
        <f>VLOOKUP($A385,'SegEnds_NonXtal_BW#'!$A:$Z,12,FALSE)+VLOOKUP($A385,A:AL,16,FALSE)-50</f>
        <v>345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356</v>
      </c>
      <c r="V385" s="3">
        <v>365</v>
      </c>
      <c r="W385" s="3">
        <f>IF(ISERROR(VLOOKUP($A385,'SegEnds_NonXtal_BW#'!$A:$Z,16,FALSE)+VLOOKUP($A385,A:AL,22,FALSE)-50),"-",(VLOOKUP($A385,'SegEnds_NonXtal_BW#'!$A:$Z,16,FALSE)+VLOOKUP($A385,A:AL,22,FALSE)-50))</f>
        <v>379</v>
      </c>
      <c r="X385" s="3">
        <f>IF(ISERROR(VLOOKUP($A385,'SegEnds_NonXtal_BW#'!$A:$Z,17,FALSE)+VLOOKUP($A385,A:AL,25,FALSE)-50),"-",(VLOOKUP($A385,'SegEnds_NonXtal_BW#'!$A:$Z,17,FALSE)+VLOOKUP($A385,A:AL,25,FALSE)-50))</f>
        <v>390</v>
      </c>
      <c r="Y385" s="3">
        <v>390</v>
      </c>
      <c r="Z385" s="3">
        <f t="shared" si="249"/>
        <v>392</v>
      </c>
      <c r="AA385" s="3">
        <f>IF(ISERROR(VLOOKUP($A385,'SegEnds_NonXtal_BW#'!$A:$Z,19,FALSE)+VLOOKUP($A385,A:AL,28,FALSE)-50),"-",(VLOOKUP($A385,'SegEnds_NonXtal_BW#'!$A:$Z,19,FALSE)+VLOOKUP($A385,A:AL,28,FALSE)-50))</f>
        <v>396</v>
      </c>
      <c r="AB385" s="3">
        <v>411</v>
      </c>
      <c r="AC385" s="3">
        <f>IF(ISERROR((VLOOKUP($A385,'SegEnds_NonXtal_BW#'!$A:$Z,20,FALSE)+VLOOKUP($A385,A:AL,28,FALSE)-50)),"-",(VLOOKUP($A385,'SegEnds_NonXtal_BW#'!$A:$Z,20,FALSE)+VLOOKUP($A385,A:AL,28,FALSE)-50))</f>
        <v>433</v>
      </c>
      <c r="AD385" s="3">
        <f>IF(ISERROR(VLOOKUP($A385,'SegEnds_NonXtal_BW#'!$A:$Z,21,FALSE)+VLOOKUP($A385,A:AL,31,FALSE)-50),"-",(VLOOKUP($A385,'SegEnds_NonXtal_BW#'!$A:$Z,21,FALSE)+VLOOKUP($A385,A:AL,31,FALSE)-50))</f>
        <v>438</v>
      </c>
      <c r="AE385" s="3">
        <v>468</v>
      </c>
      <c r="AF385" s="3">
        <f>IF(ISERROR((VLOOKUP($A385,'SegEnds_NonXtal_BW#'!$A:$Z,22,FALSE)+VLOOKUP($A385,A:AL,31,FALSE)-50)),"-",(VLOOKUP($A385,'SegEnds_NonXtal_BW#'!$A:$Z,22,FALSE)+VLOOKUP($A385,A:AL,31,FALSE)-50))</f>
        <v>496</v>
      </c>
      <c r="AG385" s="3">
        <f>IF(ISERROR(VLOOKUP($A385,'SegEnds_NonXtal_BW#'!$A:$Z,23,FALSE)+VLOOKUP($A385,A:AL,34,FALSE)-50),"-",(VLOOKUP($A385,'SegEnds_NonXtal_BW#'!$A:$Z,23,FALSE)+VLOOKUP($A385,A:AL,34,FALSE)-50))</f>
        <v>514</v>
      </c>
      <c r="AH385" s="3">
        <v>530</v>
      </c>
      <c r="AI385" s="3">
        <f>IF(ISERROR((VLOOKUP($A385,'SegEnds_NonXtal_BW#'!$A:$Z,24,FALSE)+VLOOKUP($A385,A:AL,34,FALSE)-50)),"-",(VLOOKUP($A385,'SegEnds_NonXtal_BW#'!$A:$Z,24,FALSE)+VLOOKUP($A385,A:AL,34,FALSE)-50))</f>
        <v>537</v>
      </c>
      <c r="AJ385" s="3">
        <f>IF(ISERROR(VLOOKUP($A385,'SegEnds_NonXtal_BW#'!$A:$Z,25,FALSE)+VLOOKUP($A385,A:AL,37,FALSE)-50),"-",(VLOOKUP($A385,'SegEnds_NonXtal_BW#'!$A:$Z,25,FALSE)+VLOOKUP($A385,A:AL,37,FALSE)-50))</f>
        <v>538</v>
      </c>
      <c r="AK385" s="3">
        <v>541</v>
      </c>
      <c r="AL385" s="3">
        <f>IF(ISERROR((VLOOKUP($A385,'SegEnds_NonXtal_BW#'!$A:$Z,26,FALSE)+VLOOKUP($A385,A:AL,37,FALSE)-50)),"-",(VLOOKUP($A385,'SegEnds_NonXtal_BW#'!$A:$Z,26,FALSE)+VLOOKUP($A385,A:AL,37,FALSE)-50))</f>
        <v>553</v>
      </c>
      <c r="AM385" s="28" t="str">
        <f>VLOOKUP(A385,Classification!A:B,2,FALSE)</f>
        <v>F</v>
      </c>
      <c r="AN385" s="28" t="b">
        <f t="shared" si="243"/>
        <v>1</v>
      </c>
      <c r="AO385" s="3" t="str">
        <f>IF(ISERROR(MATCH(A385,'SegEnds_Xtal_Prot#'!B:B, 0)), "NoXtal", "Xtal")</f>
        <v>Xtal</v>
      </c>
      <c r="AP385" s="3">
        <f t="shared" si="228"/>
        <v>1</v>
      </c>
      <c r="AQ385" s="3">
        <f t="shared" si="229"/>
        <v>1</v>
      </c>
      <c r="AR385" s="3" t="str">
        <f t="shared" si="230"/>
        <v>-</v>
      </c>
      <c r="AS385" s="3" t="str">
        <f t="shared" si="231"/>
        <v>-</v>
      </c>
      <c r="AT385" s="3" t="str">
        <f t="shared" si="232"/>
        <v>-</v>
      </c>
      <c r="AU385" s="3" t="str">
        <f t="shared" si="233"/>
        <v>-</v>
      </c>
      <c r="AV385" s="3">
        <f t="shared" si="234"/>
        <v>11</v>
      </c>
      <c r="AW385" s="3">
        <f t="shared" si="235"/>
        <v>4</v>
      </c>
      <c r="AX385" s="3">
        <f t="shared" si="236"/>
        <v>5</v>
      </c>
      <c r="AY385" s="3">
        <f t="shared" si="237"/>
        <v>18</v>
      </c>
      <c r="AZ385" s="3">
        <f t="shared" si="238"/>
        <v>1</v>
      </c>
      <c r="BA385" s="3">
        <f>IF(ISERROR(LEN(VLOOKUP(A385,Seqs!A:E,2,FALSE))-AL385),"-",LEN(VLOOKUP(A385,Seqs!A:E,2,FALSE))-AL385)</f>
        <v>234</v>
      </c>
      <c r="BB385" s="16">
        <f t="shared" si="239"/>
        <v>27</v>
      </c>
      <c r="BC385" s="9" t="str">
        <f t="shared" si="240"/>
        <v>-</v>
      </c>
      <c r="BD385" s="3">
        <f t="shared" si="241"/>
        <v>27</v>
      </c>
      <c r="BE385" s="3">
        <f t="shared" si="242"/>
        <v>57</v>
      </c>
    </row>
    <row r="386" spans="1:58" s="3" customFormat="1" x14ac:dyDescent="0.2">
      <c r="A386" s="3" t="s">
        <v>1590</v>
      </c>
      <c r="B386" s="3" t="str">
        <f>LOWER(VLOOKUP(A386,Xtal_Templ!A:B,2,FALSE))</f>
        <v>smo_mouse</v>
      </c>
      <c r="C386" s="3">
        <f>VLOOKUP($A386,'SegEnds_NonXtal_BW#'!$A:$Z,3,FALSE)+D386-50</f>
        <v>227</v>
      </c>
      <c r="D386" s="3">
        <v>249</v>
      </c>
      <c r="E386" s="3">
        <f>IF(ISERROR(VLOOKUP($A386,'SegEnds_NonXtal_BW#'!$A:$Z,4,FALSE)+VLOOKUP($A386,A:AL,4,FALSE)-50),"-",(VLOOKUP($A386,'SegEnds_NonXtal_BW#'!$A:$Z,4,FALSE)+VLOOKUP($A386,A:AL,4,FALSE)-50))</f>
        <v>259</v>
      </c>
      <c r="F386" s="3">
        <f t="shared" ref="F386" si="251">G386-3</f>
        <v>260</v>
      </c>
      <c r="G386" s="3">
        <v>263</v>
      </c>
      <c r="H386" s="3">
        <f t="shared" ref="H386" si="252">G386+1</f>
        <v>264</v>
      </c>
      <c r="I386" s="3">
        <f t="shared" ref="I386" si="253">H386+1</f>
        <v>265</v>
      </c>
      <c r="J386" s="3">
        <v>276</v>
      </c>
      <c r="K386" s="3">
        <f>VLOOKUP($A386,'SegEnds_NonXtal_BW#'!$A:$Z,8,FALSE)+VLOOKUP($A386,A:AL,10,FALSE)-50</f>
        <v>289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316</v>
      </c>
      <c r="P386" s="3">
        <v>343</v>
      </c>
      <c r="Q386" s="3">
        <f>VLOOKUP($A386,'SegEnds_NonXtal_BW#'!$A:$Z,12,FALSE)+VLOOKUP($A386,A:AL,16,FALSE)-50</f>
        <v>349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360</v>
      </c>
      <c r="V386" s="3">
        <v>369</v>
      </c>
      <c r="W386" s="3">
        <f>IF(ISERROR(VLOOKUP($A386,'SegEnds_NonXtal_BW#'!$A:$Z,16,FALSE)+VLOOKUP($A386,A:AL,22,FALSE)-50),"-",(VLOOKUP($A386,'SegEnds_NonXtal_BW#'!$A:$Z,16,FALSE)+VLOOKUP($A386,A:AL,22,FALSE)-50))</f>
        <v>383</v>
      </c>
      <c r="X386" s="3">
        <f>IF(ISERROR(VLOOKUP($A386,'SegEnds_NonXtal_BW#'!$A:$Z,17,FALSE)+VLOOKUP($A386,A:AL,25,FALSE)-50),"-",(VLOOKUP($A386,'SegEnds_NonXtal_BW#'!$A:$Z,17,FALSE)+VLOOKUP($A386,A:AL,25,FALSE)-50))</f>
        <v>394</v>
      </c>
      <c r="Y386" s="3">
        <v>394</v>
      </c>
      <c r="Z386" s="3">
        <f t="shared" ref="Z386" si="254">Y386+2</f>
        <v>396</v>
      </c>
      <c r="AA386" s="3">
        <f>IF(ISERROR(VLOOKUP($A386,'SegEnds_NonXtal_BW#'!$A:$Z,19,FALSE)+VLOOKUP($A386,A:AL,28,FALSE)-50),"-",(VLOOKUP($A386,'SegEnds_NonXtal_BW#'!$A:$Z,19,FALSE)+VLOOKUP($A386,A:AL,28,FALSE)-50))</f>
        <v>400</v>
      </c>
      <c r="AB386" s="3">
        <v>415</v>
      </c>
      <c r="AC386" s="3">
        <f>IF(ISERROR((VLOOKUP($A386,'SegEnds_NonXtal_BW#'!$A:$Z,20,FALSE)+VLOOKUP($A386,A:AL,28,FALSE)-50)),"-",(VLOOKUP($A386,'SegEnds_NonXtal_BW#'!$A:$Z,20,FALSE)+VLOOKUP($A386,A:AL,28,FALSE)-50))</f>
        <v>437</v>
      </c>
      <c r="AD386" s="3">
        <f>IF(ISERROR(VLOOKUP($A386,'SegEnds_NonXtal_BW#'!$A:$Z,21,FALSE)+VLOOKUP($A386,A:AL,31,FALSE)-50),"-",(VLOOKUP($A386,'SegEnds_NonXtal_BW#'!$A:$Z,21,FALSE)+VLOOKUP($A386,A:AL,31,FALSE)-50))</f>
        <v>442</v>
      </c>
      <c r="AE386" s="3">
        <v>472</v>
      </c>
      <c r="AF386" s="3">
        <f>IF(ISERROR((VLOOKUP($A386,'SegEnds_NonXtal_BW#'!$A:$Z,22,FALSE)+VLOOKUP($A386,A:AL,31,FALSE)-50)),"-",(VLOOKUP($A386,'SegEnds_NonXtal_BW#'!$A:$Z,22,FALSE)+VLOOKUP($A386,A:AL,31,FALSE)-50))</f>
        <v>500</v>
      </c>
      <c r="AG386" s="3">
        <f>IF(ISERROR(VLOOKUP($A386,'SegEnds_NonXtal_BW#'!$A:$Z,23,FALSE)+VLOOKUP($A386,A:AL,34,FALSE)-50),"-",(VLOOKUP($A386,'SegEnds_NonXtal_BW#'!$A:$Z,23,FALSE)+VLOOKUP($A386,A:AL,34,FALSE)-50))</f>
        <v>518</v>
      </c>
      <c r="AH386" s="3">
        <v>534</v>
      </c>
      <c r="AI386" s="3">
        <f>IF(ISERROR((VLOOKUP($A386,'SegEnds_NonXtal_BW#'!$A:$Z,24,FALSE)+VLOOKUP($A386,A:AL,34,FALSE)-50)),"-",(VLOOKUP($A386,'SegEnds_NonXtal_BW#'!$A:$Z,24,FALSE)+VLOOKUP($A386,A:AL,34,FALSE)-50))</f>
        <v>541</v>
      </c>
      <c r="AJ386" s="3">
        <f>IF(ISERROR(VLOOKUP($A386,'SegEnds_NonXtal_BW#'!$A:$Z,25,FALSE)+VLOOKUP($A386,A:AL,37,FALSE)-50),"-",(VLOOKUP($A386,'SegEnds_NonXtal_BW#'!$A:$Z,25,FALSE)+VLOOKUP($A386,A:AL,37,FALSE)-50))</f>
        <v>542</v>
      </c>
      <c r="AK386" s="3">
        <v>545</v>
      </c>
      <c r="AL386" s="3">
        <f>IF(ISERROR((VLOOKUP($A386,'SegEnds_NonXtal_BW#'!$A:$Z,26,FALSE)+VLOOKUP($A386,A:AL,37,FALSE)-50)),"-",(VLOOKUP($A386,'SegEnds_NonXtal_BW#'!$A:$Z,26,FALSE)+VLOOKUP($A386,A:AL,37,FALSE)-50))</f>
        <v>557</v>
      </c>
      <c r="AM386" s="28" t="str">
        <f>VLOOKUP(A386,Classification!A:B,2,FALSE)</f>
        <v>F</v>
      </c>
      <c r="AN386" s="28" t="b">
        <f t="shared" ref="AN386" si="255"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Xtal</v>
      </c>
      <c r="AP386" s="3">
        <f t="shared" ref="AP386" si="256">IF(ISERROR(F386-E386),"-",F386-E386)</f>
        <v>1</v>
      </c>
      <c r="AQ386" s="3">
        <f t="shared" ref="AQ386" si="257">IF(ISERROR(I386-H386),"-",I386-H386)</f>
        <v>1</v>
      </c>
      <c r="AR386" s="3" t="str">
        <f t="shared" ref="AR386" si="258">IF(ISERROR(L386-K386),"-",L386-K386)</f>
        <v>-</v>
      </c>
      <c r="AS386" s="3" t="str">
        <f t="shared" ref="AS386" si="259">IF(ISERROR(O386-N386),"-",O386-N386)</f>
        <v>-</v>
      </c>
      <c r="AT386" s="3" t="str">
        <f t="shared" ref="AT386" si="260">IF(ISERROR(R386-Q386),"-",R386-Q386)</f>
        <v>-</v>
      </c>
      <c r="AU386" s="3" t="str">
        <f t="shared" ref="AU386" si="261">IF(ISERROR(U386-T386),"-",U386-T386)</f>
        <v>-</v>
      </c>
      <c r="AV386" s="3">
        <f t="shared" ref="AV386" si="262">IF(ISERROR(X386-W386),"-",X386-W386)</f>
        <v>11</v>
      </c>
      <c r="AW386" s="3">
        <f t="shared" ref="AW386" si="263">IF(ISERROR(AA386-Z386),"-",AA386-Z386)</f>
        <v>4</v>
      </c>
      <c r="AX386" s="3">
        <f t="shared" ref="AX386" si="264">IF(ISERROR(AD386-AC386),"-",AD386-AC386)</f>
        <v>5</v>
      </c>
      <c r="AY386" s="3">
        <f t="shared" ref="AY386" si="265">IF(ISERROR(AG386-AF386),"-",AG386-AF386)</f>
        <v>18</v>
      </c>
      <c r="AZ386" s="3">
        <f t="shared" ref="AZ386" si="266">IF(ISERROR(AJ386-AI386),"-",AJ386-AI386)</f>
        <v>1</v>
      </c>
      <c r="BA386" s="3">
        <f>IF(ISERROR(LEN(VLOOKUP(A386,Seqs!A:E,2,FALSE))-AL386),"-",LEN(VLOOKUP(A386,Seqs!A:E,2,FALSE))-AL386)</f>
        <v>236</v>
      </c>
      <c r="BB386" s="16">
        <f t="shared" ref="BB386" si="267">J386-D386</f>
        <v>27</v>
      </c>
      <c r="BC386" s="9" t="str">
        <f t="shared" ref="BC386" si="268">IF(ISERROR(V386-S386),"-",V386-S386)</f>
        <v>-</v>
      </c>
      <c r="BD386" s="3">
        <f t="shared" ref="BD386" si="269">J386-D386</f>
        <v>27</v>
      </c>
      <c r="BE386" s="3">
        <f t="shared" ref="BE386" si="270">AE386-AB386</f>
        <v>57</v>
      </c>
    </row>
    <row r="387" spans="1:58" s="9" customFormat="1" x14ac:dyDescent="0.2">
      <c r="A387" s="126" t="s">
        <v>1491</v>
      </c>
      <c r="B387" s="9" t="str">
        <f>LOWER(VLOOKUP(A387,Xtal_Templ!A:B,2,FALSE))</f>
        <v>q98sw5_xenla</v>
      </c>
      <c r="C387" s="9">
        <f>VLOOKUP($A387,'SegEnds_NonXtal_BW#'!$A:$Z,3,FALSE)+D387-50</f>
        <v>196</v>
      </c>
      <c r="D387" s="9">
        <v>218</v>
      </c>
      <c r="E387" s="9">
        <f>IF(ISERROR(VLOOKUP($A387,'SegEnds_NonXtal_BW#'!$A:$Z,4,FALSE)+VLOOKUP($A387,A:AL,4,FALSE)-50),"-",(VLOOKUP($A387,'SegEnds_NonXtal_BW#'!$A:$Z,4,FALSE)+VLOOKUP($A387,A:AL,4,FALSE)-50))</f>
        <v>228</v>
      </c>
      <c r="F387" s="9">
        <f>G387-3</f>
        <v>229</v>
      </c>
      <c r="G387" s="9">
        <v>232</v>
      </c>
      <c r="H387" s="9">
        <f>G387+1</f>
        <v>233</v>
      </c>
      <c r="I387" s="9">
        <f>H387+1</f>
        <v>234</v>
      </c>
      <c r="J387" s="9">
        <v>245</v>
      </c>
      <c r="K387" s="9">
        <f>VLOOKUP($A387,'SegEnds_NonXtal_BW#'!$A:$Z,8,FALSE)+VLOOKUP($A387,A:AL,10,FALSE)-50</f>
        <v>256</v>
      </c>
      <c r="L387" s="9" t="str">
        <f>IF(ISERROR(VLOOKUP($A387,'SegEnds_NonXtal_BW#'!$A:$Z,9,FALSE)+VLOOKUP($A387,A:AL,13,FALSE)-50),"-",(VLOOKUP($A387,'SegEnds_NonXtal_BW#'!$A:$Z,9,FALSE)+VLOOKUP($A387,A:AL,13,FALSE)-50))</f>
        <v>-</v>
      </c>
      <c r="M387" s="9" t="s">
        <v>23</v>
      </c>
      <c r="N387" s="9" t="str">
        <f>IF(ISERROR(VLOOKUP($A387,'SegEnds_NonXtal_BW#'!$A:$Z,10,FALSE)+VLOOKUP($A387,A:AL,13,FALSE)-50),"-",(VLOOKUP($A387,'SegEnds_NonXtal_BW#'!$A:$Z,10,FALSE)+VLOOKUP($A387,A:AL,13,FALSE)-50))</f>
        <v>-</v>
      </c>
      <c r="O387" s="9">
        <f>VLOOKUP($A387,'SegEnds_NonXtal_BW#'!$A:$Z,11,FALSE)+VLOOKUP($A387,A:AL,16,FALSE)-50</f>
        <v>285</v>
      </c>
      <c r="P387" s="9">
        <v>312</v>
      </c>
      <c r="Q387" s="9">
        <f>VLOOKUP($A387,'SegEnds_NonXtal_BW#'!$A:$Z,12,FALSE)+VLOOKUP($A387,A:AL,16,FALSE)-50</f>
        <v>321</v>
      </c>
      <c r="R387" s="9" t="str">
        <f>IF(ISERROR(VLOOKUP($A387,'SegEnds_NonXtal_BW#'!$A:$Z,13,FALSE)+VLOOKUP($A387,A:AL,19,FALSE)-50),"-",VLOOKUP($A387,'SegEnds_NonXtal_BW#'!$A:$Z,13,FALSE)+VLOOKUP($A387,A:AL,19,FALSE)-50)</f>
        <v>-</v>
      </c>
      <c r="S387" s="9" t="s">
        <v>23</v>
      </c>
      <c r="T387" s="9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326</v>
      </c>
      <c r="V387" s="9">
        <v>338</v>
      </c>
      <c r="W387" s="9">
        <f>IF(ISERROR(VLOOKUP($A387,'SegEnds_NonXtal_BW#'!$A:$Z,16,FALSE)+VLOOKUP($A387,A:AL,22,FALSE)-50),"-",(VLOOKUP($A387,'SegEnds_NonXtal_BW#'!$A:$Z,16,FALSE)+VLOOKUP($A387,A:AL,22,FALSE)-50))</f>
        <v>351</v>
      </c>
      <c r="X387" s="9">
        <f>IF(ISERROR(VLOOKUP($A387,'SegEnds_NonXtal_BW#'!$A:$Z,17,FALSE)+VLOOKUP($A387,A:AL,25,FALSE)-50),"-",(VLOOKUP($A387,'SegEnds_NonXtal_BW#'!$A:$Z,17,FALSE)+VLOOKUP($A387,A:AL,25,FALSE)-50))</f>
        <v>363</v>
      </c>
      <c r="Y387" s="9">
        <v>363</v>
      </c>
      <c r="Z387" s="9">
        <f>Y387+2</f>
        <v>365</v>
      </c>
      <c r="AA387" s="9">
        <f>IF(ISERROR(VLOOKUP($A387,'SegEnds_NonXtal_BW#'!$A:$Z,19,FALSE)+VLOOKUP($A387,A:AL,28,FALSE)-50),"-",(VLOOKUP($A387,'SegEnds_NonXtal_BW#'!$A:$Z,19,FALSE)+VLOOKUP($A387,A:AL,28,FALSE)-50))</f>
        <v>369</v>
      </c>
      <c r="AB387" s="9">
        <v>384</v>
      </c>
      <c r="AC387" s="9">
        <f>IF(ISERROR((VLOOKUP($A387,'SegEnds_NonXtal_BW#'!$A:$Z,20,FALSE)+VLOOKUP($A387,A:AL,28,FALSE)-50)),"-",(VLOOKUP($A387,'SegEnds_NonXtal_BW#'!$A:$Z,20,FALSE)+VLOOKUP($A387,A:AL,28,FALSE)-50))</f>
        <v>406</v>
      </c>
      <c r="AD387" s="9">
        <f>IF(ISERROR(VLOOKUP($A387,'SegEnds_NonXtal_BW#'!$A:$Z,21,FALSE)+VLOOKUP($A387,A:AL,31,FALSE)-50),"-",(VLOOKUP($A387,'SegEnds_NonXtal_BW#'!$A:$Z,21,FALSE)+VLOOKUP($A387,A:AL,31,FALSE)-50))</f>
        <v>415</v>
      </c>
      <c r="AE387" s="9">
        <v>441</v>
      </c>
      <c r="AF387" s="9">
        <f>IF(ISERROR((VLOOKUP($A387,'SegEnds_NonXtal_BW#'!$A:$Z,22,FALSE)+VLOOKUP($A387,A:AL,31,FALSE)-50)),"-",(VLOOKUP($A387,'SegEnds_NonXtal_BW#'!$A:$Z,22,FALSE)+VLOOKUP($A387,A:AL,31,FALSE)-50))</f>
        <v>472</v>
      </c>
      <c r="AG387" s="9">
        <f>IF(ISERROR(VLOOKUP($A387,'SegEnds_NonXtal_BW#'!$A:$Z,23,FALSE)+VLOOKUP($A387,A:AL,34,FALSE)-50),"-",(VLOOKUP($A387,'SegEnds_NonXtal_BW#'!$A:$Z,23,FALSE)+VLOOKUP($A387,A:AL,34,FALSE)-50))</f>
        <v>487</v>
      </c>
      <c r="AH387" s="9">
        <v>503</v>
      </c>
      <c r="AI387" s="9">
        <f>IF(ISERROR((VLOOKUP($A387,'SegEnds_NonXtal_BW#'!$A:$Z,24,FALSE)+VLOOKUP($A387,A:AL,34,FALSE)-50)),"-",(VLOOKUP($A387,'SegEnds_NonXtal_BW#'!$A:$Z,24,FALSE)+VLOOKUP($A387,A:AL,34,FALSE)-50))</f>
        <v>510</v>
      </c>
      <c r="AJ387" s="9">
        <f>IF(ISERROR(VLOOKUP($A387,'SegEnds_NonXtal_BW#'!$A:$Z,25,FALSE)+VLOOKUP($A387,A:AL,37,FALSE)-50),"-",(VLOOKUP($A387,'SegEnds_NonXtal_BW#'!$A:$Z,25,FALSE)+VLOOKUP($A387,A:AL,37,FALSE)-50))</f>
        <v>511</v>
      </c>
      <c r="AK387" s="9">
        <v>514</v>
      </c>
      <c r="AL387" s="9">
        <f>IF(ISERROR((VLOOKUP($A387,'SegEnds_NonXtal_BW#'!$A:$Z,26,FALSE)+VLOOKUP($A387,A:AL,37,FALSE)-50)),"-",(VLOOKUP($A387,'SegEnds_NonXtal_BW#'!$A:$Z,26,FALSE)+VLOOKUP($A387,A:AL,37,FALSE)-50))</f>
        <v>526</v>
      </c>
      <c r="AM387" s="58" t="str">
        <f>VLOOKUP(A387,Classification!A:B,2,FALSE)</f>
        <v>F</v>
      </c>
      <c r="AN387" s="58" t="b">
        <f>AND(IF(Y387="-",IF(AA387-W387&gt;3,TRUE,FALSE),TRUE),IF(M387="-",IF(O387-K387&gt;3,TRUE,FALSE),TRUE),IF(AG387-AF387&gt;1,TRUE,FALS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9" t="str">
        <f>IF(ISERROR(MATCH(A387,'SegEnds_Xtal_Prot#'!B:B, 0)), "NoXtal", "Xtal")</f>
        <v>Xtal</v>
      </c>
      <c r="AP387" s="9">
        <f>IF(ISERROR(F387-E387),"-",F387-E387)</f>
        <v>1</v>
      </c>
      <c r="AQ387" s="9">
        <f>IF(ISERROR(I387-H387),"-",I387-H387)</f>
        <v>1</v>
      </c>
      <c r="AR387" s="9" t="str">
        <f>IF(ISERROR(L387-K387),"-",L387-K387)</f>
        <v>-</v>
      </c>
      <c r="AS387" s="9" t="str">
        <f>IF(ISERROR(O387-N387),"-",O387-N387)</f>
        <v>-</v>
      </c>
      <c r="AT387" s="9" t="str">
        <f>IF(ISERROR(R387-Q387),"-",R387-Q387)</f>
        <v>-</v>
      </c>
      <c r="AU387" s="9" t="str">
        <f>IF(ISERROR(U387-T387),"-",U387-T387)</f>
        <v>-</v>
      </c>
      <c r="AV387" s="9">
        <f>IF(ISERROR(X387-W387),"-",X387-W387)</f>
        <v>12</v>
      </c>
      <c r="AW387" s="9">
        <f>IF(ISERROR(AA387-Z387),"-",AA387-Z387)</f>
        <v>4</v>
      </c>
      <c r="AX387" s="9">
        <f>IF(ISERROR(AD387-AC387),"-",AD387-AC387)</f>
        <v>9</v>
      </c>
      <c r="AY387" s="9">
        <f>IF(ISERROR(AG387-AF387),"-",AG387-AF387)</f>
        <v>15</v>
      </c>
      <c r="AZ387" s="9">
        <f>IF(ISERROR(AJ387-AI387),"-",AJ387-AI387)</f>
        <v>1</v>
      </c>
      <c r="BA387" s="9">
        <f>IF(ISERROR(LEN(VLOOKUP(A387,Seqs!A:E,2,FALSE))-AL387),"-",LEN(VLOOKUP(A387,Seqs!A:E,2,FALSE))-AL387)</f>
        <v>288</v>
      </c>
      <c r="BB387" s="125">
        <f>J387-D387</f>
        <v>27</v>
      </c>
      <c r="BC387" s="9" t="str">
        <f>IF(ISERROR(V387-S387),"-",V387-S387)</f>
        <v>-</v>
      </c>
      <c r="BD387" s="9">
        <f>J387-D387</f>
        <v>27</v>
      </c>
      <c r="BE387" s="9">
        <f>AE387-AB387</f>
        <v>57</v>
      </c>
    </row>
    <row r="388" spans="1:58" s="3" customFormat="1" x14ac:dyDescent="0.2">
      <c r="A388" s="3" t="s">
        <v>477</v>
      </c>
      <c r="B388" s="3" t="str">
        <f>LOWER(VLOOKUP(A388,Xtal_Templ!A:B,2,FALSE))</f>
        <v>fpr2_human</v>
      </c>
      <c r="C388" s="3">
        <v>20</v>
      </c>
      <c r="D388" s="3">
        <v>53</v>
      </c>
      <c r="E388" s="3">
        <f>IF(ISERROR(VLOOKUP($A388,'SegEnds_NonXtal_BW#'!$A:$Z,4,FALSE)+VLOOKUP($A388,A:AL,4,FALSE)-50),"-",(VLOOKUP($A388,'SegEnds_NonXtal_BW#'!$A:$Z,4,FALSE)+VLOOKUP($A388,A:AL,4,FALSE)-50))</f>
        <v>63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60</v>
      </c>
      <c r="J388" s="3">
        <v>71</v>
      </c>
      <c r="K388" s="3">
        <f>VLOOKUP($A388,'SegEnds_NonXtal_BW#'!$A:$Z,8,FALSE)+VLOOKUP($A388,A:AL,10,FALSE)-50</f>
        <v>84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125</v>
      </c>
      <c r="P388" s="3">
        <v>152</v>
      </c>
      <c r="Q388" s="3">
        <f>VLOOKUP($A388,'SegEnds_NonXtal_BW#'!$A:$Z,12,FALSE)+VLOOKUP($A388,A:AL,16,FALSE)-50</f>
        <v>158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175</v>
      </c>
      <c r="V388" s="3">
        <v>185</v>
      </c>
      <c r="W388" s="3">
        <f>IF(ISERROR(VLOOKUP($A388,'SegEnds_NonXtal_BW#'!$A:$Z,16,FALSE)+VLOOKUP($A388,A:AL,22,FALSE)-50),"-",(VLOOKUP($A388,'SegEnds_NonXtal_BW#'!$A:$Z,16,FALSE)+VLOOKUP($A388,A:AL,22,FALSE)-50))</f>
        <v>199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257</v>
      </c>
      <c r="AB388" s="3">
        <v>268</v>
      </c>
      <c r="AC388" s="3">
        <f>IF(ISERROR((VLOOKUP($A388,'SegEnds_NonXtal_BW#'!$A:$Z,20,FALSE)+VLOOKUP($A388,A:AL,28,FALSE)-50)),"-",(VLOOKUP($A388,'SegEnds_NonXtal_BW#'!$A:$Z,20,FALSE)+VLOOKUP($A388,A:AL,28,FALSE)-50))</f>
        <v>279</v>
      </c>
      <c r="AD388" s="3">
        <f>IF(ISERROR(VLOOKUP($A388,'SegEnds_NonXtal_BW#'!$A:$Z,21,FALSE)+VLOOKUP($A388,A:AL,31,FALSE)-50),"-",(VLOOKUP($A388,'SegEnds_NonXtal_BW#'!$A:$Z,21,FALSE)+VLOOKUP($A388,A:AL,31,FALSE)-50))</f>
        <v>326</v>
      </c>
      <c r="AE388" s="3">
        <v>347</v>
      </c>
      <c r="AF388" s="3">
        <f>IF(ISERROR((VLOOKUP($A388,'SegEnds_NonXtal_BW#'!$A:$Z,22,FALSE)+VLOOKUP($A388,A:AL,31,FALSE)-50)),"-",(VLOOKUP($A388,'SegEnds_NonXtal_BW#'!$A:$Z,22,FALSE)+VLOOKUP($A388,A:AL,31,FALSE)-50))</f>
        <v>350</v>
      </c>
      <c r="AG388" s="3">
        <f>IF(ISERROR(VLOOKUP($A388,'SegEnds_NonXtal_BW#'!$A:$Z,23,FALSE)+VLOOKUP($A388,A:AL,34,FALSE)-50),"-",(VLOOKUP($A388,'SegEnds_NonXtal_BW#'!$A:$Z,23,FALSE)+VLOOKUP($A388,A:AL,34,FALSE)-50))</f>
        <v>365</v>
      </c>
      <c r="AH388" s="3">
        <v>380</v>
      </c>
      <c r="AI388" s="3">
        <f>IF(ISERROR((VLOOKUP($A388,'SegEnds_NonXtal_BW#'!$A:$Z,24,FALSE)+VLOOKUP($A388,A:AL,34,FALSE)-50)),"-",(VLOOKUP($A388,'SegEnds_NonXtal_BW#'!$A:$Z,24,FALSE)+VLOOKUP($A388,A:AL,34,FALSE)-50))</f>
        <v>386</v>
      </c>
      <c r="AJ388" s="3">
        <f>IF(ISERROR(VLOOKUP($A388,'SegEnds_NonXtal_BW#'!$A:$Z,25,FALSE)+VLOOKUP($A388,A:AL,37,FALSE)-50),"-",(VLOOKUP($A388,'SegEnds_NonXtal_BW#'!$A:$Z,25,FALSE)+VLOOKUP($A388,A:AL,37,FALSE)-50))</f>
        <v>387</v>
      </c>
      <c r="AK388" s="3">
        <v>390</v>
      </c>
      <c r="AL388" s="3">
        <f>IF(ISERROR((VLOOKUP($A388,'SegEnds_NonXtal_BW#'!$A:$Z,26,FALSE)+VLOOKUP($A388,A:AL,37,FALSE)-50)),"-",(VLOOKUP($A388,'SegEnds_NonXtal_BW#'!$A:$Z,26,FALSE)+VLOOKUP($A388,A:AL,37,FALSE)-50))</f>
        <v>397</v>
      </c>
      <c r="AM388" s="28" t="str">
        <f>VLOOKUP(A388,Classification!A:B,2,FALSE)</f>
        <v>O</v>
      </c>
      <c r="AN388" s="28" t="b">
        <f t="shared" si="243"/>
        <v>1</v>
      </c>
      <c r="AO388" s="3" t="str">
        <f>IF(ISERROR(MATCH(A388,'SegEnds_Xtal_Prot#'!B:B, 0)), "NoXtal", "Xtal")</f>
        <v>NoXtal</v>
      </c>
      <c r="AP388" s="3" t="str">
        <f t="shared" si="228"/>
        <v>-</v>
      </c>
      <c r="AQ388" s="3" t="str">
        <f t="shared" si="229"/>
        <v>-</v>
      </c>
      <c r="AR388" s="3" t="str">
        <f t="shared" si="230"/>
        <v>-</v>
      </c>
      <c r="AS388" s="3" t="str">
        <f t="shared" si="231"/>
        <v>-</v>
      </c>
      <c r="AT388" s="3" t="str">
        <f t="shared" si="232"/>
        <v>-</v>
      </c>
      <c r="AU388" s="3" t="str">
        <f t="shared" si="233"/>
        <v>-</v>
      </c>
      <c r="AV388" s="3" t="str">
        <f t="shared" si="234"/>
        <v>-</v>
      </c>
      <c r="AW388" s="3" t="str">
        <f t="shared" si="235"/>
        <v>-</v>
      </c>
      <c r="AX388" s="3">
        <f t="shared" si="236"/>
        <v>47</v>
      </c>
      <c r="AY388" s="3">
        <f t="shared" si="237"/>
        <v>15</v>
      </c>
      <c r="AZ388" s="3">
        <f t="shared" si="238"/>
        <v>1</v>
      </c>
      <c r="BA388" s="3">
        <f>IF(ISERROR(LEN(VLOOKUP(A388,Seqs!A:E,2,FALSE))-AL388),"-",LEN(VLOOKUP(A388,Seqs!A:E,2,FALSE))-AL388)</f>
        <v>20</v>
      </c>
      <c r="BB388" s="16">
        <f t="shared" si="239"/>
        <v>18</v>
      </c>
      <c r="BC388" s="9" t="str">
        <f t="shared" si="240"/>
        <v>-</v>
      </c>
      <c r="BD388" s="3">
        <f t="shared" si="241"/>
        <v>18</v>
      </c>
      <c r="BE388" s="3">
        <f t="shared" si="242"/>
        <v>79</v>
      </c>
      <c r="BF388" s="3">
        <f>AH388-AE388</f>
        <v>33</v>
      </c>
    </row>
    <row r="389" spans="1:58" s="3" customFormat="1" x14ac:dyDescent="0.2">
      <c r="A389" s="3" t="s">
        <v>478</v>
      </c>
      <c r="B389" s="3" t="str">
        <f>LOWER(VLOOKUP(A389,Xtal_Templ!A:B,2,FALSE))</f>
        <v>ccr9_human</v>
      </c>
      <c r="C389" s="3">
        <v>202</v>
      </c>
      <c r="D389" s="3">
        <v>231</v>
      </c>
      <c r="E389" s="3">
        <f>IF(ISERROR(VLOOKUP($A389,'SegEnds_NonXtal_BW#'!$A:$Z,4,FALSE)+VLOOKUP($A389,A:AL,4,FALSE)-50),"-",(VLOOKUP($A389,'SegEnds_NonXtal_BW#'!$A:$Z,4,FALSE)+VLOOKUP($A389,A:AL,4,FALSE)-50))</f>
        <v>241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269</v>
      </c>
      <c r="J389" s="3">
        <v>280</v>
      </c>
      <c r="K389" s="3">
        <f>VLOOKUP($A389,'SegEnds_NonXtal_BW#'!$A:$Z,8,FALSE)+VLOOKUP($A389,A:AL,10,FALSE)-50</f>
        <v>293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327</v>
      </c>
      <c r="P389" s="3">
        <v>354</v>
      </c>
      <c r="Q389" s="3">
        <f>VLOOKUP($A389,'SegEnds_NonXtal_BW#'!$A:$Z,12,FALSE)+VLOOKUP($A389,A:AL,16,FALSE)-50</f>
        <v>360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381</v>
      </c>
      <c r="V389" s="3">
        <v>391</v>
      </c>
      <c r="W389" s="3">
        <f>IF(ISERROR(VLOOKUP($A389,'SegEnds_NonXtal_BW#'!$A:$Z,16,FALSE)+VLOOKUP($A389,A:AL,22,FALSE)-50),"-",(VLOOKUP($A389,'SegEnds_NonXtal_BW#'!$A:$Z,16,FALSE)+VLOOKUP($A389,A:AL,22,FALSE)-50))</f>
        <v>405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461</v>
      </c>
      <c r="AB389" s="3">
        <v>472</v>
      </c>
      <c r="AC389" s="3">
        <f>IF(ISERROR((VLOOKUP($A389,'SegEnds_NonXtal_BW#'!$A:$Z,20,FALSE)+VLOOKUP($A389,A:AL,28,FALSE)-50)),"-",(VLOOKUP($A389,'SegEnds_NonXtal_BW#'!$A:$Z,20,FALSE)+VLOOKUP($A389,A:AL,28,FALSE)-50))</f>
        <v>483</v>
      </c>
      <c r="AD389" s="3">
        <f>IF(ISERROR(VLOOKUP($A389,'SegEnds_NonXtal_BW#'!$A:$Z,21,FALSE)+VLOOKUP($A389,A:AL,31,FALSE)-50),"-",(VLOOKUP($A389,'SegEnds_NonXtal_BW#'!$A:$Z,21,FALSE)+VLOOKUP($A389,A:AL,31,FALSE)-50))</f>
        <v>488</v>
      </c>
      <c r="AE389" s="3">
        <v>509</v>
      </c>
      <c r="AF389" s="3">
        <f>IF(ISERROR((VLOOKUP($A389,'SegEnds_NonXtal_BW#'!$A:$Z,22,FALSE)+VLOOKUP($A389,A:AL,31,FALSE)-50)),"-",(VLOOKUP($A389,'SegEnds_NonXtal_BW#'!$A:$Z,22,FALSE)+VLOOKUP($A389,A:AL,31,FALSE)-50))</f>
        <v>512</v>
      </c>
      <c r="AG389" s="3">
        <f>IF(ISERROR(VLOOKUP($A389,'SegEnds_NonXtal_BW#'!$A:$Z,23,FALSE)+VLOOKUP($A389,A:AL,34,FALSE)-50),"-",(VLOOKUP($A389,'SegEnds_NonXtal_BW#'!$A:$Z,23,FALSE)+VLOOKUP($A389,A:AL,34,FALSE)-50))</f>
        <v>538</v>
      </c>
      <c r="AH389" s="3">
        <v>553</v>
      </c>
      <c r="AI389" s="3">
        <f>IF(ISERROR((VLOOKUP($A389,'SegEnds_NonXtal_BW#'!$A:$Z,24,FALSE)+VLOOKUP($A389,A:AL,34,FALSE)-50)),"-",(VLOOKUP($A389,'SegEnds_NonXtal_BW#'!$A:$Z,24,FALSE)+VLOOKUP($A389,A:AL,34,FALSE)-50))</f>
        <v>559</v>
      </c>
      <c r="AJ389" s="3">
        <f>IF(ISERROR(VLOOKUP($A389,'SegEnds_NonXtal_BW#'!$A:$Z,25,FALSE)+VLOOKUP($A389,A:AL,37,FALSE)-50),"-",(VLOOKUP($A389,'SegEnds_NonXtal_BW#'!$A:$Z,25,FALSE)+VLOOKUP($A389,A:AL,37,FALSE)-50))</f>
        <v>561</v>
      </c>
      <c r="AK389" s="3">
        <v>564</v>
      </c>
      <c r="AL389" s="3">
        <f>IF(ISERROR((VLOOKUP($A389,'SegEnds_NonXtal_BW#'!$A:$Z,26,FALSE)+VLOOKUP($A389,A:AL,37,FALSE)-50)),"-",(VLOOKUP($A389,'SegEnds_NonXtal_BW#'!$A:$Z,26,FALSE)+VLOOKUP($A389,A:AL,37,FALSE)-50))</f>
        <v>571</v>
      </c>
      <c r="AM389" s="28" t="str">
        <f>VLOOKUP(A389,Classification!A:B,2,FALSE)</f>
        <v>O</v>
      </c>
      <c r="AN389" s="28" t="b">
        <f t="shared" si="243"/>
        <v>1</v>
      </c>
      <c r="AO389" s="3" t="str">
        <f>IF(ISERROR(MATCH(A389,'SegEnds_Xtal_Prot#'!B:B, 0)), "NoXtal", "Xtal")</f>
        <v>NoXtal</v>
      </c>
      <c r="AP389" s="3" t="str">
        <f t="shared" si="228"/>
        <v>-</v>
      </c>
      <c r="AQ389" s="3" t="str">
        <f t="shared" si="229"/>
        <v>-</v>
      </c>
      <c r="AR389" s="3" t="str">
        <f t="shared" si="230"/>
        <v>-</v>
      </c>
      <c r="AS389" s="3" t="str">
        <f t="shared" si="231"/>
        <v>-</v>
      </c>
      <c r="AT389" s="3" t="str">
        <f t="shared" si="232"/>
        <v>-</v>
      </c>
      <c r="AU389" s="3" t="str">
        <f t="shared" si="233"/>
        <v>-</v>
      </c>
      <c r="AV389" s="3" t="str">
        <f t="shared" si="234"/>
        <v>-</v>
      </c>
      <c r="AW389" s="3" t="str">
        <f t="shared" si="235"/>
        <v>-</v>
      </c>
      <c r="AX389" s="3">
        <f t="shared" si="236"/>
        <v>5</v>
      </c>
      <c r="AY389" s="3">
        <f t="shared" si="237"/>
        <v>26</v>
      </c>
      <c r="AZ389" s="3">
        <f t="shared" si="238"/>
        <v>2</v>
      </c>
      <c r="BA389" s="3">
        <f>IF(ISERROR(LEN(VLOOKUP(A389,Seqs!A:E,2,FALSE))-AL389),"-",LEN(VLOOKUP(A389,Seqs!A:E,2,FALSE))-AL389)</f>
        <v>29</v>
      </c>
      <c r="BB389" s="16">
        <f t="shared" si="239"/>
        <v>49</v>
      </c>
      <c r="BC389" s="9" t="str">
        <f t="shared" si="240"/>
        <v>-</v>
      </c>
      <c r="BD389" s="3">
        <f t="shared" si="241"/>
        <v>49</v>
      </c>
      <c r="BE389" s="3">
        <f t="shared" si="242"/>
        <v>37</v>
      </c>
      <c r="BF389" s="3">
        <f>AH389-AE389</f>
        <v>44</v>
      </c>
    </row>
    <row r="390" spans="1:58" s="3" customFormat="1" x14ac:dyDescent="0.2">
      <c r="A390" s="3" t="s">
        <v>481</v>
      </c>
      <c r="B390" s="3" t="str">
        <f>LOWER(VLOOKUP(A390,Xtal_Templ!A:B,2,FALSE))</f>
        <v>aa2ar_human</v>
      </c>
      <c r="C390" s="3">
        <v>12</v>
      </c>
      <c r="D390" s="3">
        <v>42</v>
      </c>
      <c r="E390" s="3">
        <f>IF(ISERROR(VLOOKUP($A390,'SegEnds_NonXtal_BW#'!$A:$Z,4,FALSE)+VLOOKUP($A390,A:AL,4,FALSE)-50),"-",(VLOOKUP($A390,'SegEnds_NonXtal_BW#'!$A:$Z,4,FALSE)+VLOOKUP($A390,A:AL,4,FALSE)-50))</f>
        <v>52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67</v>
      </c>
      <c r="J390" s="3">
        <v>78</v>
      </c>
      <c r="K390" s="3">
        <f>VLOOKUP($A390,'SegEnds_NonXtal_BW#'!$A:$Z,8,FALSE)+VLOOKUP($A390,A:AL,10,FALSE)-50</f>
        <v>91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114</v>
      </c>
      <c r="P390" s="3">
        <v>141</v>
      </c>
      <c r="Q390" s="3">
        <f>VLOOKUP($A390,'SegEnds_NonXtal_BW#'!$A:$Z,12,FALSE)+VLOOKUP($A390,A:AL,16,FALSE)-50</f>
        <v>147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152</v>
      </c>
      <c r="V390" s="3">
        <v>162</v>
      </c>
      <c r="W390" s="3">
        <f>IF(ISERROR(VLOOKUP($A390,'SegEnds_NonXtal_BW#'!$A:$Z,16,FALSE)+VLOOKUP($A390,A:AL,22,FALSE)-50),"-",(VLOOKUP($A390,'SegEnds_NonXtal_BW#'!$A:$Z,16,FALSE)+VLOOKUP($A390,A:AL,22,FALSE)-50))</f>
        <v>176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190</v>
      </c>
      <c r="AB390" s="3">
        <v>201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238</v>
      </c>
      <c r="AE390" s="3">
        <v>259</v>
      </c>
      <c r="AF390" s="3">
        <f>IF(ISERROR((VLOOKUP($A390,'SegEnds_NonXtal_BW#'!$A:$Z,22,FALSE)+VLOOKUP($A390,A:AL,31,FALSE)-50)),"-",(VLOOKUP($A390,'SegEnds_NonXtal_BW#'!$A:$Z,22,FALSE)+VLOOKUP($A390,A:AL,31,FALSE)-50))</f>
        <v>262</v>
      </c>
      <c r="AG390" s="3">
        <f>IF(ISERROR(VLOOKUP($A390,'SegEnds_NonXtal_BW#'!$A:$Z,23,FALSE)+VLOOKUP($A390,A:AL,34,FALSE)-50),"-",(VLOOKUP($A390,'SegEnds_NonXtal_BW#'!$A:$Z,23,FALSE)+VLOOKUP($A390,A:AL,34,FALSE)-50))</f>
        <v>293</v>
      </c>
      <c r="AH390" s="3">
        <v>308</v>
      </c>
      <c r="AI390" s="3">
        <f>IF(ISERROR((VLOOKUP($A390,'SegEnds_NonXtal_BW#'!$A:$Z,24,FALSE)+VLOOKUP($A390,A:AL,34,FALSE)-50)),"-",(VLOOKUP($A390,'SegEnds_NonXtal_BW#'!$A:$Z,24,FALSE)+VLOOKUP($A390,A:AL,34,FALSE)-50))</f>
        <v>314</v>
      </c>
      <c r="AJ390" s="3">
        <f>IF(ISERROR(VLOOKUP($A390,'SegEnds_NonXtal_BW#'!$A:$Z,25,FALSE)+VLOOKUP($A390,A:AL,37,FALSE)-50),"-",(VLOOKUP($A390,'SegEnds_NonXtal_BW#'!$A:$Z,25,FALSE)+VLOOKUP($A390,A:AL,37,FALSE)-50))</f>
        <v>315</v>
      </c>
      <c r="AK390" s="3">
        <v>318</v>
      </c>
      <c r="AL390" s="3">
        <f>IF(ISERROR((VLOOKUP($A390,'SegEnds_NonXtal_BW#'!$A:$Z,26,FALSE)+VLOOKUP($A390,A:AL,37,FALSE)-50)),"-",(VLOOKUP($A390,'SegEnds_NonXtal_BW#'!$A:$Z,26,FALSE)+VLOOKUP($A390,A:AL,37,FALSE)-50))</f>
        <v>325</v>
      </c>
      <c r="AM390" s="28" t="str">
        <f>VLOOKUP(A390,Classification!A:B,2,FALSE)</f>
        <v>O</v>
      </c>
      <c r="AN390" s="28" t="b">
        <f t="shared" si="243"/>
        <v>1</v>
      </c>
      <c r="AO390" s="3" t="str">
        <f>IF(ISERROR(MATCH(A390,'SegEnds_Xtal_Prot#'!B:B, 0)), "NoXtal", "Xtal")</f>
        <v>NoXtal</v>
      </c>
      <c r="AP390" s="3" t="str">
        <f t="shared" si="228"/>
        <v>-</v>
      </c>
      <c r="AQ390" s="3" t="str">
        <f t="shared" si="229"/>
        <v>-</v>
      </c>
      <c r="AR390" s="3" t="str">
        <f t="shared" si="230"/>
        <v>-</v>
      </c>
      <c r="AS390" s="3" t="str">
        <f t="shared" si="231"/>
        <v>-</v>
      </c>
      <c r="AT390" s="3" t="str">
        <f t="shared" si="232"/>
        <v>-</v>
      </c>
      <c r="AU390" s="3" t="str">
        <f t="shared" si="233"/>
        <v>-</v>
      </c>
      <c r="AV390" s="3" t="str">
        <f t="shared" si="234"/>
        <v>-</v>
      </c>
      <c r="AW390" s="3" t="str">
        <f t="shared" si="235"/>
        <v>-</v>
      </c>
      <c r="AX390" s="3">
        <f t="shared" si="236"/>
        <v>26</v>
      </c>
      <c r="AY390" s="3">
        <f t="shared" si="237"/>
        <v>31</v>
      </c>
      <c r="AZ390" s="3">
        <f t="shared" si="238"/>
        <v>1</v>
      </c>
      <c r="BA390" s="3">
        <f>IF(ISERROR(LEN(VLOOKUP(A390,Seqs!A:E,2,FALSE))-AL390),"-",LEN(VLOOKUP(A390,Seqs!A:E,2,FALSE))-AL390)</f>
        <v>79</v>
      </c>
      <c r="BB390" s="16">
        <f t="shared" si="239"/>
        <v>36</v>
      </c>
      <c r="BC390" s="9" t="str">
        <f t="shared" si="240"/>
        <v>-</v>
      </c>
      <c r="BD390" s="3">
        <f t="shared" si="241"/>
        <v>36</v>
      </c>
      <c r="BE390" s="3">
        <f t="shared" si="242"/>
        <v>58</v>
      </c>
    </row>
    <row r="391" spans="1:58" s="3" customFormat="1" x14ac:dyDescent="0.2">
      <c r="A391" s="3" t="s">
        <v>482</v>
      </c>
      <c r="B391" s="3" t="str">
        <f>LOWER(VLOOKUP(A391,Xtal_Templ!A:B,2,FALSE))</f>
        <v>5ht2c_human</v>
      </c>
      <c r="C391" s="3">
        <f>VLOOKUP($A391,'SegEnds_NonXtal_BW#'!$A:$Z,3,FALSE)+D391-50</f>
        <v>12</v>
      </c>
      <c r="D391" s="3">
        <v>29</v>
      </c>
      <c r="E391" s="3">
        <f>IF(ISERROR(VLOOKUP($A391,'SegEnds_NonXtal_BW#'!$A:$Z,4,FALSE)+VLOOKUP($A391,A:AL,4,FALSE)-50),"-",(VLOOKUP($A391,'SegEnds_NonXtal_BW#'!$A:$Z,4,FALSE)+VLOOKUP($A391,A:AL,4,FALSE)-50))</f>
        <v>39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46</v>
      </c>
      <c r="J391" s="3">
        <v>57</v>
      </c>
      <c r="K391" s="3">
        <f>VLOOKUP($A391,'SegEnds_NonXtal_BW#'!$A:$Z,8,FALSE)+VLOOKUP($A391,A:AL,10,FALSE)-50</f>
        <v>70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104</v>
      </c>
      <c r="Q391" s="3">
        <f>VLOOKUP($A391,'SegEnds_NonXtal_BW#'!$A:$Z,12,FALSE)+VLOOKUP($A391,A:AL,16,FALSE)-50</f>
        <v>110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125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153</v>
      </c>
      <c r="AB391" s="3">
        <v>164</v>
      </c>
      <c r="AC391" s="3">
        <f>IF(ISERROR((VLOOKUP($A391,'SegEnds_NonXtal_BW#'!$A:$Z,20,FALSE)+VLOOKUP($A391,A:AL,28,FALSE)-50)),"-",(VLOOKUP($A391,'SegEnds_NonXtal_BW#'!$A:$Z,20,FALSE)+VLOOKUP($A391,A:AL,28,FALSE)-50))</f>
        <v>175</v>
      </c>
      <c r="AD391" s="3">
        <f>IF(ISERROR(VLOOKUP($A391,'SegEnds_NonXtal_BW#'!$A:$Z,21,FALSE)+VLOOKUP($A391,A:AL,31,FALSE)-50),"-",(VLOOKUP($A391,'SegEnds_NonXtal_BW#'!$A:$Z,21,FALSE)+VLOOKUP($A391,A:AL,31,FALSE)-50))</f>
        <v>210</v>
      </c>
      <c r="AE391" s="3">
        <v>231</v>
      </c>
      <c r="AF391" s="3">
        <f>IF(ISERROR((VLOOKUP($A391,'SegEnds_NonXtal_BW#'!$A:$Z,22,FALSE)+VLOOKUP($A391,A:AL,31,FALSE)-50)),"-",(VLOOKUP($A391,'SegEnds_NonXtal_BW#'!$A:$Z,22,FALSE)+VLOOKUP($A391,A:AL,31,FALSE)-50))</f>
        <v>234</v>
      </c>
      <c r="AG391" s="3">
        <f>IF(ISERROR(VLOOKUP($A391,'SegEnds_NonXtal_BW#'!$A:$Z,23,FALSE)+VLOOKUP($A391,A:AL,34,FALSE)-50),"-",(VLOOKUP($A391,'SegEnds_NonXtal_BW#'!$A:$Z,23,FALSE)+VLOOKUP($A391,A:AL,34,FALSE)-50))</f>
        <v>261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v>286</v>
      </c>
      <c r="AK391" s="3">
        <v>294</v>
      </c>
      <c r="AL391" s="3">
        <f>IF(ISERROR((VLOOKUP($A391,'SegEnds_NonXtal_BW#'!$A:$Z,26,FALSE)+VLOOKUP($A391,A:AL,37,FALSE)-50)),"-",(VLOOKUP($A391,'SegEnds_NonXtal_BW#'!$A:$Z,26,FALSE)+VLOOKUP($A391,A:AL,37,FALSE)-50))</f>
        <v>301</v>
      </c>
      <c r="AM391" s="28" t="str">
        <f>VLOOKUP(A391,Classification!A:B,2,FALSE)</f>
        <v>O</v>
      </c>
      <c r="AN391" s="28" t="b">
        <f t="shared" si="243"/>
        <v>1</v>
      </c>
      <c r="AO391" s="3" t="str">
        <f>IF(ISERROR(MATCH(A391,'SegEnds_Xtal_Prot#'!B:B, 0)), "NoXtal", "Xtal")</f>
        <v>NoXtal</v>
      </c>
      <c r="AP391" s="3" t="str">
        <f t="shared" si="228"/>
        <v>-</v>
      </c>
      <c r="AQ391" s="3" t="str">
        <f t="shared" si="229"/>
        <v>-</v>
      </c>
      <c r="AR391" s="3" t="str">
        <f t="shared" si="230"/>
        <v>-</v>
      </c>
      <c r="AS391" s="3" t="str">
        <f t="shared" si="231"/>
        <v>-</v>
      </c>
      <c r="AT391" s="3" t="str">
        <f t="shared" si="232"/>
        <v>-</v>
      </c>
      <c r="AU391" s="3" t="str">
        <f t="shared" si="233"/>
        <v>-</v>
      </c>
      <c r="AV391" s="3" t="str">
        <f t="shared" si="234"/>
        <v>-</v>
      </c>
      <c r="AW391" s="3" t="str">
        <f t="shared" si="235"/>
        <v>-</v>
      </c>
      <c r="AX391" s="3">
        <f t="shared" si="236"/>
        <v>35</v>
      </c>
      <c r="AY391" s="3">
        <f t="shared" si="237"/>
        <v>27</v>
      </c>
      <c r="AZ391" s="3">
        <f t="shared" si="238"/>
        <v>4</v>
      </c>
      <c r="BA391" s="3">
        <f>IF(ISERROR(LEN(VLOOKUP(A391,Seqs!A:E,2,FALSE))-AL391),"-",LEN(VLOOKUP(A391,Seqs!A:E,2,FALSE))-AL391)</f>
        <v>34</v>
      </c>
      <c r="BB391" s="16">
        <f t="shared" si="239"/>
        <v>28</v>
      </c>
      <c r="BC391" s="9" t="str">
        <f t="shared" si="240"/>
        <v>-</v>
      </c>
      <c r="BD391" s="3">
        <f t="shared" si="241"/>
        <v>28</v>
      </c>
      <c r="BE391" s="3">
        <f t="shared" si="242"/>
        <v>67</v>
      </c>
    </row>
    <row r="392" spans="1:58" s="3" customFormat="1" x14ac:dyDescent="0.2">
      <c r="A392" s="3" t="s">
        <v>480</v>
      </c>
      <c r="B392" s="3" t="str">
        <f>LOWER(VLOOKUP(A392,Xtal_Templ!A:B,2,FALSE))</f>
        <v>pe2r4_human</v>
      </c>
      <c r="C392" s="3">
        <v>27</v>
      </c>
      <c r="D392" s="3">
        <v>64</v>
      </c>
      <c r="E392" s="3">
        <f>IF(ISERROR(VLOOKUP($A392,'SegEnds_NonXtal_BW#'!$A:$Z,4,FALSE)+VLOOKUP($A392,A:AL,4,FALSE)-50),"-",(VLOOKUP($A392,'SegEnds_NonXtal_BW#'!$A:$Z,4,FALSE)+VLOOKUP($A392,A:AL,4,FALSE)-50))</f>
        <v>74</v>
      </c>
      <c r="F392" s="3" t="str">
        <f>IF(ISERROR(VLOOKUP($A392,'SegEnds_NonXtal_BW#'!$A:$Z,5,FALSE)+VLOOKUP($A392,A:AL,7,FALSE)-50),"-",(VLOOKUP($A392,'SegEnds_NonXtal_BW#'!$A:$Z,5,FALSE)+VLOOKUP($A392,A:AL,7,FALSE)-50))</f>
        <v>-</v>
      </c>
      <c r="G392" s="3" t="s">
        <v>23</v>
      </c>
      <c r="H392" s="3" t="str">
        <f>IF(ISERROR(VLOOKUP($A392,'SegEnds_NonXtal_BW#'!$A:$Z,6,FALSE)+VLOOKUP($A392,A:AL,7,FALSE)-50),"-",(VLOOKUP($A392,'SegEnds_NonXtal_BW#'!$A:$Z,6,FALSE)+VLOOKUP($A392,A:AL,7,FALSE)-50))</f>
        <v>-</v>
      </c>
      <c r="I392" s="3">
        <f>VLOOKUP($A392,'SegEnds_NonXtal_BW#'!$A:$Z,7,FALSE)+J392-50</f>
        <v>85</v>
      </c>
      <c r="J392" s="3">
        <v>96</v>
      </c>
      <c r="K392" s="3">
        <f>VLOOKUP($A392,'SegEnds_NonXtal_BW#'!$A:$Z,8,FALSE)+VLOOKUP($A392,A:AL,10,FALSE)-50</f>
        <v>109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114</v>
      </c>
      <c r="P392" s="3">
        <v>141</v>
      </c>
      <c r="Q392" s="3">
        <f>VLOOKUP($A392,'SegEnds_NonXtal_BW#'!$A:$Z,12,FALSE)+VLOOKUP($A392,A:AL,16,FALSE)-50</f>
        <v>147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0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162</v>
      </c>
      <c r="V392" s="3">
        <v>172</v>
      </c>
      <c r="W392" s="3">
        <f>IF(ISERROR(VLOOKUP($A392,'SegEnds_NonXtal_BW#'!$A:$Z,16,FALSE)+VLOOKUP($A392,A:AL,22,FALSE)-50),"-",(VLOOKUP($A392,'SegEnds_NonXtal_BW#'!$A:$Z,16,FALSE)+VLOOKUP($A392,A:AL,22,FALSE)-50))</f>
        <v>183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197</v>
      </c>
      <c r="AC392" s="3">
        <f>IF(ISERROR((VLOOKUP($A392,'SegEnds_NonXtal_BW#'!$A:$Z,20,FALSE)+VLOOKUP($A392,A:AL,28,FALSE)-50)),"-",(VLOOKUP($A392,'SegEnds_NonXtal_BW#'!$A:$Z,20,FALSE)+VLOOKUP($A392,A:AL,28,FALSE)-50))</f>
        <v>208</v>
      </c>
      <c r="AD392" s="3">
        <f>IF(ISERROR(VLOOKUP($A392,'SegEnds_NonXtal_BW#'!$A:$Z,21,FALSE)+VLOOKUP($A392,A:AL,31,FALSE)-50),"-",(VLOOKUP($A392,'SegEnds_NonXtal_BW#'!$A:$Z,21,FALSE)+VLOOKUP($A392,A:AL,31,FALSE)-50))</f>
        <v>252</v>
      </c>
      <c r="AE392" s="3">
        <v>273</v>
      </c>
      <c r="AF392" s="3">
        <f>IF(ISERROR((VLOOKUP($A392,'SegEnds_NonXtal_BW#'!$A:$Z,22,FALSE)+VLOOKUP($A392,A:AL,31,FALSE)-50)),"-",(VLOOKUP($A392,'SegEnds_NonXtal_BW#'!$A:$Z,22,FALSE)+VLOOKUP($A392,A:AL,31,FALSE)-50))</f>
        <v>276</v>
      </c>
      <c r="AG392" s="3">
        <f>IF(ISERROR(VLOOKUP($A392,'SegEnds_NonXtal_BW#'!$A:$Z,23,FALSE)+VLOOKUP($A392,A:AL,34,FALSE)-50),"-",(VLOOKUP($A392,'SegEnds_NonXtal_BW#'!$A:$Z,23,FALSE)+VLOOKUP($A392,A:AL,34,FALSE)-50))</f>
        <v>294</v>
      </c>
      <c r="AH392" s="3">
        <v>309</v>
      </c>
      <c r="AI392" s="3">
        <f>IF(ISERROR((VLOOKUP($A392,'SegEnds_NonXtal_BW#'!$A:$Z,24,FALSE)+VLOOKUP($A392,A:AL,34,FALSE)-50)),"-",(VLOOKUP($A392,'SegEnds_NonXtal_BW#'!$A:$Z,24,FALSE)+VLOOKUP($A392,A:AL,34,FALSE)-50))</f>
        <v>315</v>
      </c>
      <c r="AJ392" s="105">
        <v>320</v>
      </c>
      <c r="AK392" s="3">
        <v>333</v>
      </c>
      <c r="AL392" s="3">
        <f>IF(ISERROR((VLOOKUP($A392,'SegEnds_NonXtal_BW#'!$A:$Z,26,FALSE)+VLOOKUP($A392,A:AL,37,FALSE)-50)),"-",(VLOOKUP($A392,'SegEnds_NonXtal_BW#'!$A:$Z,26,FALSE)+VLOOKUP($A392,A:AL,37,FALSE)-50))</f>
        <v>340</v>
      </c>
      <c r="AM392" s="28" t="str">
        <f>VLOOKUP(A392,Classification!A:B,2,FALSE)</f>
        <v>O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 t="str">
        <f t="shared" si="228"/>
        <v>-</v>
      </c>
      <c r="AQ392" s="3" t="str">
        <f t="shared" si="229"/>
        <v>-</v>
      </c>
      <c r="AR392" s="3" t="str">
        <f t="shared" si="230"/>
        <v>-</v>
      </c>
      <c r="AS392" s="3" t="str">
        <f t="shared" si="231"/>
        <v>-</v>
      </c>
      <c r="AT392" s="3" t="str">
        <f t="shared" si="232"/>
        <v>-</v>
      </c>
      <c r="AU392" s="3" t="str">
        <f t="shared" si="233"/>
        <v>-</v>
      </c>
      <c r="AV392" s="3" t="str">
        <f t="shared" si="234"/>
        <v>-</v>
      </c>
      <c r="AW392" s="3" t="str">
        <f t="shared" si="235"/>
        <v>-</v>
      </c>
      <c r="AX392" s="3">
        <f t="shared" si="236"/>
        <v>44</v>
      </c>
      <c r="AY392" s="3">
        <f t="shared" si="237"/>
        <v>18</v>
      </c>
      <c r="AZ392" s="3">
        <f t="shared" si="238"/>
        <v>5</v>
      </c>
      <c r="BA392" s="3">
        <f>IF(ISERROR(LEN(VLOOKUP(A392,Seqs!A:E,2,FALSE))-AL392),"-",LEN(VLOOKUP(A392,Seqs!A:E,2,FALSE))-AL392)</f>
        <v>33</v>
      </c>
      <c r="BB392" s="16">
        <f t="shared" si="239"/>
        <v>32</v>
      </c>
      <c r="BC392" s="9" t="str">
        <f t="shared" si="240"/>
        <v>-</v>
      </c>
      <c r="BD392" s="3">
        <f t="shared" si="241"/>
        <v>32</v>
      </c>
      <c r="BE392" s="3">
        <f t="shared" si="242"/>
        <v>76</v>
      </c>
    </row>
    <row r="393" spans="1:58" s="3" customFormat="1" x14ac:dyDescent="0.2">
      <c r="A393" s="3" t="s">
        <v>452</v>
      </c>
      <c r="B393" s="3" t="str">
        <f>LOWER(VLOOKUP(A393,Xtal_Templ!A:B,2,FALSE))</f>
        <v>drd2_human</v>
      </c>
      <c r="C393" s="3">
        <f>VLOOKUP($A393,'SegEnds_NonXtal_BW#'!$A:$Z,3,FALSE)+D393-50</f>
        <v>6</v>
      </c>
      <c r="D393" s="3">
        <v>24</v>
      </c>
      <c r="E393" s="3">
        <f t="shared" ref="E393:E417" si="271">F393-1</f>
        <v>36</v>
      </c>
      <c r="F393" s="3">
        <f t="shared" ref="F393:F417" si="272">G393-2</f>
        <v>37</v>
      </c>
      <c r="G393" s="3">
        <v>39</v>
      </c>
      <c r="H393" s="3">
        <f t="shared" ref="H393:I417" si="273">G393+1</f>
        <v>40</v>
      </c>
      <c r="I393" s="3">
        <f t="shared" si="273"/>
        <v>41</v>
      </c>
      <c r="J393" s="3">
        <v>54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ref="R393:R417" si="274">S393</f>
        <v>115</v>
      </c>
      <c r="S393" s="3">
        <v>115</v>
      </c>
      <c r="T393" s="100">
        <f t="shared" ref="T393:T417" si="275">S393+7</f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147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167</v>
      </c>
      <c r="AB393" s="3">
        <v>185</v>
      </c>
      <c r="AC393" s="3">
        <f>IF(ISERROR((VLOOKUP($A393,'SegEnds_NonXtal_BW#'!$A:$Z,20,FALSE)+VLOOKUP($A393,A:AL,28,FALSE)-50)),"-",(VLOOKUP($A393,'SegEnds_NonXtal_BW#'!$A:$Z,20,FALSE)+VLOOKUP($A393,A:AL,28,FALSE)-50))</f>
        <v>207</v>
      </c>
      <c r="AD393" s="3">
        <f>IF(ISERROR(VLOOKUP($A393,'SegEnds_NonXtal_BW#'!$A:$Z,21,FALSE)+VLOOKUP($A393,A:AL,31,FALSE)-50),"-",(VLOOKUP($A393,'SegEnds_NonXtal_BW#'!$A:$Z,21,FALSE)+VLOOKUP($A393,A:AL,31,FALSE)-50))</f>
        <v>217</v>
      </c>
      <c r="AE393" s="3">
        <v>238</v>
      </c>
      <c r="AF393" s="3">
        <f>IF(ISERROR((VLOOKUP($A393,'SegEnds_NonXtal_BW#'!$A:$Z,22,FALSE)+VLOOKUP($A393,A:AL,31,FALSE)-50)),"-",(VLOOKUP($A393,'SegEnds_NonXtal_BW#'!$A:$Z,22,FALSE)+VLOOKUP($A393,A:AL,31,FALSE)-50))</f>
        <v>249</v>
      </c>
      <c r="AG393" s="3">
        <f>IF(ISERROR(VLOOKUP($A393,'SegEnds_NonXtal_BW#'!$A:$Z,23,FALSE)+VLOOKUP($A393,A:AL,34,FALSE)-50),"-",(VLOOKUP($A393,'SegEnds_NonXtal_BW#'!$A:$Z,23,FALSE)+VLOOKUP($A393,A:AL,34,FALSE)-50))</f>
        <v>255</v>
      </c>
      <c r="AH393" s="3">
        <v>274</v>
      </c>
      <c r="AI393" s="3">
        <f>IF(ISERROR((VLOOKUP($A393,'SegEnds_NonXtal_BW#'!$A:$Z,24,FALSE)+VLOOKUP($A393,A:AL,34,FALSE)-50)),"-",(VLOOKUP($A393,'SegEnds_NonXtal_BW#'!$A:$Z,24,FALSE)+VLOOKUP($A393,A:AL,34,FALSE)-50))</f>
        <v>280</v>
      </c>
      <c r="AJ393" s="3">
        <f>IF(ISERROR(VLOOKUP($A393,'SegEnds_NonXtal_BW#'!$A:$Z,25,FALSE)+VLOOKUP($A393,A:AL,37,FALSE)-50),"-",(VLOOKUP($A393,'SegEnds_NonXtal_BW#'!$A:$Z,25,FALSE)+VLOOKUP($A393,A:AL,37,FALSE)-50))</f>
        <v>281</v>
      </c>
      <c r="AK393" s="3">
        <v>284</v>
      </c>
      <c r="AL393" s="3">
        <f>IF(ISERROR((VLOOKUP($A393,'SegEnds_NonXtal_BW#'!$A:$Z,26,FALSE)+VLOOKUP($A393,A:AL,37,FALSE)-50)),"-",(VLOOKUP($A393,'SegEnds_NonXtal_BW#'!$A:$Z,26,FALSE)+VLOOKUP($A393,A:AL,37,FALSE)-50))</f>
        <v>294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13</v>
      </c>
      <c r="BB393" s="16">
        <f t="shared" si="239"/>
        <v>30</v>
      </c>
      <c r="BC393" s="9">
        <f t="shared" si="240"/>
        <v>20</v>
      </c>
      <c r="BD393" s="3">
        <f t="shared" si="241"/>
        <v>30</v>
      </c>
      <c r="BE393" s="3">
        <f t="shared" si="242"/>
        <v>53</v>
      </c>
      <c r="BF393" s="3">
        <f t="shared" ref="BF393:BF417" si="276">AH393-AE393</f>
        <v>36</v>
      </c>
    </row>
    <row r="394" spans="1:58" s="3" customFormat="1" x14ac:dyDescent="0.2">
      <c r="A394" s="3" t="s">
        <v>453</v>
      </c>
      <c r="B394" s="3" t="str">
        <f>LOWER(VLOOKUP(A394,Xtal_Templ!A:B,2,FALSE))</f>
        <v>5ht2a_human</v>
      </c>
      <c r="C394" s="3">
        <f>VLOOKUP($A394,'SegEnds_NonXtal_BW#'!$A:$Z,3,FALSE)+D394-50</f>
        <v>6</v>
      </c>
      <c r="D394" s="3">
        <v>24</v>
      </c>
      <c r="E394" s="3">
        <f t="shared" si="271"/>
        <v>36</v>
      </c>
      <c r="F394" s="3">
        <f t="shared" si="272"/>
        <v>37</v>
      </c>
      <c r="G394" s="3">
        <v>39</v>
      </c>
      <c r="H394" s="3">
        <f t="shared" si="273"/>
        <v>40</v>
      </c>
      <c r="I394" s="3">
        <f t="shared" si="273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74"/>
        <v>116</v>
      </c>
      <c r="S394" s="3">
        <v>116</v>
      </c>
      <c r="T394" s="100">
        <f t="shared" si="275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222</v>
      </c>
      <c r="AE394" s="3">
        <v>243</v>
      </c>
      <c r="AF394" s="3">
        <f>IF(ISERROR((VLOOKUP($A394,'SegEnds_NonXtal_BW#'!$A:$Z,22,FALSE)+VLOOKUP($A394,A:AL,31,FALSE)-50)),"-",(VLOOKUP($A394,'SegEnds_NonXtal_BW#'!$A:$Z,22,FALSE)+VLOOKUP($A394,A:AL,31,FALSE)-50))</f>
        <v>254</v>
      </c>
      <c r="AG394" s="3">
        <f>IF(ISERROR(VLOOKUP($A394,'SegEnds_NonXtal_BW#'!$A:$Z,23,FALSE)+VLOOKUP($A394,A:AL,34,FALSE)-50),"-",(VLOOKUP($A394,'SegEnds_NonXtal_BW#'!$A:$Z,23,FALSE)+VLOOKUP($A394,A:AL,34,FALSE)-50))</f>
        <v>259</v>
      </c>
      <c r="AH394" s="3">
        <v>278</v>
      </c>
      <c r="AI394" s="3">
        <f>IF(ISERROR((VLOOKUP($A394,'SegEnds_NonXtal_BW#'!$A:$Z,24,FALSE)+VLOOKUP($A394,A:AL,34,FALSE)-50)),"-",(VLOOKUP($A394,'SegEnds_NonXtal_BW#'!$A:$Z,24,FALSE)+VLOOKUP($A394,A:AL,34,FALSE)-50))</f>
        <v>284</v>
      </c>
      <c r="AJ394" s="3">
        <f>IF(ISERROR(VLOOKUP($A394,'SegEnds_NonXtal_BW#'!$A:$Z,25,FALSE)+VLOOKUP($A394,A:AL,37,FALSE)-50),"-",(VLOOKUP($A394,'SegEnds_NonXtal_BW#'!$A:$Z,25,FALSE)+VLOOKUP($A394,A:AL,37,FALSE)-50))</f>
        <v>285</v>
      </c>
      <c r="AK394" s="3">
        <v>288</v>
      </c>
      <c r="AL394" s="3">
        <f>IF(ISERROR((VLOOKUP($A394,'SegEnds_NonXtal_BW#'!$A:$Z,26,FALSE)+VLOOKUP($A394,A:AL,37,FALSE)-50)),"-",(VLOOKUP($A394,'SegEnds_NonXtal_BW#'!$A:$Z,26,FALSE)+VLOOKUP($A394,A:AL,37,FALSE)-50))</f>
        <v>298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5</v>
      </c>
      <c r="AZ394" s="3">
        <f t="shared" si="238"/>
        <v>1</v>
      </c>
      <c r="BA394" s="3">
        <f>IF(ISERROR(LEN(VLOOKUP(A394,Seqs!A:E,2,FALSE))-AL394),"-",LEN(VLOOKUP(A394,Seqs!A:E,2,FALSE))-AL394)</f>
        <v>5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76"/>
        <v>35</v>
      </c>
    </row>
    <row r="395" spans="1:58" s="3" customFormat="1" x14ac:dyDescent="0.2">
      <c r="A395" s="3" t="s">
        <v>454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71"/>
        <v>36</v>
      </c>
      <c r="F395" s="3">
        <f t="shared" si="272"/>
        <v>37</v>
      </c>
      <c r="G395" s="3">
        <v>39</v>
      </c>
      <c r="H395" s="3">
        <f t="shared" si="273"/>
        <v>40</v>
      </c>
      <c r="I395" s="3">
        <f t="shared" si="273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74"/>
        <v>116</v>
      </c>
      <c r="S395" s="3">
        <v>116</v>
      </c>
      <c r="T395" s="100">
        <f t="shared" si="275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153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172</v>
      </c>
      <c r="AB395" s="3">
        <v>190</v>
      </c>
      <c r="AC395" s="3">
        <f>IF(ISERROR((VLOOKUP($A395,'SegEnds_NonXtal_BW#'!$A:$Z,20,FALSE)+VLOOKUP($A395,A:AL,28,FALSE)-50)),"-",(VLOOKUP($A395,'SegEnds_NonXtal_BW#'!$A:$Z,20,FALSE)+VLOOKUP($A395,A:AL,28,FALSE)-50))</f>
        <v>212</v>
      </c>
      <c r="AD395" s="3">
        <f>IF(ISERROR(VLOOKUP($A395,'SegEnds_NonXtal_BW#'!$A:$Z,21,FALSE)+VLOOKUP($A395,A:AL,31,FALSE)-50),"-",(VLOOKUP($A395,'SegEnds_NonXtal_BW#'!$A:$Z,21,FALSE)+VLOOKUP($A395,A:AL,31,FALSE)-50))</f>
        <v>221</v>
      </c>
      <c r="AE395" s="3">
        <v>242</v>
      </c>
      <c r="AF395" s="3">
        <f>IF(ISERROR((VLOOKUP($A395,'SegEnds_NonXtal_BW#'!$A:$Z,22,FALSE)+VLOOKUP($A395,A:AL,31,FALSE)-50)),"-",(VLOOKUP($A395,'SegEnds_NonXtal_BW#'!$A:$Z,22,FALSE)+VLOOKUP($A395,A:AL,31,FALSE)-50))</f>
        <v>253</v>
      </c>
      <c r="AG395" s="3">
        <f>IF(ISERROR(VLOOKUP($A395,'SegEnds_NonXtal_BW#'!$A:$Z,23,FALSE)+VLOOKUP($A395,A:AL,34,FALSE)-50),"-",(VLOOKUP($A395,'SegEnds_NonXtal_BW#'!$A:$Z,23,FALSE)+VLOOKUP($A395,A:AL,34,FALSE)-50))</f>
        <v>258</v>
      </c>
      <c r="AH395" s="3">
        <v>277</v>
      </c>
      <c r="AI395" s="3">
        <f>IF(ISERROR((VLOOKUP($A395,'SegEnds_NonXtal_BW#'!$A:$Z,24,FALSE)+VLOOKUP($A395,A:AL,34,FALSE)-50)),"-",(VLOOKUP($A395,'SegEnds_NonXtal_BW#'!$A:$Z,24,FALSE)+VLOOKUP($A395,A:AL,34,FALSE)-50))</f>
        <v>283</v>
      </c>
      <c r="AJ395" s="3">
        <f>IF(ISERROR(VLOOKUP($A395,'SegEnds_NonXtal_BW#'!$A:$Z,25,FALSE)+VLOOKUP($A395,A:AL,37,FALSE)-50),"-",(VLOOKUP($A395,'SegEnds_NonXtal_BW#'!$A:$Z,25,FALSE)+VLOOKUP($A395,A:AL,37,FALSE)-50))</f>
        <v>284</v>
      </c>
      <c r="AK395" s="3">
        <v>287</v>
      </c>
      <c r="AL395" s="3">
        <f>IF(ISERROR((VLOOKUP($A395,'SegEnds_NonXtal_BW#'!$A:$Z,26,FALSE)+VLOOKUP($A395,A:AL,37,FALSE)-50)),"-",(VLOOKUP($A395,'SegEnds_NonXtal_BW#'!$A:$Z,26,FALSE)+VLOOKUP($A395,A:AL,37,FALSE)-50))</f>
        <v>297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9</v>
      </c>
      <c r="AY395" s="3">
        <f t="shared" si="237"/>
        <v>5</v>
      </c>
      <c r="AZ395" s="3">
        <f t="shared" si="238"/>
        <v>1</v>
      </c>
      <c r="BA395" s="3">
        <f>IF(ISERROR(LEN(VLOOKUP(A395,Seqs!A:E,2,FALSE))-AL395),"-",LEN(VLOOKUP(A395,Seqs!A:E,2,FALSE))-AL395)</f>
        <v>20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52</v>
      </c>
      <c r="BF395" s="3">
        <f t="shared" si="276"/>
        <v>35</v>
      </c>
    </row>
    <row r="396" spans="1:58" s="3" customFormat="1" x14ac:dyDescent="0.2">
      <c r="A396" s="3" t="s">
        <v>455</v>
      </c>
      <c r="B396" s="3" t="str">
        <f>LOWER(VLOOKUP(A396,Xtal_Templ!A:B,2,FALSE))</f>
        <v>pd2r2_human</v>
      </c>
      <c r="C396" s="3">
        <f>VLOOKUP($A396,'SegEnds_NonXtal_BW#'!$A:$Z,3,FALSE)+D396-50</f>
        <v>7</v>
      </c>
      <c r="D396" s="3">
        <v>25</v>
      </c>
      <c r="E396" s="3">
        <f t="shared" si="271"/>
        <v>37</v>
      </c>
      <c r="F396" s="3">
        <f t="shared" si="272"/>
        <v>38</v>
      </c>
      <c r="G396" s="3">
        <v>40</v>
      </c>
      <c r="H396" s="3">
        <f t="shared" si="273"/>
        <v>41</v>
      </c>
      <c r="I396" s="3">
        <f t="shared" si="273"/>
        <v>42</v>
      </c>
      <c r="J396" s="3">
        <v>56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103</v>
      </c>
      <c r="Q396" s="3">
        <f>VLOOKUP($A396,'SegEnds_NonXtal_BW#'!$A:$Z,12,FALSE)+VLOOKUP($A396,A:AL,16,FALSE)-50</f>
        <v>109</v>
      </c>
      <c r="R396" s="3">
        <f t="shared" si="274"/>
        <v>112</v>
      </c>
      <c r="S396" s="3">
        <v>112</v>
      </c>
      <c r="T396" s="100">
        <f t="shared" si="275"/>
        <v>119</v>
      </c>
      <c r="U396" s="9">
        <f>IF(ISERROR(VLOOKUP($A396,'SegEnds_NonXtal_BW#'!$A:$Z,15,FALSE)+VLOOKUP($A396,A:AL,22,FALSE)-50),"-",VLOOKUP($A396,'SegEnds_NonXtal_BW#'!$A:$Z,15,FALSE)+VLOOKUP($A396,A:AL,22,FALSE)-50)</f>
        <v>120</v>
      </c>
      <c r="V396" s="3">
        <v>132</v>
      </c>
      <c r="W396" s="3">
        <f>IF(ISERROR(VLOOKUP($A396,'SegEnds_NonXtal_BW#'!$A:$Z,16,FALSE)+VLOOKUP($A396,A:AL,22,FALSE)-50),"-",(VLOOKUP($A396,'SegEnds_NonXtal_BW#'!$A:$Z,16,FALSE)+VLOOKUP($A396,A:AL,22,FALSE)-50))</f>
        <v>146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170</v>
      </c>
      <c r="AB396" s="3">
        <v>188</v>
      </c>
      <c r="AC396" s="3">
        <f>IF(ISERROR((VLOOKUP($A396,'SegEnds_NonXtal_BW#'!$A:$Z,20,FALSE)+VLOOKUP($A396,A:AL,28,FALSE)-50)),"-",(VLOOKUP($A396,'SegEnds_NonXtal_BW#'!$A:$Z,20,FALSE)+VLOOKUP($A396,A:AL,28,FALSE)-50))</f>
        <v>210</v>
      </c>
      <c r="AD396" s="3">
        <f>IF(ISERROR(VLOOKUP($A396,'SegEnds_NonXtal_BW#'!$A:$Z,21,FALSE)+VLOOKUP($A396,A:AL,31,FALSE)-50),"-",(VLOOKUP($A396,'SegEnds_NonXtal_BW#'!$A:$Z,21,FALSE)+VLOOKUP($A396,A:AL,31,FALSE)-50))</f>
        <v>217</v>
      </c>
      <c r="AE396" s="3">
        <v>238</v>
      </c>
      <c r="AF396" s="3">
        <f>IF(ISERROR((VLOOKUP($A396,'SegEnds_NonXtal_BW#'!$A:$Z,22,FALSE)+VLOOKUP($A396,A:AL,31,FALSE)-50)),"-",(VLOOKUP($A396,'SegEnds_NonXtal_BW#'!$A:$Z,22,FALSE)+VLOOKUP($A396,A:AL,31,FALSE)-50))</f>
        <v>249</v>
      </c>
      <c r="AG396" s="3">
        <f>IF(ISERROR(VLOOKUP($A396,'SegEnds_NonXtal_BW#'!$A:$Z,23,FALSE)+VLOOKUP($A396,A:AL,34,FALSE)-50),"-",(VLOOKUP($A396,'SegEnds_NonXtal_BW#'!$A:$Z,23,FALSE)+VLOOKUP($A396,A:AL,34,FALSE)-50))</f>
        <v>254</v>
      </c>
      <c r="AH396" s="3">
        <v>273</v>
      </c>
      <c r="AI396" s="3">
        <f>IF(ISERROR((VLOOKUP($A396,'SegEnds_NonXtal_BW#'!$A:$Z,24,FALSE)+VLOOKUP($A396,A:AL,34,FALSE)-50)),"-",(VLOOKUP($A396,'SegEnds_NonXtal_BW#'!$A:$Z,24,FALSE)+VLOOKUP($A396,A:AL,34,FALSE)-50))</f>
        <v>279</v>
      </c>
      <c r="AJ396" s="3">
        <f>IF(ISERROR(VLOOKUP($A396,'SegEnds_NonXtal_BW#'!$A:$Z,25,FALSE)+VLOOKUP($A396,A:AL,37,FALSE)-50),"-",(VLOOKUP($A396,'SegEnds_NonXtal_BW#'!$A:$Z,25,FALSE)+VLOOKUP($A396,A:AL,37,FALSE)-50))</f>
        <v>280</v>
      </c>
      <c r="AK396" s="3">
        <v>283</v>
      </c>
      <c r="AL396" s="3">
        <v>291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ref="AP396:AP417" si="277">IF(ISERROR(F396-E396),"-",F396-E396)</f>
        <v>1</v>
      </c>
      <c r="AQ396" s="3">
        <f t="shared" ref="AQ396:AQ417" si="278">IF(ISERROR(I396-H396),"-",I396-H396)</f>
        <v>1</v>
      </c>
      <c r="AR396" s="3" t="str">
        <f t="shared" ref="AR396:AR417" si="279">IF(ISERROR(L396-K396),"-",L396-K396)</f>
        <v>-</v>
      </c>
      <c r="AS396" s="3" t="str">
        <f t="shared" ref="AS396:AS417" si="280">IF(ISERROR(O396-N396),"-",O396-N396)</f>
        <v>-</v>
      </c>
      <c r="AT396" s="3">
        <f t="shared" ref="AT396:AT417" si="281">IF(ISERROR(R396-Q396),"-",R396-Q396)</f>
        <v>3</v>
      </c>
      <c r="AU396" s="3">
        <f t="shared" ref="AU396:AU417" si="282">IF(ISERROR(U396-T396),"-",U396-T396)</f>
        <v>1</v>
      </c>
      <c r="AV396" s="3" t="str">
        <f t="shared" ref="AV396:AV417" si="283">IF(ISERROR(X396-W396),"-",X396-W396)</f>
        <v>-</v>
      </c>
      <c r="AW396" s="3" t="str">
        <f t="shared" ref="AW396:AW417" si="284">IF(ISERROR(AA396-Z396),"-",AA396-Z396)</f>
        <v>-</v>
      </c>
      <c r="AX396" s="3">
        <f t="shared" ref="AX396:AX417" si="285">IF(ISERROR(AD396-AC396),"-",AD396-AC396)</f>
        <v>7</v>
      </c>
      <c r="AY396" s="3">
        <f t="shared" ref="AY396:AY417" si="286">IF(ISERROR(AG396-AF396),"-",AG396-AF396)</f>
        <v>5</v>
      </c>
      <c r="AZ396" s="3">
        <f t="shared" ref="AZ396:AZ417" si="287">IF(ISERROR(AJ396-AI396),"-",AJ396-AI396)</f>
        <v>1</v>
      </c>
      <c r="BA396" s="3">
        <f>IF(ISERROR(LEN(VLOOKUP(A396,Seqs!A:E,2,FALSE))-AL396),"-",LEN(VLOOKUP(A396,Seqs!A:E,2,FALSE))-AL396)</f>
        <v>0</v>
      </c>
      <c r="BB396" s="16">
        <f t="shared" ref="BB396:BB417" si="288">J396-D396</f>
        <v>31</v>
      </c>
      <c r="BC396" s="9">
        <f t="shared" ref="BC396:BC417" si="289">IF(ISERROR(V396-S396),"-",V396-S396)</f>
        <v>20</v>
      </c>
      <c r="BD396" s="3">
        <f t="shared" ref="BD396:BD417" si="290">J396-D396</f>
        <v>31</v>
      </c>
      <c r="BE396" s="3">
        <f t="shared" ref="BE396:BE417" si="291">AE396-AB396</f>
        <v>50</v>
      </c>
      <c r="BF396" s="3">
        <f t="shared" si="276"/>
        <v>35</v>
      </c>
    </row>
    <row r="397" spans="1:58" s="3" customFormat="1" x14ac:dyDescent="0.2">
      <c r="A397" s="3" t="s">
        <v>456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71"/>
        <v>36</v>
      </c>
      <c r="F397" s="3">
        <f t="shared" si="272"/>
        <v>37</v>
      </c>
      <c r="G397" s="3">
        <v>39</v>
      </c>
      <c r="H397" s="3">
        <f t="shared" si="273"/>
        <v>40</v>
      </c>
      <c r="I397" s="3">
        <f t="shared" si="273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74"/>
        <v>115</v>
      </c>
      <c r="S397" s="3">
        <v>115</v>
      </c>
      <c r="T397" s="100">
        <f t="shared" si="275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ref="AN397:AN417" si="292">AND(IF(Y397="-",IF(AA397-W397&gt;3,TRUE,FALSE),TRUE),IF(M397="-",IF(O397-K397&gt;3,TRUE,FALSE),TRUE),IF(AG397-AF397&gt;1,TRUE,FALS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    <v>1</v>
      </c>
      <c r="AO397" s="3" t="str">
        <f>IF(ISERROR(MATCH(A397,'SegEnds_Xtal_Prot#'!B:B, 0)), "NoXtal", "Xtal")</f>
        <v>NoXtal</v>
      </c>
      <c r="AP397" s="3">
        <f t="shared" si="277"/>
        <v>1</v>
      </c>
      <c r="AQ397" s="3">
        <f t="shared" si="278"/>
        <v>1</v>
      </c>
      <c r="AR397" s="3" t="str">
        <f t="shared" si="279"/>
        <v>-</v>
      </c>
      <c r="AS397" s="3" t="str">
        <f t="shared" si="280"/>
        <v>-</v>
      </c>
      <c r="AT397" s="3">
        <f t="shared" si="281"/>
        <v>3</v>
      </c>
      <c r="AU397" s="3">
        <f t="shared" si="282"/>
        <v>1</v>
      </c>
      <c r="AV397" s="3" t="str">
        <f t="shared" si="283"/>
        <v>-</v>
      </c>
      <c r="AW397" s="3" t="str">
        <f t="shared" si="284"/>
        <v>-</v>
      </c>
      <c r="AX397" s="3">
        <f t="shared" si="285"/>
        <v>10</v>
      </c>
      <c r="AY397" s="3">
        <f t="shared" si="286"/>
        <v>6</v>
      </c>
      <c r="AZ397" s="3">
        <f t="shared" si="287"/>
        <v>1</v>
      </c>
      <c r="BA397" s="3">
        <f>IF(ISERROR(LEN(VLOOKUP(A397,Seqs!A:E,2,FALSE))-AL397),"-",LEN(VLOOKUP(A397,Seqs!A:E,2,FALSE))-AL397)</f>
        <v>3</v>
      </c>
      <c r="BB397" s="16">
        <f t="shared" si="288"/>
        <v>31</v>
      </c>
      <c r="BC397" s="9">
        <f t="shared" si="289"/>
        <v>20</v>
      </c>
      <c r="BD397" s="3">
        <f t="shared" si="290"/>
        <v>31</v>
      </c>
      <c r="BE397" s="3">
        <f t="shared" si="291"/>
        <v>53</v>
      </c>
      <c r="BF397" s="3">
        <f t="shared" si="276"/>
        <v>36</v>
      </c>
    </row>
    <row r="398" spans="1:58" s="3" customFormat="1" x14ac:dyDescent="0.2">
      <c r="A398" s="3" t="s">
        <v>457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71"/>
        <v>36</v>
      </c>
      <c r="F398" s="3">
        <f t="shared" si="272"/>
        <v>37</v>
      </c>
      <c r="G398" s="3">
        <v>39</v>
      </c>
      <c r="H398" s="3">
        <f t="shared" si="273"/>
        <v>40</v>
      </c>
      <c r="I398" s="3">
        <f t="shared" si="273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74"/>
        <v>115</v>
      </c>
      <c r="S398" s="3">
        <v>115</v>
      </c>
      <c r="T398" s="100">
        <f t="shared" si="275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92"/>
        <v>1</v>
      </c>
      <c r="AO398" s="3" t="str">
        <f>IF(ISERROR(MATCH(A398,'SegEnds_Xtal_Prot#'!B:B, 0)), "NoXtal", "Xtal")</f>
        <v>NoXtal</v>
      </c>
      <c r="AP398" s="3">
        <f t="shared" si="277"/>
        <v>1</v>
      </c>
      <c r="AQ398" s="3">
        <f t="shared" si="278"/>
        <v>1</v>
      </c>
      <c r="AR398" s="3" t="str">
        <f t="shared" si="279"/>
        <v>-</v>
      </c>
      <c r="AS398" s="3" t="str">
        <f t="shared" si="280"/>
        <v>-</v>
      </c>
      <c r="AT398" s="3">
        <f t="shared" si="281"/>
        <v>3</v>
      </c>
      <c r="AU398" s="3">
        <f t="shared" si="282"/>
        <v>1</v>
      </c>
      <c r="AV398" s="3" t="str">
        <f t="shared" si="283"/>
        <v>-</v>
      </c>
      <c r="AW398" s="3" t="str">
        <f t="shared" si="284"/>
        <v>-</v>
      </c>
      <c r="AX398" s="3">
        <f t="shared" si="285"/>
        <v>10</v>
      </c>
      <c r="AY398" s="3">
        <f t="shared" si="286"/>
        <v>6</v>
      </c>
      <c r="AZ398" s="3">
        <f t="shared" si="287"/>
        <v>1</v>
      </c>
      <c r="BA398" s="3">
        <f>IF(ISERROR(LEN(VLOOKUP(A398,Seqs!A:E,2,FALSE))-AL398),"-",LEN(VLOOKUP(A398,Seqs!A:E,2,FALSE))-AL398)</f>
        <v>13</v>
      </c>
      <c r="BB398" s="16">
        <f t="shared" si="288"/>
        <v>31</v>
      </c>
      <c r="BC398" s="9">
        <f t="shared" si="289"/>
        <v>20</v>
      </c>
      <c r="BD398" s="3">
        <f t="shared" si="290"/>
        <v>31</v>
      </c>
      <c r="BE398" s="3">
        <f t="shared" si="291"/>
        <v>53</v>
      </c>
      <c r="BF398" s="3">
        <f t="shared" si="276"/>
        <v>36</v>
      </c>
    </row>
    <row r="399" spans="1:58" s="3" customFormat="1" x14ac:dyDescent="0.2">
      <c r="A399" s="3" t="s">
        <v>458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71"/>
        <v>36</v>
      </c>
      <c r="F399" s="3">
        <f t="shared" si="272"/>
        <v>37</v>
      </c>
      <c r="G399" s="3">
        <v>39</v>
      </c>
      <c r="H399" s="3">
        <f t="shared" si="273"/>
        <v>40</v>
      </c>
      <c r="I399" s="3">
        <f t="shared" si="273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74"/>
        <v>115</v>
      </c>
      <c r="S399" s="3">
        <v>115</v>
      </c>
      <c r="T399" s="100">
        <f t="shared" si="275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92"/>
        <v>1</v>
      </c>
      <c r="AO399" s="3" t="str">
        <f>IF(ISERROR(MATCH(A399,'SegEnds_Xtal_Prot#'!B:B, 0)), "NoXtal", "Xtal")</f>
        <v>NoXtal</v>
      </c>
      <c r="AP399" s="3">
        <f t="shared" si="277"/>
        <v>1</v>
      </c>
      <c r="AQ399" s="3">
        <f t="shared" si="278"/>
        <v>1</v>
      </c>
      <c r="AR399" s="3" t="str">
        <f t="shared" si="279"/>
        <v>-</v>
      </c>
      <c r="AS399" s="3" t="str">
        <f t="shared" si="280"/>
        <v>-</v>
      </c>
      <c r="AT399" s="3">
        <f t="shared" si="281"/>
        <v>3</v>
      </c>
      <c r="AU399" s="3">
        <f t="shared" si="282"/>
        <v>1</v>
      </c>
      <c r="AV399" s="3" t="str">
        <f t="shared" si="283"/>
        <v>-</v>
      </c>
      <c r="AW399" s="3" t="str">
        <f t="shared" si="284"/>
        <v>-</v>
      </c>
      <c r="AX399" s="3">
        <f t="shared" si="285"/>
        <v>10</v>
      </c>
      <c r="AY399" s="3">
        <f t="shared" si="286"/>
        <v>6</v>
      </c>
      <c r="AZ399" s="3">
        <f t="shared" si="287"/>
        <v>1</v>
      </c>
      <c r="BA399" s="3">
        <f>IF(ISERROR(LEN(VLOOKUP(A399,Seqs!A:E,2,FALSE))-AL399),"-",LEN(VLOOKUP(A399,Seqs!A:E,2,FALSE))-AL399)</f>
        <v>23</v>
      </c>
      <c r="BB399" s="16">
        <f t="shared" si="288"/>
        <v>31</v>
      </c>
      <c r="BC399" s="9">
        <f t="shared" si="289"/>
        <v>20</v>
      </c>
      <c r="BD399" s="3">
        <f t="shared" si="290"/>
        <v>31</v>
      </c>
      <c r="BE399" s="3">
        <f t="shared" si="291"/>
        <v>53</v>
      </c>
      <c r="BF399" s="3">
        <f t="shared" si="276"/>
        <v>36</v>
      </c>
    </row>
    <row r="400" spans="1:58" s="3" customFormat="1" x14ac:dyDescent="0.2">
      <c r="A400" s="3" t="s">
        <v>459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71"/>
        <v>36</v>
      </c>
      <c r="F400" s="3">
        <f t="shared" si="272"/>
        <v>37</v>
      </c>
      <c r="G400" s="3">
        <v>39</v>
      </c>
      <c r="H400" s="3">
        <f t="shared" si="273"/>
        <v>40</v>
      </c>
      <c r="I400" s="3">
        <f t="shared" si="273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74"/>
        <v>115</v>
      </c>
      <c r="S400" s="3">
        <v>115</v>
      </c>
      <c r="T400" s="100">
        <f t="shared" si="275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92"/>
        <v>1</v>
      </c>
      <c r="AO400" s="3" t="str">
        <f>IF(ISERROR(MATCH(A400,'SegEnds_Xtal_Prot#'!B:B, 0)), "NoXtal", "Xtal")</f>
        <v>NoXtal</v>
      </c>
      <c r="AP400" s="3">
        <f t="shared" si="277"/>
        <v>1</v>
      </c>
      <c r="AQ400" s="3">
        <f t="shared" si="278"/>
        <v>1</v>
      </c>
      <c r="AR400" s="3" t="str">
        <f t="shared" si="279"/>
        <v>-</v>
      </c>
      <c r="AS400" s="3" t="str">
        <f t="shared" si="280"/>
        <v>-</v>
      </c>
      <c r="AT400" s="3">
        <f t="shared" si="281"/>
        <v>3</v>
      </c>
      <c r="AU400" s="3">
        <f t="shared" si="282"/>
        <v>1</v>
      </c>
      <c r="AV400" s="3" t="str">
        <f t="shared" si="283"/>
        <v>-</v>
      </c>
      <c r="AW400" s="3" t="str">
        <f t="shared" si="284"/>
        <v>-</v>
      </c>
      <c r="AX400" s="3">
        <f t="shared" si="285"/>
        <v>10</v>
      </c>
      <c r="AY400" s="3">
        <f t="shared" si="286"/>
        <v>6</v>
      </c>
      <c r="AZ400" s="3">
        <f t="shared" si="287"/>
        <v>1</v>
      </c>
      <c r="BA400" s="3">
        <f>IF(ISERROR(LEN(VLOOKUP(A400,Seqs!A:E,2,FALSE))-AL400),"-",LEN(VLOOKUP(A400,Seqs!A:E,2,FALSE))-AL400)</f>
        <v>13</v>
      </c>
      <c r="BB400" s="16">
        <f t="shared" si="288"/>
        <v>31</v>
      </c>
      <c r="BC400" s="9">
        <f t="shared" si="289"/>
        <v>20</v>
      </c>
      <c r="BD400" s="3">
        <f t="shared" si="290"/>
        <v>31</v>
      </c>
      <c r="BE400" s="3">
        <f t="shared" si="291"/>
        <v>53</v>
      </c>
      <c r="BF400" s="3">
        <f t="shared" si="276"/>
        <v>36</v>
      </c>
    </row>
    <row r="401" spans="1:58" s="3" customFormat="1" x14ac:dyDescent="0.2">
      <c r="A401" s="3" t="s">
        <v>460</v>
      </c>
      <c r="B401" s="3" t="str">
        <f>LOWER(VLOOKUP(A401,Xtal_Templ!A:B,2,FALSE))</f>
        <v>agtr1_human</v>
      </c>
      <c r="C401" s="3">
        <f>VLOOKUP($A401,'SegEnds_NonXtal_BW#'!$A:$Z,3,FALSE)+D401-50</f>
        <v>15</v>
      </c>
      <c r="D401" s="3">
        <v>33</v>
      </c>
      <c r="E401" s="3">
        <f t="shared" si="271"/>
        <v>45</v>
      </c>
      <c r="F401" s="3">
        <f t="shared" si="272"/>
        <v>46</v>
      </c>
      <c r="G401" s="3">
        <v>48</v>
      </c>
      <c r="H401" s="3">
        <f t="shared" si="273"/>
        <v>49</v>
      </c>
      <c r="I401" s="3">
        <f t="shared" si="273"/>
        <v>50</v>
      </c>
      <c r="J401" s="3">
        <v>64</v>
      </c>
      <c r="K401" s="3">
        <f>VLOOKUP($A401,'SegEnds_NonXtal_BW#'!$A:$Z,8,FALSE)+VLOOKUP($A401,A:AL,10,FALSE)-50</f>
        <v>81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85</v>
      </c>
      <c r="P401" s="3">
        <v>117</v>
      </c>
      <c r="Q401" s="3">
        <f>VLOOKUP($A401,'SegEnds_NonXtal_BW#'!$A:$Z,12,FALSE)+VLOOKUP($A401,A:AL,16,FALSE)-50</f>
        <v>123</v>
      </c>
      <c r="R401" s="3">
        <f t="shared" si="274"/>
        <v>126</v>
      </c>
      <c r="S401" s="3">
        <v>126</v>
      </c>
      <c r="T401" s="100">
        <f t="shared" si="275"/>
        <v>133</v>
      </c>
      <c r="U401" s="9">
        <f>IF(ISERROR(VLOOKUP($A401,'SegEnds_NonXtal_BW#'!$A:$Z,15,FALSE)+VLOOKUP($A401,A:AL,22,FALSE)-50),"-",VLOOKUP($A401,'SegEnds_NonXtal_BW#'!$A:$Z,15,FALSE)+VLOOKUP($A401,A:AL,22,FALSE)-50)</f>
        <v>134</v>
      </c>
      <c r="V401" s="3">
        <v>146</v>
      </c>
      <c r="W401" s="3">
        <f>IF(ISERROR(VLOOKUP($A401,'SegEnds_NonXtal_BW#'!$A:$Z,16,FALSE)+VLOOKUP($A401,A:AL,22,FALSE)-50),"-",(VLOOKUP($A401,'SegEnds_NonXtal_BW#'!$A:$Z,16,FALSE)+VLOOKUP($A401,A:AL,22,FALSE)-50))</f>
        <v>160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275</v>
      </c>
      <c r="AH401" s="3">
        <v>294</v>
      </c>
      <c r="AI401" s="3">
        <f>IF(ISERROR((VLOOKUP($A401,'SegEnds_NonXtal_BW#'!$A:$Z,24,FALSE)+VLOOKUP($A401,A:AL,34,FALSE)-50)),"-",(VLOOKUP($A401,'SegEnds_NonXtal_BW#'!$A:$Z,24,FALSE)+VLOOKUP($A401,A:AL,34,FALSE)-50))</f>
        <v>300</v>
      </c>
      <c r="AJ401" s="3">
        <f>IF(ISERROR(VLOOKUP($A401,'SegEnds_NonXtal_BW#'!$A:$Z,25,FALSE)+VLOOKUP($A401,A:AL,37,FALSE)-50),"-",(VLOOKUP($A401,'SegEnds_NonXtal_BW#'!$A:$Z,25,FALSE)+VLOOKUP($A401,A:AL,37,FALSE)-50))</f>
        <v>301</v>
      </c>
      <c r="AK401" s="3">
        <v>304</v>
      </c>
      <c r="AL401" s="3">
        <f>IF(ISERROR((VLOOKUP($A401,'SegEnds_NonXtal_BW#'!$A:$Z,26,FALSE)+VLOOKUP($A401,A:AL,37,FALSE)-50)),"-",(VLOOKUP($A401,'SegEnds_NonXtal_BW#'!$A:$Z,26,FALSE)+VLOOKUP($A401,A:AL,37,FALSE)-50))</f>
        <v>314</v>
      </c>
      <c r="AM401" s="28" t="str">
        <f>VLOOKUP(A401,Classification!A:B,2,FALSE)</f>
        <v>T</v>
      </c>
      <c r="AN401" s="28" t="b">
        <f t="shared" si="292"/>
        <v>1</v>
      </c>
      <c r="AO401" s="3" t="str">
        <f>IF(ISERROR(MATCH(A401,'SegEnds_Xtal_Prot#'!B:B, 0)), "NoXtal", "Xtal")</f>
        <v>NoXtal</v>
      </c>
      <c r="AP401" s="3">
        <f t="shared" si="277"/>
        <v>1</v>
      </c>
      <c r="AQ401" s="3">
        <f t="shared" si="278"/>
        <v>1</v>
      </c>
      <c r="AR401" s="3" t="str">
        <f t="shared" si="279"/>
        <v>-</v>
      </c>
      <c r="AS401" s="3" t="str">
        <f t="shared" si="280"/>
        <v>-</v>
      </c>
      <c r="AT401" s="3">
        <f t="shared" si="281"/>
        <v>3</v>
      </c>
      <c r="AU401" s="3">
        <f t="shared" si="282"/>
        <v>1</v>
      </c>
      <c r="AV401" s="3" t="str">
        <f t="shared" si="283"/>
        <v>-</v>
      </c>
      <c r="AW401" s="3" t="str">
        <f t="shared" si="284"/>
        <v>-</v>
      </c>
      <c r="AX401" s="3">
        <f t="shared" si="285"/>
        <v>10</v>
      </c>
      <c r="AY401" s="3">
        <f t="shared" si="286"/>
        <v>6</v>
      </c>
      <c r="AZ401" s="3">
        <f t="shared" si="287"/>
        <v>1</v>
      </c>
      <c r="BA401" s="3">
        <f>IF(ISERROR(LEN(VLOOKUP(A401,Seqs!A:E,2,FALSE))-AL401),"-",LEN(VLOOKUP(A401,Seqs!A:E,2,FALSE))-AL401)</f>
        <v>19</v>
      </c>
      <c r="BB401" s="16">
        <f t="shared" si="288"/>
        <v>31</v>
      </c>
      <c r="BC401" s="9">
        <f t="shared" si="289"/>
        <v>20</v>
      </c>
      <c r="BD401" s="3">
        <f t="shared" si="290"/>
        <v>31</v>
      </c>
      <c r="BE401" s="3">
        <f t="shared" si="291"/>
        <v>53</v>
      </c>
      <c r="BF401" s="3">
        <f t="shared" si="276"/>
        <v>36</v>
      </c>
    </row>
    <row r="402" spans="1:58" s="3" customFormat="1" x14ac:dyDescent="0.2">
      <c r="A402" s="3" t="s">
        <v>461</v>
      </c>
      <c r="B402" s="3" t="str">
        <f>LOWER(VLOOKUP(A402,Xtal_Templ!A:B,2,FALSE))</f>
        <v>agtr1_human</v>
      </c>
      <c r="C402" s="3">
        <f>VLOOKUP($A402,'SegEnds_NonXtal_BW#'!$A:$Z,3,FALSE)+D402-50</f>
        <v>34</v>
      </c>
      <c r="D402" s="3">
        <v>52</v>
      </c>
      <c r="E402" s="3">
        <f t="shared" si="271"/>
        <v>64</v>
      </c>
      <c r="F402" s="3">
        <f t="shared" si="272"/>
        <v>65</v>
      </c>
      <c r="G402" s="3">
        <v>67</v>
      </c>
      <c r="H402" s="3">
        <f t="shared" si="273"/>
        <v>68</v>
      </c>
      <c r="I402" s="3">
        <f t="shared" si="273"/>
        <v>69</v>
      </c>
      <c r="J402" s="3">
        <v>83</v>
      </c>
      <c r="K402" s="3">
        <f>VLOOKUP($A402,'SegEnds_NonXtal_BW#'!$A:$Z,8,FALSE)+VLOOKUP($A402,A:AL,10,FALSE)-50</f>
        <v>99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103</v>
      </c>
      <c r="P402" s="3">
        <v>135</v>
      </c>
      <c r="Q402" s="3">
        <f>VLOOKUP($A402,'SegEnds_NonXtal_BW#'!$A:$Z,12,FALSE)+VLOOKUP($A402,A:AL,16,FALSE)-50</f>
        <v>141</v>
      </c>
      <c r="R402" s="3">
        <f t="shared" si="274"/>
        <v>144</v>
      </c>
      <c r="S402" s="3">
        <v>144</v>
      </c>
      <c r="T402" s="100">
        <f t="shared" si="275"/>
        <v>151</v>
      </c>
      <c r="U402" s="9">
        <f>IF(ISERROR(VLOOKUP($A402,'SegEnds_NonXtal_BW#'!$A:$Z,15,FALSE)+VLOOKUP($A402,A:AL,22,FALSE)-50),"-",VLOOKUP($A402,'SegEnds_NonXtal_BW#'!$A:$Z,15,FALSE)+VLOOKUP($A402,A:AL,22,FALSE)-50)</f>
        <v>152</v>
      </c>
      <c r="V402" s="3">
        <v>164</v>
      </c>
      <c r="W402" s="3">
        <f>IF(ISERROR(VLOOKUP($A402,'SegEnds_NonXtal_BW#'!$A:$Z,16,FALSE)+VLOOKUP($A402,A:AL,22,FALSE)-50),"-",(VLOOKUP($A402,'SegEnds_NonXtal_BW#'!$A:$Z,16,FALSE)+VLOOKUP($A402,A:AL,22,FALSE)-50))</f>
        <v>178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202</v>
      </c>
      <c r="AB402" s="3">
        <v>220</v>
      </c>
      <c r="AC402" s="3">
        <f>IF(ISERROR((VLOOKUP($A402,'SegEnds_NonXtal_BW#'!$A:$Z,20,FALSE)+VLOOKUP($A402,A:AL,28,FALSE)-50)),"-",(VLOOKUP($A402,'SegEnds_NonXtal_BW#'!$A:$Z,20,FALSE)+VLOOKUP($A402,A:AL,28,FALSE)-50))</f>
        <v>242</v>
      </c>
      <c r="AD402" s="3">
        <f>IF(ISERROR(VLOOKUP($A402,'SegEnds_NonXtal_BW#'!$A:$Z,21,FALSE)+VLOOKUP($A402,A:AL,31,FALSE)-50),"-",(VLOOKUP($A402,'SegEnds_NonXtal_BW#'!$A:$Z,21,FALSE)+VLOOKUP($A402,A:AL,31,FALSE)-50))</f>
        <v>252</v>
      </c>
      <c r="AE402" s="3">
        <v>273</v>
      </c>
      <c r="AF402" s="3">
        <f>IF(ISERROR((VLOOKUP($A402,'SegEnds_NonXtal_BW#'!$A:$Z,22,FALSE)+VLOOKUP($A402,A:AL,31,FALSE)-50)),"-",(VLOOKUP($A402,'SegEnds_NonXtal_BW#'!$A:$Z,22,FALSE)+VLOOKUP($A402,A:AL,31,FALSE)-50))</f>
        <v>284</v>
      </c>
      <c r="AG402" s="3">
        <f>IF(ISERROR(VLOOKUP($A402,'SegEnds_NonXtal_BW#'!$A:$Z,23,FALSE)+VLOOKUP($A402,A:AL,34,FALSE)-50),"-",(VLOOKUP($A402,'SegEnds_NonXtal_BW#'!$A:$Z,23,FALSE)+VLOOKUP($A402,A:AL,34,FALSE)-50))</f>
        <v>289</v>
      </c>
      <c r="AH402" s="3">
        <v>308</v>
      </c>
      <c r="AI402" s="3">
        <f>IF(ISERROR((VLOOKUP($A402,'SegEnds_NonXtal_BW#'!$A:$Z,24,FALSE)+VLOOKUP($A402,A:AL,34,FALSE)-50)),"-",(VLOOKUP($A402,'SegEnds_NonXtal_BW#'!$A:$Z,24,FALSE)+VLOOKUP($A402,A:AL,34,FALSE)-50))</f>
        <v>314</v>
      </c>
      <c r="AJ402" s="3">
        <f>IF(ISERROR(VLOOKUP($A402,'SegEnds_NonXtal_BW#'!$A:$Z,25,FALSE)+VLOOKUP($A402,A:AL,37,FALSE)-50),"-",(VLOOKUP($A402,'SegEnds_NonXtal_BW#'!$A:$Z,25,FALSE)+VLOOKUP($A402,A:AL,37,FALSE)-50))</f>
        <v>315</v>
      </c>
      <c r="AK402" s="3">
        <v>318</v>
      </c>
      <c r="AL402" s="3">
        <f>IF(ISERROR((VLOOKUP($A402,'SegEnds_NonXtal_BW#'!$A:$Z,26,FALSE)+VLOOKUP($A402,A:AL,37,FALSE)-50)),"-",(VLOOKUP($A402,'SegEnds_NonXtal_BW#'!$A:$Z,26,FALSE)+VLOOKUP($A402,A:AL,37,FALSE)-50))</f>
        <v>328</v>
      </c>
      <c r="AM402" s="28" t="str">
        <f>VLOOKUP(A402,Classification!A:B,2,FALSE)</f>
        <v>T</v>
      </c>
      <c r="AN402" s="28" t="b">
        <f t="shared" si="292"/>
        <v>1</v>
      </c>
      <c r="AO402" s="3" t="str">
        <f>IF(ISERROR(MATCH(A402,'SegEnds_Xtal_Prot#'!B:B, 0)), "NoXtal", "Xtal")</f>
        <v>NoXtal</v>
      </c>
      <c r="AP402" s="3">
        <f t="shared" si="277"/>
        <v>1</v>
      </c>
      <c r="AQ402" s="3">
        <f t="shared" si="278"/>
        <v>1</v>
      </c>
      <c r="AR402" s="3" t="str">
        <f t="shared" si="279"/>
        <v>-</v>
      </c>
      <c r="AS402" s="3" t="str">
        <f t="shared" si="280"/>
        <v>-</v>
      </c>
      <c r="AT402" s="3">
        <f t="shared" si="281"/>
        <v>3</v>
      </c>
      <c r="AU402" s="3">
        <f t="shared" si="282"/>
        <v>1</v>
      </c>
      <c r="AV402" s="3" t="str">
        <f t="shared" si="283"/>
        <v>-</v>
      </c>
      <c r="AW402" s="3" t="str">
        <f t="shared" si="284"/>
        <v>-</v>
      </c>
      <c r="AX402" s="3">
        <f t="shared" si="285"/>
        <v>10</v>
      </c>
      <c r="AY402" s="3">
        <f t="shared" si="286"/>
        <v>5</v>
      </c>
      <c r="AZ402" s="3">
        <f t="shared" si="287"/>
        <v>1</v>
      </c>
      <c r="BA402" s="3">
        <f>IF(ISERROR(LEN(VLOOKUP(A402,Seqs!A:E,2,FALSE))-AL402),"-",LEN(VLOOKUP(A402,Seqs!A:E,2,FALSE))-AL402)</f>
        <v>10</v>
      </c>
      <c r="BB402" s="16">
        <f t="shared" si="288"/>
        <v>31</v>
      </c>
      <c r="BC402" s="9">
        <f t="shared" si="289"/>
        <v>20</v>
      </c>
      <c r="BD402" s="3">
        <f t="shared" si="290"/>
        <v>31</v>
      </c>
      <c r="BE402" s="3">
        <f t="shared" si="291"/>
        <v>53</v>
      </c>
      <c r="BF402" s="3">
        <f t="shared" si="276"/>
        <v>35</v>
      </c>
    </row>
    <row r="403" spans="1:58" s="3" customFormat="1" x14ac:dyDescent="0.2">
      <c r="A403" s="3" t="s">
        <v>462</v>
      </c>
      <c r="B403" s="3" t="str">
        <f>LOWER(VLOOKUP(A403,Xtal_Templ!A:B,2,FALSE))</f>
        <v>5ht2a_human</v>
      </c>
      <c r="C403" s="3">
        <f>VLOOKUP($A403,'SegEnds_NonXtal_BW#'!$A:$Z,3,FALSE)+D403-50</f>
        <v>18</v>
      </c>
      <c r="D403" s="3">
        <v>36</v>
      </c>
      <c r="E403" s="3">
        <f t="shared" si="271"/>
        <v>48</v>
      </c>
      <c r="F403" s="3">
        <f t="shared" si="272"/>
        <v>49</v>
      </c>
      <c r="G403" s="3">
        <v>51</v>
      </c>
      <c r="H403" s="3">
        <f t="shared" si="273"/>
        <v>52</v>
      </c>
      <c r="I403" s="3">
        <f t="shared" si="273"/>
        <v>53</v>
      </c>
      <c r="J403" s="3">
        <v>67</v>
      </c>
      <c r="K403" s="3">
        <f>VLOOKUP($A403,'SegEnds_NonXtal_BW#'!$A:$Z,8,FALSE)+VLOOKUP($A403,A:AL,10,FALSE)-50</f>
        <v>83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87</v>
      </c>
      <c r="P403" s="3">
        <v>119</v>
      </c>
      <c r="Q403" s="3">
        <f>VLOOKUP($A403,'SegEnds_NonXtal_BW#'!$A:$Z,12,FALSE)+VLOOKUP($A403,A:AL,16,FALSE)-50</f>
        <v>125</v>
      </c>
      <c r="R403" s="3">
        <f t="shared" si="274"/>
        <v>128</v>
      </c>
      <c r="S403" s="3">
        <v>128</v>
      </c>
      <c r="T403" s="100">
        <f t="shared" si="275"/>
        <v>135</v>
      </c>
      <c r="U403" s="9">
        <f>IF(ISERROR(VLOOKUP($A403,'SegEnds_NonXtal_BW#'!$A:$Z,15,FALSE)+VLOOKUP($A403,A:AL,22,FALSE)-50),"-",VLOOKUP($A403,'SegEnds_NonXtal_BW#'!$A:$Z,15,FALSE)+VLOOKUP($A403,A:AL,22,FALSE)-50)</f>
        <v>136</v>
      </c>
      <c r="V403" s="3">
        <v>148</v>
      </c>
      <c r="W403" s="3">
        <f>IF(ISERROR(VLOOKUP($A403,'SegEnds_NonXtal_BW#'!$A:$Z,16,FALSE)+VLOOKUP($A403,A:AL,22,FALSE)-50),"-",(VLOOKUP($A403,'SegEnds_NonXtal_BW#'!$A:$Z,16,FALSE)+VLOOKUP($A403,A:AL,22,FALSE)-50))</f>
        <v>165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187</v>
      </c>
      <c r="AB403" s="3">
        <v>205</v>
      </c>
      <c r="AC403" s="3">
        <f>IF(ISERROR((VLOOKUP($A403,'SegEnds_NonXtal_BW#'!$A:$Z,20,FALSE)+VLOOKUP($A403,A:AL,28,FALSE)-50)),"-",(VLOOKUP($A403,'SegEnds_NonXtal_BW#'!$A:$Z,20,FALSE)+VLOOKUP($A403,A:AL,28,FALSE)-50))</f>
        <v>227</v>
      </c>
      <c r="AD403" s="3">
        <f>IF(ISERROR(VLOOKUP($A403,'SegEnds_NonXtal_BW#'!$A:$Z,21,FALSE)+VLOOKUP($A403,A:AL,31,FALSE)-50),"-",(VLOOKUP($A403,'SegEnds_NonXtal_BW#'!$A:$Z,21,FALSE)+VLOOKUP($A403,A:AL,31,FALSE)-50))</f>
        <v>237</v>
      </c>
      <c r="AE403" s="3">
        <v>258</v>
      </c>
      <c r="AF403" s="3">
        <f>IF(ISERROR((VLOOKUP($A403,'SegEnds_NonXtal_BW#'!$A:$Z,22,FALSE)+VLOOKUP($A403,A:AL,31,FALSE)-50)),"-",(VLOOKUP($A403,'SegEnds_NonXtal_BW#'!$A:$Z,22,FALSE)+VLOOKUP($A403,A:AL,31,FALSE)-50))</f>
        <v>269</v>
      </c>
      <c r="AG403" s="3">
        <f>IF(ISERROR(VLOOKUP($A403,'SegEnds_NonXtal_BW#'!$A:$Z,23,FALSE)+VLOOKUP($A403,A:AL,34,FALSE)-50),"-",(VLOOKUP($A403,'SegEnds_NonXtal_BW#'!$A:$Z,23,FALSE)+VLOOKUP($A403,A:AL,34,FALSE)-50))</f>
        <v>274</v>
      </c>
      <c r="AH403" s="3">
        <v>293</v>
      </c>
      <c r="AI403" s="3">
        <f>IF(ISERROR((VLOOKUP($A403,'SegEnds_NonXtal_BW#'!$A:$Z,24,FALSE)+VLOOKUP($A403,A:AL,34,FALSE)-50)),"-",(VLOOKUP($A403,'SegEnds_NonXtal_BW#'!$A:$Z,24,FALSE)+VLOOKUP($A403,A:AL,34,FALSE)-50))</f>
        <v>299</v>
      </c>
      <c r="AJ403" s="3">
        <f>IF(ISERROR(VLOOKUP($A403,'SegEnds_NonXtal_BW#'!$A:$Z,25,FALSE)+VLOOKUP($A403,A:AL,37,FALSE)-50),"-",(VLOOKUP($A403,'SegEnds_NonXtal_BW#'!$A:$Z,25,FALSE)+VLOOKUP($A403,A:AL,37,FALSE)-50))</f>
        <v>300</v>
      </c>
      <c r="AK403" s="3">
        <v>303</v>
      </c>
      <c r="AL403" s="3">
        <f>IF(ISERROR((VLOOKUP($A403,'SegEnds_NonXtal_BW#'!$A:$Z,26,FALSE)+VLOOKUP($A403,A:AL,37,FALSE)-50)),"-",(VLOOKUP($A403,'SegEnds_NonXtal_BW#'!$A:$Z,26,FALSE)+VLOOKUP($A403,A:AL,37,FALSE)-50))</f>
        <v>313</v>
      </c>
      <c r="AM403" s="28" t="str">
        <f>VLOOKUP(A403,Classification!A:B,2,FALSE)</f>
        <v>T</v>
      </c>
      <c r="AN403" s="28" t="b">
        <f t="shared" si="292"/>
        <v>1</v>
      </c>
      <c r="AO403" s="3" t="str">
        <f>IF(ISERROR(MATCH(A403,'SegEnds_Xtal_Prot#'!B:B, 0)), "NoXtal", "Xtal")</f>
        <v>NoXtal</v>
      </c>
      <c r="AP403" s="3">
        <f t="shared" si="277"/>
        <v>1</v>
      </c>
      <c r="AQ403" s="3">
        <f t="shared" si="278"/>
        <v>1</v>
      </c>
      <c r="AR403" s="3" t="str">
        <f t="shared" si="279"/>
        <v>-</v>
      </c>
      <c r="AS403" s="3" t="str">
        <f t="shared" si="280"/>
        <v>-</v>
      </c>
      <c r="AT403" s="3">
        <f t="shared" si="281"/>
        <v>3</v>
      </c>
      <c r="AU403" s="3">
        <f t="shared" si="282"/>
        <v>1</v>
      </c>
      <c r="AV403" s="3" t="str">
        <f t="shared" si="283"/>
        <v>-</v>
      </c>
      <c r="AW403" s="3" t="str">
        <f t="shared" si="284"/>
        <v>-</v>
      </c>
      <c r="AX403" s="3">
        <f t="shared" si="285"/>
        <v>10</v>
      </c>
      <c r="AY403" s="3">
        <f t="shared" si="286"/>
        <v>5</v>
      </c>
      <c r="AZ403" s="3">
        <f t="shared" si="287"/>
        <v>1</v>
      </c>
      <c r="BA403" s="3">
        <f>IF(ISERROR(LEN(VLOOKUP(A403,Seqs!A:E,2,FALSE))-AL403),"-",LEN(VLOOKUP(A403,Seqs!A:E,2,FALSE))-AL403)</f>
        <v>10</v>
      </c>
      <c r="BB403" s="16">
        <f t="shared" si="288"/>
        <v>31</v>
      </c>
      <c r="BC403" s="9">
        <f t="shared" si="289"/>
        <v>20</v>
      </c>
      <c r="BD403" s="3">
        <f t="shared" si="290"/>
        <v>31</v>
      </c>
      <c r="BE403" s="3">
        <f t="shared" si="291"/>
        <v>53</v>
      </c>
      <c r="BF403" s="3">
        <f t="shared" si="276"/>
        <v>35</v>
      </c>
    </row>
    <row r="404" spans="1:58" s="3" customFormat="1" x14ac:dyDescent="0.2">
      <c r="A404" s="3" t="s">
        <v>463</v>
      </c>
      <c r="B404" s="3" t="str">
        <f>LOWER(VLOOKUP(A404,Xtal_Templ!A:B,2,FALSE))</f>
        <v>drd2_human</v>
      </c>
      <c r="C404" s="3">
        <f>VLOOKUP($A404,'SegEnds_NonXtal_BW#'!$A:$Z,3,FALSE)+D404-50</f>
        <v>6</v>
      </c>
      <c r="D404" s="3">
        <v>24</v>
      </c>
      <c r="E404" s="3">
        <f t="shared" si="271"/>
        <v>36</v>
      </c>
      <c r="F404" s="3">
        <f t="shared" si="272"/>
        <v>37</v>
      </c>
      <c r="G404" s="3">
        <v>39</v>
      </c>
      <c r="H404" s="3">
        <f t="shared" si="273"/>
        <v>40</v>
      </c>
      <c r="I404" s="3">
        <f t="shared" si="273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74"/>
        <v>116</v>
      </c>
      <c r="S404" s="3">
        <v>116</v>
      </c>
      <c r="T404" s="100">
        <f t="shared" si="275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261</v>
      </c>
      <c r="AH404" s="3">
        <v>280</v>
      </c>
      <c r="AI404" s="3">
        <f>IF(ISERROR((VLOOKUP($A404,'SegEnds_NonXtal_BW#'!$A:$Z,24,FALSE)+VLOOKUP($A404,A:AL,34,FALSE)-50)),"-",(VLOOKUP($A404,'SegEnds_NonXtal_BW#'!$A:$Z,24,FALSE)+VLOOKUP($A404,A:AL,34,FALSE)-50))</f>
        <v>286</v>
      </c>
      <c r="AJ404" s="3">
        <f>IF(ISERROR(VLOOKUP($A404,'SegEnds_NonXtal_BW#'!$A:$Z,25,FALSE)+VLOOKUP($A404,A:AL,37,FALSE)-50),"-",(VLOOKUP($A404,'SegEnds_NonXtal_BW#'!$A:$Z,25,FALSE)+VLOOKUP($A404,A:AL,37,FALSE)-50))</f>
        <v>287</v>
      </c>
      <c r="AK404" s="3">
        <v>290</v>
      </c>
      <c r="AL404" s="3">
        <f>IF(ISERROR((VLOOKUP($A404,'SegEnds_NonXtal_BW#'!$A:$Z,26,FALSE)+VLOOKUP($A404,A:AL,37,FALSE)-50)),"-",(VLOOKUP($A404,'SegEnds_NonXtal_BW#'!$A:$Z,26,FALSE)+VLOOKUP($A404,A:AL,37,FALSE)-50))</f>
        <v>300</v>
      </c>
      <c r="AM404" s="28" t="str">
        <f>VLOOKUP(A404,Classification!A:B,2,FALSE)</f>
        <v>T</v>
      </c>
      <c r="AN404" s="28" t="b">
        <f t="shared" si="292"/>
        <v>1</v>
      </c>
      <c r="AO404" s="3" t="str">
        <f>IF(ISERROR(MATCH(A404,'SegEnds_Xtal_Prot#'!B:B, 0)), "NoXtal", "Xtal")</f>
        <v>NoXtal</v>
      </c>
      <c r="AP404" s="3">
        <f t="shared" si="277"/>
        <v>1</v>
      </c>
      <c r="AQ404" s="3">
        <f t="shared" si="278"/>
        <v>1</v>
      </c>
      <c r="AR404" s="3" t="str">
        <f t="shared" si="279"/>
        <v>-</v>
      </c>
      <c r="AS404" s="3" t="str">
        <f t="shared" si="280"/>
        <v>-</v>
      </c>
      <c r="AT404" s="3">
        <f t="shared" si="281"/>
        <v>3</v>
      </c>
      <c r="AU404" s="3">
        <f t="shared" si="282"/>
        <v>1</v>
      </c>
      <c r="AV404" s="3" t="str">
        <f t="shared" si="283"/>
        <v>-</v>
      </c>
      <c r="AW404" s="3" t="str">
        <f t="shared" si="284"/>
        <v>-</v>
      </c>
      <c r="AX404" s="3">
        <f t="shared" si="285"/>
        <v>10</v>
      </c>
      <c r="AY404" s="3">
        <f t="shared" si="286"/>
        <v>5</v>
      </c>
      <c r="AZ404" s="3">
        <f t="shared" si="287"/>
        <v>1</v>
      </c>
      <c r="BA404" s="3">
        <f>IF(ISERROR(LEN(VLOOKUP(A404,Seqs!A:E,2,FALSE))-AL404),"-",LEN(VLOOKUP(A404,Seqs!A:E,2,FALSE))-AL404)</f>
        <v>7</v>
      </c>
      <c r="BB404" s="16">
        <f t="shared" si="288"/>
        <v>31</v>
      </c>
      <c r="BC404" s="9">
        <f t="shared" si="289"/>
        <v>20</v>
      </c>
      <c r="BD404" s="3">
        <f t="shared" si="290"/>
        <v>31</v>
      </c>
      <c r="BE404" s="3">
        <f t="shared" si="291"/>
        <v>53</v>
      </c>
      <c r="BF404" s="3">
        <f t="shared" si="276"/>
        <v>35</v>
      </c>
    </row>
    <row r="405" spans="1:58" s="3" customFormat="1" x14ac:dyDescent="0.2">
      <c r="A405" s="3" t="s">
        <v>464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71"/>
        <v>36</v>
      </c>
      <c r="F405" s="3">
        <f t="shared" si="272"/>
        <v>37</v>
      </c>
      <c r="G405" s="3">
        <v>39</v>
      </c>
      <c r="H405" s="3">
        <f t="shared" si="273"/>
        <v>40</v>
      </c>
      <c r="I405" s="3">
        <f t="shared" si="273"/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 t="shared" si="274"/>
        <v>116</v>
      </c>
      <c r="S405" s="3">
        <v>116</v>
      </c>
      <c r="T405" s="100">
        <f t="shared" si="275"/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174</v>
      </c>
      <c r="AB405" s="3">
        <v>192</v>
      </c>
      <c r="AC405" s="3">
        <f>IF(ISERROR((VLOOKUP($A405,'SegEnds_NonXtal_BW#'!$A:$Z,20,FALSE)+VLOOKUP($A405,A:AL,28,FALSE)-50)),"-",(VLOOKUP($A405,'SegEnds_NonXtal_BW#'!$A:$Z,20,FALSE)+VLOOKUP($A405,A:AL,28,FALSE)-50))</f>
        <v>214</v>
      </c>
      <c r="AD405" s="3">
        <f>IF(ISERROR(VLOOKUP($A405,'SegEnds_NonXtal_BW#'!$A:$Z,21,FALSE)+VLOOKUP($A405,A:AL,31,FALSE)-50),"-",(VLOOKUP($A405,'SegEnds_NonXtal_BW#'!$A:$Z,21,FALSE)+VLOOKUP($A405,A:AL,31,FALSE)-50))</f>
        <v>224</v>
      </c>
      <c r="AE405" s="3">
        <v>245</v>
      </c>
      <c r="AF405" s="3">
        <f>IF(ISERROR((VLOOKUP($A405,'SegEnds_NonXtal_BW#'!$A:$Z,22,FALSE)+VLOOKUP($A405,A:AL,31,FALSE)-50)),"-",(VLOOKUP($A405,'SegEnds_NonXtal_BW#'!$A:$Z,22,FALSE)+VLOOKUP($A405,A:AL,31,FALSE)-50))</f>
        <v>256</v>
      </c>
      <c r="AG405" s="3">
        <f>IF(ISERROR(VLOOKUP($A405,'SegEnds_NonXtal_BW#'!$A:$Z,23,FALSE)+VLOOKUP($A405,A:AL,34,FALSE)-50),"-",(VLOOKUP($A405,'SegEnds_NonXtal_BW#'!$A:$Z,23,FALSE)+VLOOKUP($A405,A:AL,34,FALSE)-50))</f>
        <v>262</v>
      </c>
      <c r="AH405" s="3">
        <v>281</v>
      </c>
      <c r="AI405" s="3">
        <f>IF(ISERROR((VLOOKUP($A405,'SegEnds_NonXtal_BW#'!$A:$Z,24,FALSE)+VLOOKUP($A405,A:AL,34,FALSE)-50)),"-",(VLOOKUP($A405,'SegEnds_NonXtal_BW#'!$A:$Z,24,FALSE)+VLOOKUP($A405,A:AL,34,FALSE)-50))</f>
        <v>287</v>
      </c>
      <c r="AJ405" s="3">
        <f>IF(ISERROR(VLOOKUP($A405,'SegEnds_NonXtal_BW#'!$A:$Z,25,FALSE)+VLOOKUP($A405,A:AL,37,FALSE)-50),"-",(VLOOKUP($A405,'SegEnds_NonXtal_BW#'!$A:$Z,25,FALSE)+VLOOKUP($A405,A:AL,37,FALSE)-50))</f>
        <v>288</v>
      </c>
      <c r="AK405" s="3">
        <v>291</v>
      </c>
      <c r="AL405" s="3">
        <f>IF(ISERROR((VLOOKUP($A405,'SegEnds_NonXtal_BW#'!$A:$Z,26,FALSE)+VLOOKUP($A405,A:AL,37,FALSE)-50)),"-",(VLOOKUP($A405,'SegEnds_NonXtal_BW#'!$A:$Z,26,FALSE)+VLOOKUP($A405,A:AL,37,FALSE)-50))</f>
        <v>301</v>
      </c>
      <c r="AM405" s="28" t="str">
        <f>VLOOKUP(A405,Classification!A:B,2,FALSE)</f>
        <v>T</v>
      </c>
      <c r="AN405" s="28" t="b">
        <f t="shared" si="292"/>
        <v>1</v>
      </c>
      <c r="AO405" s="3" t="str">
        <f>IF(ISERROR(MATCH(A405,'SegEnds_Xtal_Prot#'!B:B, 0)), "NoXtal", "Xtal")</f>
        <v>NoXtal</v>
      </c>
      <c r="AP405" s="3">
        <f t="shared" si="277"/>
        <v>1</v>
      </c>
      <c r="AQ405" s="3">
        <f t="shared" si="278"/>
        <v>1</v>
      </c>
      <c r="AR405" s="3" t="str">
        <f t="shared" si="279"/>
        <v>-</v>
      </c>
      <c r="AS405" s="3" t="str">
        <f t="shared" si="280"/>
        <v>-</v>
      </c>
      <c r="AT405" s="3">
        <f t="shared" si="281"/>
        <v>3</v>
      </c>
      <c r="AU405" s="3">
        <f t="shared" si="282"/>
        <v>1</v>
      </c>
      <c r="AV405" s="3" t="str">
        <f t="shared" si="283"/>
        <v>-</v>
      </c>
      <c r="AW405" s="3" t="str">
        <f t="shared" si="284"/>
        <v>-</v>
      </c>
      <c r="AX405" s="3">
        <f t="shared" si="285"/>
        <v>10</v>
      </c>
      <c r="AY405" s="3">
        <f t="shared" si="286"/>
        <v>6</v>
      </c>
      <c r="AZ405" s="3">
        <f t="shared" si="287"/>
        <v>1</v>
      </c>
      <c r="BA405" s="3">
        <f>IF(ISERROR(LEN(VLOOKUP(A405,Seqs!A:E,2,FALSE))-AL405),"-",LEN(VLOOKUP(A405,Seqs!A:E,2,FALSE))-AL405)</f>
        <v>13</v>
      </c>
      <c r="BB405" s="16">
        <f t="shared" si="288"/>
        <v>31</v>
      </c>
      <c r="BC405" s="9">
        <f t="shared" si="289"/>
        <v>20</v>
      </c>
      <c r="BD405" s="3">
        <f t="shared" si="290"/>
        <v>31</v>
      </c>
      <c r="BE405" s="3">
        <f t="shared" si="291"/>
        <v>53</v>
      </c>
      <c r="BF405" s="3">
        <f t="shared" si="276"/>
        <v>36</v>
      </c>
    </row>
    <row r="406" spans="1:58" s="3" customFormat="1" x14ac:dyDescent="0.2">
      <c r="A406" s="3" t="s">
        <v>465</v>
      </c>
      <c r="B406" s="3" t="str">
        <f>LOWER(VLOOKUP(A406,Xtal_Templ!A:B,2,FALSE))</f>
        <v>drd2_human</v>
      </c>
      <c r="C406" s="3">
        <f>VLOOKUP($A406,'SegEnds_NonXtal_BW#'!$A:$Z,3,FALSE)+D406-50</f>
        <v>6</v>
      </c>
      <c r="D406" s="3">
        <v>24</v>
      </c>
      <c r="E406" s="3">
        <f t="shared" si="271"/>
        <v>36</v>
      </c>
      <c r="F406" s="3">
        <f t="shared" si="272"/>
        <v>37</v>
      </c>
      <c r="G406" s="3">
        <v>39</v>
      </c>
      <c r="H406" s="3">
        <f t="shared" si="273"/>
        <v>40</v>
      </c>
      <c r="I406" s="3">
        <f t="shared" si="273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74"/>
        <v>115</v>
      </c>
      <c r="S406" s="3">
        <v>115</v>
      </c>
      <c r="T406" s="100">
        <f t="shared" si="275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147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219</v>
      </c>
      <c r="AE406" s="3">
        <v>240</v>
      </c>
      <c r="AF406" s="3">
        <f>IF(ISERROR((VLOOKUP($A406,'SegEnds_NonXtal_BW#'!$A:$Z,22,FALSE)+VLOOKUP($A406,A:AL,31,FALSE)-50)),"-",(VLOOKUP($A406,'SegEnds_NonXtal_BW#'!$A:$Z,22,FALSE)+VLOOKUP($A406,A:AL,31,FALSE)-50))</f>
        <v>251</v>
      </c>
      <c r="AG406" s="3">
        <f>IF(ISERROR(VLOOKUP($A406,'SegEnds_NonXtal_BW#'!$A:$Z,23,FALSE)+VLOOKUP($A406,A:AL,34,FALSE)-50),"-",(VLOOKUP($A406,'SegEnds_NonXtal_BW#'!$A:$Z,23,FALSE)+VLOOKUP($A406,A:AL,34,FALSE)-50))</f>
        <v>257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92"/>
        <v>1</v>
      </c>
      <c r="AO406" s="3" t="str">
        <f>IF(ISERROR(MATCH(A406,'SegEnds_Xtal_Prot#'!B:B, 0)), "NoXtal", "Xtal")</f>
        <v>NoXtal</v>
      </c>
      <c r="AP406" s="3">
        <f t="shared" si="277"/>
        <v>1</v>
      </c>
      <c r="AQ406" s="3">
        <f t="shared" si="278"/>
        <v>1</v>
      </c>
      <c r="AR406" s="3" t="str">
        <f t="shared" si="279"/>
        <v>-</v>
      </c>
      <c r="AS406" s="3" t="str">
        <f t="shared" si="280"/>
        <v>-</v>
      </c>
      <c r="AT406" s="3">
        <f t="shared" si="281"/>
        <v>3</v>
      </c>
      <c r="AU406" s="3">
        <f t="shared" si="282"/>
        <v>1</v>
      </c>
      <c r="AV406" s="3" t="str">
        <f t="shared" si="283"/>
        <v>-</v>
      </c>
      <c r="AW406" s="3" t="str">
        <f t="shared" si="284"/>
        <v>-</v>
      </c>
      <c r="AX406" s="3">
        <f t="shared" si="285"/>
        <v>10</v>
      </c>
      <c r="AY406" s="3">
        <f t="shared" si="286"/>
        <v>6</v>
      </c>
      <c r="AZ406" s="3">
        <f t="shared" si="287"/>
        <v>1</v>
      </c>
      <c r="BA406" s="3">
        <f>IF(ISERROR(LEN(VLOOKUP(A406,Seqs!A:E,2,FALSE))-AL406),"-",LEN(VLOOKUP(A406,Seqs!A:E,2,FALSE))-AL406)</f>
        <v>13</v>
      </c>
      <c r="BB406" s="16">
        <f t="shared" si="288"/>
        <v>31</v>
      </c>
      <c r="BC406" s="9">
        <f t="shared" si="289"/>
        <v>20</v>
      </c>
      <c r="BD406" s="3">
        <f t="shared" si="290"/>
        <v>31</v>
      </c>
      <c r="BE406" s="3">
        <f t="shared" si="291"/>
        <v>53</v>
      </c>
      <c r="BF406" s="3">
        <f t="shared" si="276"/>
        <v>36</v>
      </c>
    </row>
    <row r="407" spans="1:58" s="3" customFormat="1" x14ac:dyDescent="0.2">
      <c r="A407" s="3" t="s">
        <v>925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71"/>
        <v>36</v>
      </c>
      <c r="F407" s="3">
        <f t="shared" si="272"/>
        <v>37</v>
      </c>
      <c r="G407" s="3">
        <v>39</v>
      </c>
      <c r="H407" s="3">
        <f t="shared" si="273"/>
        <v>40</v>
      </c>
      <c r="I407" s="3">
        <f t="shared" si="273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74"/>
        <v>115</v>
      </c>
      <c r="S407" s="3">
        <v>115</v>
      </c>
      <c r="T407" s="100">
        <f t="shared" si="275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222</v>
      </c>
      <c r="AE407" s="3">
        <v>243</v>
      </c>
      <c r="AF407" s="3">
        <f>IF(ISERROR((VLOOKUP($A407,'SegEnds_NonXtal_BW#'!$A:$Z,22,FALSE)+VLOOKUP($A407,A:AL,31,FALSE)-50)),"-",(VLOOKUP($A407,'SegEnds_NonXtal_BW#'!$A:$Z,22,FALSE)+VLOOKUP($A407,A:AL,31,FALSE)-50))</f>
        <v>254</v>
      </c>
      <c r="AG407" s="3">
        <f>IF(ISERROR(VLOOKUP($A407,'SegEnds_NonXtal_BW#'!$A:$Z,23,FALSE)+VLOOKUP($A407,A:AL,34,FALSE)-50),"-",(VLOOKUP($A407,'SegEnds_NonXtal_BW#'!$A:$Z,23,FALSE)+VLOOKUP($A407,A:AL,34,FALSE)-50))</f>
        <v>259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92"/>
        <v>1</v>
      </c>
      <c r="AO407" s="3" t="str">
        <f>IF(ISERROR(MATCH(A407,'SegEnds_Xtal_Prot#'!B:B, 0)), "NoXtal", "Xtal")</f>
        <v>NoXtal</v>
      </c>
      <c r="AP407" s="3">
        <f t="shared" si="277"/>
        <v>1</v>
      </c>
      <c r="AQ407" s="3">
        <f t="shared" si="278"/>
        <v>1</v>
      </c>
      <c r="AR407" s="3" t="str">
        <f t="shared" si="279"/>
        <v>-</v>
      </c>
      <c r="AS407" s="3" t="str">
        <f t="shared" si="280"/>
        <v>-</v>
      </c>
      <c r="AT407" s="3">
        <f t="shared" si="281"/>
        <v>3</v>
      </c>
      <c r="AU407" s="3">
        <f t="shared" si="282"/>
        <v>1</v>
      </c>
      <c r="AV407" s="3" t="str">
        <f t="shared" si="283"/>
        <v>-</v>
      </c>
      <c r="AW407" s="3" t="str">
        <f t="shared" si="284"/>
        <v>-</v>
      </c>
      <c r="AX407" s="3">
        <f t="shared" si="285"/>
        <v>13</v>
      </c>
      <c r="AY407" s="3">
        <f t="shared" si="286"/>
        <v>5</v>
      </c>
      <c r="AZ407" s="3">
        <f t="shared" si="287"/>
        <v>1</v>
      </c>
      <c r="BA407" s="3">
        <f>IF(ISERROR(LEN(VLOOKUP(A407,Seqs!A:E,2,FALSE))-AL407),"-",LEN(VLOOKUP(A407,Seqs!A:E,2,FALSE))-AL407)</f>
        <v>3</v>
      </c>
      <c r="BB407" s="16">
        <f t="shared" si="288"/>
        <v>31</v>
      </c>
      <c r="BC407" s="9">
        <f t="shared" si="289"/>
        <v>20</v>
      </c>
      <c r="BD407" s="3">
        <f t="shared" si="290"/>
        <v>31</v>
      </c>
      <c r="BE407" s="3">
        <f t="shared" si="291"/>
        <v>56</v>
      </c>
      <c r="BF407" s="3">
        <f t="shared" si="276"/>
        <v>33</v>
      </c>
    </row>
    <row r="408" spans="1:58" s="3" customFormat="1" x14ac:dyDescent="0.2">
      <c r="A408" s="3" t="s">
        <v>466</v>
      </c>
      <c r="B408" s="3" t="str">
        <f>LOWER(VLOOKUP(A408,Xtal_Templ!A:B,2,FALSE))</f>
        <v>5ht2c_human</v>
      </c>
      <c r="C408" s="3">
        <f>VLOOKUP($A408,'SegEnds_NonXtal_BW#'!$A:$Z,3,FALSE)+D408-50</f>
        <v>6</v>
      </c>
      <c r="D408" s="3">
        <v>24</v>
      </c>
      <c r="E408" s="3">
        <f t="shared" si="271"/>
        <v>36</v>
      </c>
      <c r="F408" s="3">
        <f t="shared" si="272"/>
        <v>37</v>
      </c>
      <c r="G408" s="3">
        <v>39</v>
      </c>
      <c r="H408" s="3">
        <f t="shared" si="273"/>
        <v>40</v>
      </c>
      <c r="I408" s="3">
        <f t="shared" si="273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74"/>
        <v>115</v>
      </c>
      <c r="S408" s="3">
        <v>115</v>
      </c>
      <c r="T408" s="100">
        <f t="shared" si="275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152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92"/>
        <v>1</v>
      </c>
      <c r="AO408" s="3" t="str">
        <f>IF(ISERROR(MATCH(A408,'SegEnds_Xtal_Prot#'!B:B, 0)), "NoXtal", "Xtal")</f>
        <v>NoXtal</v>
      </c>
      <c r="AP408" s="3">
        <f t="shared" si="277"/>
        <v>1</v>
      </c>
      <c r="AQ408" s="3">
        <f t="shared" si="278"/>
        <v>1</v>
      </c>
      <c r="AR408" s="3" t="str">
        <f t="shared" si="279"/>
        <v>-</v>
      </c>
      <c r="AS408" s="3" t="str">
        <f t="shared" si="280"/>
        <v>-</v>
      </c>
      <c r="AT408" s="3">
        <f t="shared" si="281"/>
        <v>3</v>
      </c>
      <c r="AU408" s="3">
        <f t="shared" si="282"/>
        <v>1</v>
      </c>
      <c r="AV408" s="3" t="str">
        <f t="shared" si="283"/>
        <v>-</v>
      </c>
      <c r="AW408" s="3" t="str">
        <f t="shared" si="284"/>
        <v>-</v>
      </c>
      <c r="AX408" s="3">
        <f t="shared" si="285"/>
        <v>10</v>
      </c>
      <c r="AY408" s="3">
        <f t="shared" si="286"/>
        <v>6</v>
      </c>
      <c r="AZ408" s="3">
        <f t="shared" si="287"/>
        <v>1</v>
      </c>
      <c r="BA408" s="3">
        <f>IF(ISERROR(LEN(VLOOKUP(A408,Seqs!A:E,2,FALSE))-AL408),"-",LEN(VLOOKUP(A408,Seqs!A:E,2,FALSE))-AL408)</f>
        <v>13</v>
      </c>
      <c r="BB408" s="16">
        <f t="shared" si="288"/>
        <v>31</v>
      </c>
      <c r="BC408" s="9">
        <f t="shared" si="289"/>
        <v>20</v>
      </c>
      <c r="BD408" s="3">
        <f t="shared" si="290"/>
        <v>31</v>
      </c>
      <c r="BE408" s="3">
        <f t="shared" si="291"/>
        <v>53</v>
      </c>
      <c r="BF408" s="3">
        <f t="shared" si="276"/>
        <v>36</v>
      </c>
    </row>
    <row r="409" spans="1:58" s="3" customFormat="1" x14ac:dyDescent="0.2">
      <c r="A409" s="3" t="s">
        <v>467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71"/>
        <v>36</v>
      </c>
      <c r="F409" s="3">
        <f t="shared" si="272"/>
        <v>37</v>
      </c>
      <c r="G409" s="3">
        <v>39</v>
      </c>
      <c r="H409" s="3">
        <f t="shared" si="273"/>
        <v>40</v>
      </c>
      <c r="I409" s="3">
        <f t="shared" si="273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74"/>
        <v>115</v>
      </c>
      <c r="S409" s="3">
        <v>115</v>
      </c>
      <c r="T409" s="100">
        <f t="shared" si="275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147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169</v>
      </c>
      <c r="AB409" s="3">
        <v>187</v>
      </c>
      <c r="AC409" s="3">
        <f>IF(ISERROR((VLOOKUP($A409,'SegEnds_NonXtal_BW#'!$A:$Z,20,FALSE)+VLOOKUP($A409,A:AL,28,FALSE)-50)),"-",(VLOOKUP($A409,'SegEnds_NonXtal_BW#'!$A:$Z,20,FALSE)+VLOOKUP($A409,A:AL,28,FALSE)-50))</f>
        <v>209</v>
      </c>
      <c r="AD409" s="3">
        <f>IF(ISERROR(VLOOKUP($A409,'SegEnds_NonXtal_BW#'!$A:$Z,21,FALSE)+VLOOKUP($A409,A:AL,31,FALSE)-50),"-",(VLOOKUP($A409,'SegEnds_NonXtal_BW#'!$A:$Z,21,FALSE)+VLOOKUP($A409,A:AL,31,FALSE)-50))</f>
        <v>219</v>
      </c>
      <c r="AE409" s="3">
        <v>240</v>
      </c>
      <c r="AF409" s="3">
        <f>IF(ISERROR((VLOOKUP($A409,'SegEnds_NonXtal_BW#'!$A:$Z,22,FALSE)+VLOOKUP($A409,A:AL,31,FALSE)-50)),"-",(VLOOKUP($A409,'SegEnds_NonXtal_BW#'!$A:$Z,22,FALSE)+VLOOKUP($A409,A:AL,31,FALSE)-50))</f>
        <v>251</v>
      </c>
      <c r="AG409" s="3">
        <f>IF(ISERROR(VLOOKUP($A409,'SegEnds_NonXtal_BW#'!$A:$Z,23,FALSE)+VLOOKUP($A409,A:AL,34,FALSE)-50),"-",(VLOOKUP($A409,'SegEnds_NonXtal_BW#'!$A:$Z,23,FALSE)+VLOOKUP($A409,A:AL,34,FALSE)-50))</f>
        <v>257</v>
      </c>
      <c r="AH409" s="3">
        <v>276</v>
      </c>
      <c r="AI409" s="3">
        <f>IF(ISERROR((VLOOKUP($A409,'SegEnds_NonXtal_BW#'!$A:$Z,24,FALSE)+VLOOKUP($A409,A:AL,34,FALSE)-50)),"-",(VLOOKUP($A409,'SegEnds_NonXtal_BW#'!$A:$Z,24,FALSE)+VLOOKUP($A409,A:AL,34,FALSE)-50))</f>
        <v>282</v>
      </c>
      <c r="AJ409" s="3">
        <f>IF(ISERROR(VLOOKUP($A409,'SegEnds_NonXtal_BW#'!$A:$Z,25,FALSE)+VLOOKUP($A409,A:AL,37,FALSE)-50),"-",(VLOOKUP($A409,'SegEnds_NonXtal_BW#'!$A:$Z,25,FALSE)+VLOOKUP($A409,A:AL,37,FALSE)-50))</f>
        <v>283</v>
      </c>
      <c r="AK409" s="3">
        <v>286</v>
      </c>
      <c r="AL409" s="3">
        <f>IF(ISERROR((VLOOKUP($A409,'SegEnds_NonXtal_BW#'!$A:$Z,26,FALSE)+VLOOKUP($A409,A:AL,37,FALSE)-50)),"-",(VLOOKUP($A409,'SegEnds_NonXtal_BW#'!$A:$Z,26,FALSE)+VLOOKUP($A409,A:AL,37,FALSE)-50))</f>
        <v>296</v>
      </c>
      <c r="AM409" s="28" t="str">
        <f>VLOOKUP(A409,Classification!A:B,2,FALSE)</f>
        <v>T</v>
      </c>
      <c r="AN409" s="28" t="b">
        <f t="shared" si="292"/>
        <v>1</v>
      </c>
      <c r="AO409" s="3" t="str">
        <f>IF(ISERROR(MATCH(A409,'SegEnds_Xtal_Prot#'!B:B, 0)), "NoXtal", "Xtal")</f>
        <v>NoXtal</v>
      </c>
      <c r="AP409" s="3">
        <f t="shared" si="277"/>
        <v>1</v>
      </c>
      <c r="AQ409" s="3">
        <f t="shared" si="278"/>
        <v>1</v>
      </c>
      <c r="AR409" s="3" t="str">
        <f t="shared" si="279"/>
        <v>-</v>
      </c>
      <c r="AS409" s="3" t="str">
        <f t="shared" si="280"/>
        <v>-</v>
      </c>
      <c r="AT409" s="3">
        <f t="shared" si="281"/>
        <v>3</v>
      </c>
      <c r="AU409" s="3">
        <f t="shared" si="282"/>
        <v>1</v>
      </c>
      <c r="AV409" s="3" t="str">
        <f t="shared" si="283"/>
        <v>-</v>
      </c>
      <c r="AW409" s="3" t="str">
        <f t="shared" si="284"/>
        <v>-</v>
      </c>
      <c r="AX409" s="3">
        <f t="shared" si="285"/>
        <v>10</v>
      </c>
      <c r="AY409" s="3">
        <f t="shared" si="286"/>
        <v>6</v>
      </c>
      <c r="AZ409" s="3">
        <f t="shared" si="287"/>
        <v>1</v>
      </c>
      <c r="BA409" s="3">
        <f>IF(ISERROR(LEN(VLOOKUP(A409,Seqs!A:E,2,FALSE))-AL409),"-",LEN(VLOOKUP(A409,Seqs!A:E,2,FALSE))-AL409)</f>
        <v>3</v>
      </c>
      <c r="BB409" s="16">
        <f t="shared" si="288"/>
        <v>31</v>
      </c>
      <c r="BC409" s="9">
        <f t="shared" si="289"/>
        <v>20</v>
      </c>
      <c r="BD409" s="3">
        <f t="shared" si="290"/>
        <v>31</v>
      </c>
      <c r="BE409" s="3">
        <f t="shared" si="291"/>
        <v>53</v>
      </c>
      <c r="BF409" s="3">
        <f t="shared" si="276"/>
        <v>36</v>
      </c>
    </row>
    <row r="410" spans="1:58" s="3" customFormat="1" x14ac:dyDescent="0.2">
      <c r="A410" s="3" t="s">
        <v>468</v>
      </c>
      <c r="B410" s="3" t="str">
        <f>LOWER(VLOOKUP(A410,Xtal_Templ!A:B,2,FALSE))</f>
        <v>oprk_human</v>
      </c>
      <c r="C410" s="3">
        <f>VLOOKUP($A410,'SegEnds_NonXtal_BW#'!$A:$Z,3,FALSE)+D410-50</f>
        <v>17</v>
      </c>
      <c r="D410" s="3">
        <v>35</v>
      </c>
      <c r="E410" s="3">
        <f t="shared" si="271"/>
        <v>47</v>
      </c>
      <c r="F410" s="3">
        <f t="shared" si="272"/>
        <v>48</v>
      </c>
      <c r="G410" s="3">
        <v>50</v>
      </c>
      <c r="H410" s="3">
        <f t="shared" si="273"/>
        <v>51</v>
      </c>
      <c r="I410" s="3">
        <f t="shared" si="273"/>
        <v>52</v>
      </c>
      <c r="J410" s="3">
        <v>66</v>
      </c>
      <c r="K410" s="3">
        <f>VLOOKUP($A410,'SegEnds_NonXtal_BW#'!$A:$Z,8,FALSE)+VLOOKUP($A410,A:AL,10,FALSE)-50</f>
        <v>82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86</v>
      </c>
      <c r="P410" s="3">
        <v>118</v>
      </c>
      <c r="Q410" s="3">
        <f>VLOOKUP($A410,'SegEnds_NonXtal_BW#'!$A:$Z,12,FALSE)+VLOOKUP($A410,A:AL,16,FALSE)-50</f>
        <v>124</v>
      </c>
      <c r="R410" s="3">
        <f t="shared" si="274"/>
        <v>127</v>
      </c>
      <c r="S410" s="3">
        <v>127</v>
      </c>
      <c r="T410" s="100">
        <f t="shared" si="275"/>
        <v>134</v>
      </c>
      <c r="U410" s="9">
        <f>IF(ISERROR(VLOOKUP($A410,'SegEnds_NonXtal_BW#'!$A:$Z,15,FALSE)+VLOOKUP($A410,A:AL,22,FALSE)-50),"-",VLOOKUP($A410,'SegEnds_NonXtal_BW#'!$A:$Z,15,FALSE)+VLOOKUP($A410,A:AL,22,FALSE)-50)</f>
        <v>135</v>
      </c>
      <c r="V410" s="3">
        <v>147</v>
      </c>
      <c r="W410" s="3">
        <f>IF(ISERROR(VLOOKUP($A410,'SegEnds_NonXtal_BW#'!$A:$Z,16,FALSE)+VLOOKUP($A410,A:AL,22,FALSE)-50),"-",(VLOOKUP($A410,'SegEnds_NonXtal_BW#'!$A:$Z,16,FALSE)+VLOOKUP($A410,A:AL,22,FALSE)-50))</f>
        <v>161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187</v>
      </c>
      <c r="AB410" s="3">
        <v>205</v>
      </c>
      <c r="AC410" s="3">
        <f>IF(ISERROR((VLOOKUP($A410,'SegEnds_NonXtal_BW#'!$A:$Z,20,FALSE)+VLOOKUP($A410,A:AL,28,FALSE)-50)),"-",(VLOOKUP($A410,'SegEnds_NonXtal_BW#'!$A:$Z,20,FALSE)+VLOOKUP($A410,A:AL,28,FALSE)-50))</f>
        <v>227</v>
      </c>
      <c r="AD410" s="3">
        <f>IF(ISERROR(VLOOKUP($A410,'SegEnds_NonXtal_BW#'!$A:$Z,21,FALSE)+VLOOKUP($A410,A:AL,31,FALSE)-50),"-",(VLOOKUP($A410,'SegEnds_NonXtal_BW#'!$A:$Z,21,FALSE)+VLOOKUP($A410,A:AL,31,FALSE)-50))</f>
        <v>237</v>
      </c>
      <c r="AE410" s="3">
        <v>258</v>
      </c>
      <c r="AF410" s="3">
        <f>IF(ISERROR((VLOOKUP($A410,'SegEnds_NonXtal_BW#'!$A:$Z,22,FALSE)+VLOOKUP($A410,A:AL,31,FALSE)-50)),"-",(VLOOKUP($A410,'SegEnds_NonXtal_BW#'!$A:$Z,22,FALSE)+VLOOKUP($A410,A:AL,31,FALSE)-50))</f>
        <v>269</v>
      </c>
      <c r="AG410" s="3">
        <f>IF(ISERROR(VLOOKUP($A410,'SegEnds_NonXtal_BW#'!$A:$Z,23,FALSE)+VLOOKUP($A410,A:AL,34,FALSE)-50),"-",(VLOOKUP($A410,'SegEnds_NonXtal_BW#'!$A:$Z,23,FALSE)+VLOOKUP($A410,A:AL,34,FALSE)-50))</f>
        <v>274</v>
      </c>
      <c r="AH410" s="3">
        <v>293</v>
      </c>
      <c r="AI410" s="3">
        <f>IF(ISERROR((VLOOKUP($A410,'SegEnds_NonXtal_BW#'!$A:$Z,24,FALSE)+VLOOKUP($A410,A:AL,34,FALSE)-50)),"-",(VLOOKUP($A410,'SegEnds_NonXtal_BW#'!$A:$Z,24,FALSE)+VLOOKUP($A410,A:AL,34,FALSE)-50))</f>
        <v>299</v>
      </c>
      <c r="AJ410" s="3">
        <f>IF(ISERROR(VLOOKUP($A410,'SegEnds_NonXtal_BW#'!$A:$Z,25,FALSE)+VLOOKUP($A410,A:AL,37,FALSE)-50),"-",(VLOOKUP($A410,'SegEnds_NonXtal_BW#'!$A:$Z,25,FALSE)+VLOOKUP($A410,A:AL,37,FALSE)-50))</f>
        <v>300</v>
      </c>
      <c r="AK410" s="3">
        <v>303</v>
      </c>
      <c r="AL410" s="3">
        <f>IF(ISERROR((VLOOKUP($A410,'SegEnds_NonXtal_BW#'!$A:$Z,26,FALSE)+VLOOKUP($A410,A:AL,37,FALSE)-50)),"-",(VLOOKUP($A410,'SegEnds_NonXtal_BW#'!$A:$Z,26,FALSE)+VLOOKUP($A410,A:AL,37,FALSE)-50))</f>
        <v>313</v>
      </c>
      <c r="AM410" s="28" t="str">
        <f>VLOOKUP(A410,Classification!A:B,2,FALSE)</f>
        <v>T</v>
      </c>
      <c r="AN410" s="28" t="b">
        <f t="shared" si="292"/>
        <v>1</v>
      </c>
      <c r="AO410" s="3" t="str">
        <f>IF(ISERROR(MATCH(A410,'SegEnds_Xtal_Prot#'!B:B, 0)), "NoXtal", "Xtal")</f>
        <v>NoXtal</v>
      </c>
      <c r="AP410" s="3">
        <f t="shared" si="277"/>
        <v>1</v>
      </c>
      <c r="AQ410" s="3">
        <f t="shared" si="278"/>
        <v>1</v>
      </c>
      <c r="AR410" s="3" t="str">
        <f t="shared" si="279"/>
        <v>-</v>
      </c>
      <c r="AS410" s="3" t="str">
        <f t="shared" si="280"/>
        <v>-</v>
      </c>
      <c r="AT410" s="3">
        <f t="shared" si="281"/>
        <v>3</v>
      </c>
      <c r="AU410" s="3">
        <f t="shared" si="282"/>
        <v>1</v>
      </c>
      <c r="AV410" s="3" t="str">
        <f t="shared" si="283"/>
        <v>-</v>
      </c>
      <c r="AW410" s="3" t="str">
        <f t="shared" si="284"/>
        <v>-</v>
      </c>
      <c r="AX410" s="3">
        <f t="shared" si="285"/>
        <v>10</v>
      </c>
      <c r="AY410" s="3">
        <f t="shared" si="286"/>
        <v>5</v>
      </c>
      <c r="AZ410" s="3">
        <f t="shared" si="287"/>
        <v>1</v>
      </c>
      <c r="BA410" s="3">
        <f>IF(ISERROR(LEN(VLOOKUP(A410,Seqs!A:E,2,FALSE))-AL410),"-",LEN(VLOOKUP(A410,Seqs!A:E,2,FALSE))-AL410)</f>
        <v>5</v>
      </c>
      <c r="BB410" s="16">
        <f t="shared" si="288"/>
        <v>31</v>
      </c>
      <c r="BC410" s="9">
        <f t="shared" si="289"/>
        <v>20</v>
      </c>
      <c r="BD410" s="3">
        <f t="shared" si="290"/>
        <v>31</v>
      </c>
      <c r="BE410" s="3">
        <f t="shared" si="291"/>
        <v>53</v>
      </c>
      <c r="BF410" s="3">
        <f t="shared" si="276"/>
        <v>35</v>
      </c>
    </row>
    <row r="411" spans="1:58" s="3" customFormat="1" x14ac:dyDescent="0.2">
      <c r="A411" s="3" t="s">
        <v>470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71"/>
        <v>36</v>
      </c>
      <c r="F411" s="3">
        <f t="shared" si="272"/>
        <v>37</v>
      </c>
      <c r="G411" s="3">
        <v>39</v>
      </c>
      <c r="H411" s="3">
        <f t="shared" si="273"/>
        <v>40</v>
      </c>
      <c r="I411" s="3">
        <f t="shared" si="273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77</v>
      </c>
      <c r="P411" s="3">
        <v>103</v>
      </c>
      <c r="Q411" s="3">
        <f>VLOOKUP($A411,'SegEnds_NonXtal_BW#'!$A:$Z,12,FALSE)+VLOOKUP($A411,A:AL,16,FALSE)-50</f>
        <v>109</v>
      </c>
      <c r="R411" s="3">
        <f t="shared" si="274"/>
        <v>112</v>
      </c>
      <c r="S411" s="3">
        <v>112</v>
      </c>
      <c r="T411" s="100">
        <f t="shared" si="275"/>
        <v>119</v>
      </c>
      <c r="U411" s="9">
        <f>IF(ISERROR(VLOOKUP($A411,'SegEnds_NonXtal_BW#'!$A:$Z,15,FALSE)+VLOOKUP($A411,A:AL,22,FALSE)-50),"-",VLOOKUP($A411,'SegEnds_NonXtal_BW#'!$A:$Z,15,FALSE)+VLOOKUP($A411,A:AL,22,FALSE)-50)</f>
        <v>120</v>
      </c>
      <c r="V411" s="3">
        <v>132</v>
      </c>
      <c r="W411" s="3">
        <f>IF(ISERROR(VLOOKUP($A411,'SegEnds_NonXtal_BW#'!$A:$Z,16,FALSE)+VLOOKUP($A411,A:AL,22,FALSE)-50),"-",(VLOOKUP($A411,'SegEnds_NonXtal_BW#'!$A:$Z,16,FALSE)+VLOOKUP($A411,A:AL,22,FALSE)-50))</f>
        <v>146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168</v>
      </c>
      <c r="AB411" s="3">
        <v>186</v>
      </c>
      <c r="AC411" s="3">
        <f>IF(ISERROR((VLOOKUP($A411,'SegEnds_NonXtal_BW#'!$A:$Z,20,FALSE)+VLOOKUP($A411,A:AL,28,FALSE)-50)),"-",(VLOOKUP($A411,'SegEnds_NonXtal_BW#'!$A:$Z,20,FALSE)+VLOOKUP($A411,A:AL,28,FALSE)-50))</f>
        <v>208</v>
      </c>
      <c r="AD411" s="3">
        <f>IF(ISERROR(VLOOKUP($A411,'SegEnds_NonXtal_BW#'!$A:$Z,21,FALSE)+VLOOKUP($A411,A:AL,31,FALSE)-50),"-",(VLOOKUP($A411,'SegEnds_NonXtal_BW#'!$A:$Z,21,FALSE)+VLOOKUP($A411,A:AL,31,FALSE)-50))</f>
        <v>218</v>
      </c>
      <c r="AE411" s="3">
        <v>239</v>
      </c>
      <c r="AF411" s="3">
        <f>IF(ISERROR((VLOOKUP($A411,'SegEnds_NonXtal_BW#'!$A:$Z,22,FALSE)+VLOOKUP($A411,A:AL,31,FALSE)-50)),"-",(VLOOKUP($A411,'SegEnds_NonXtal_BW#'!$A:$Z,22,FALSE)+VLOOKUP($A411,A:AL,31,FALSE)-50))</f>
        <v>250</v>
      </c>
      <c r="AG411" s="3">
        <f>IF(ISERROR(VLOOKUP($A411,'SegEnds_NonXtal_BW#'!$A:$Z,23,FALSE)+VLOOKUP($A411,A:AL,34,FALSE)-50),"-",(VLOOKUP($A411,'SegEnds_NonXtal_BW#'!$A:$Z,23,FALSE)+VLOOKUP($A411,A:AL,34,FALSE)-50))</f>
        <v>255</v>
      </c>
      <c r="AH411" s="3">
        <v>274</v>
      </c>
      <c r="AI411" s="3">
        <f>IF(ISERROR((VLOOKUP($A411,'SegEnds_NonXtal_BW#'!$A:$Z,24,FALSE)+VLOOKUP($A411,A:AL,34,FALSE)-50)),"-",(VLOOKUP($A411,'SegEnds_NonXtal_BW#'!$A:$Z,24,FALSE)+VLOOKUP($A411,A:AL,34,FALSE)-50))</f>
        <v>280</v>
      </c>
      <c r="AJ411" s="3">
        <f>IF(ISERROR(VLOOKUP($A411,'SegEnds_NonXtal_BW#'!$A:$Z,25,FALSE)+VLOOKUP($A411,A:AL,37,FALSE)-50),"-",(VLOOKUP($A411,'SegEnds_NonXtal_BW#'!$A:$Z,25,FALSE)+VLOOKUP($A411,A:AL,37,FALSE)-50))</f>
        <v>281</v>
      </c>
      <c r="AK411" s="3">
        <v>284</v>
      </c>
      <c r="AL411" s="3">
        <f>IF(ISERROR((VLOOKUP($A411,'SegEnds_NonXtal_BW#'!$A:$Z,26,FALSE)+VLOOKUP($A411,A:AL,37,FALSE)-50)),"-",(VLOOKUP($A411,'SegEnds_NonXtal_BW#'!$A:$Z,26,FALSE)+VLOOKUP($A411,A:AL,37,FALSE)-50))</f>
        <v>294</v>
      </c>
      <c r="AM411" s="28" t="str">
        <f>VLOOKUP(A411,Classification!A:B,2,FALSE)</f>
        <v>T</v>
      </c>
      <c r="AN411" s="28" t="b">
        <f t="shared" si="292"/>
        <v>1</v>
      </c>
      <c r="AO411" s="3" t="str">
        <f>IF(ISERROR(MATCH(A411,'SegEnds_Xtal_Prot#'!B:B, 0)), "NoXtal", "Xtal")</f>
        <v>NoXtal</v>
      </c>
      <c r="AP411" s="3">
        <f t="shared" si="277"/>
        <v>1</v>
      </c>
      <c r="AQ411" s="3">
        <f t="shared" si="278"/>
        <v>1</v>
      </c>
      <c r="AR411" s="3" t="str">
        <f t="shared" si="279"/>
        <v>-</v>
      </c>
      <c r="AS411" s="3" t="str">
        <f t="shared" si="280"/>
        <v>-</v>
      </c>
      <c r="AT411" s="3">
        <f t="shared" si="281"/>
        <v>3</v>
      </c>
      <c r="AU411" s="3">
        <f t="shared" si="282"/>
        <v>1</v>
      </c>
      <c r="AV411" s="3" t="str">
        <f t="shared" si="283"/>
        <v>-</v>
      </c>
      <c r="AW411" s="3" t="str">
        <f t="shared" si="284"/>
        <v>-</v>
      </c>
      <c r="AX411" s="3">
        <f t="shared" si="285"/>
        <v>10</v>
      </c>
      <c r="AY411" s="3">
        <f t="shared" si="286"/>
        <v>5</v>
      </c>
      <c r="AZ411" s="3">
        <f t="shared" si="287"/>
        <v>1</v>
      </c>
      <c r="BA411" s="3">
        <f>IF(ISERROR(LEN(VLOOKUP(A411,Seqs!A:E,2,FALSE))-AL411),"-",LEN(VLOOKUP(A411,Seqs!A:E,2,FALSE))-AL411)</f>
        <v>5</v>
      </c>
      <c r="BB411" s="16">
        <f t="shared" si="288"/>
        <v>31</v>
      </c>
      <c r="BC411" s="9">
        <f t="shared" si="289"/>
        <v>20</v>
      </c>
      <c r="BD411" s="3">
        <f t="shared" si="290"/>
        <v>31</v>
      </c>
      <c r="BE411" s="3">
        <f t="shared" si="291"/>
        <v>53</v>
      </c>
      <c r="BF411" s="3">
        <f t="shared" si="276"/>
        <v>35</v>
      </c>
    </row>
    <row r="412" spans="1:58" s="3" customFormat="1" x14ac:dyDescent="0.2">
      <c r="A412" s="3" t="s">
        <v>471</v>
      </c>
      <c r="B412" s="3" t="str">
        <f>LOWER(VLOOKUP(A412,Xtal_Templ!A:B,2,FALSE))</f>
        <v>cxcr4_human</v>
      </c>
      <c r="C412" s="3">
        <f>VLOOKUP($A412,'SegEnds_NonXtal_BW#'!$A:$Z,3,FALSE)+D412-50</f>
        <v>6</v>
      </c>
      <c r="D412" s="3">
        <v>24</v>
      </c>
      <c r="E412" s="3">
        <f t="shared" si="271"/>
        <v>36</v>
      </c>
      <c r="F412" s="3">
        <f t="shared" si="272"/>
        <v>37</v>
      </c>
      <c r="G412" s="3">
        <v>39</v>
      </c>
      <c r="H412" s="3">
        <f t="shared" si="273"/>
        <v>40</v>
      </c>
      <c r="I412" s="3">
        <f t="shared" si="273"/>
        <v>41</v>
      </c>
      <c r="J412" s="3">
        <v>55</v>
      </c>
      <c r="K412" s="3">
        <f>VLOOKUP($A412,'SegEnds_NonXtal_BW#'!$A:$Z,8,FALSE)+VLOOKUP($A412,A:AL,10,FALSE)-50</f>
        <v>72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78</v>
      </c>
      <c r="P412" s="3">
        <v>107</v>
      </c>
      <c r="Q412" s="3">
        <f>VLOOKUP($A412,'SegEnds_NonXtal_BW#'!$A:$Z,12,FALSE)+VLOOKUP($A412,A:AL,16,FALSE)-50</f>
        <v>113</v>
      </c>
      <c r="R412" s="3">
        <f t="shared" si="274"/>
        <v>116</v>
      </c>
      <c r="S412" s="3">
        <v>116</v>
      </c>
      <c r="T412" s="100">
        <f t="shared" si="275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150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174</v>
      </c>
      <c r="AB412" s="3">
        <v>192</v>
      </c>
      <c r="AC412" s="3">
        <f>IF(ISERROR((VLOOKUP($A412,'SegEnds_NonXtal_BW#'!$A:$Z,20,FALSE)+VLOOKUP($A412,A:AL,28,FALSE)-50)),"-",(VLOOKUP($A412,'SegEnds_NonXtal_BW#'!$A:$Z,20,FALSE)+VLOOKUP($A412,A:AL,28,FALSE)-50))</f>
        <v>214</v>
      </c>
      <c r="AD412" s="3">
        <f>IF(ISERROR(VLOOKUP($A412,'SegEnds_NonXtal_BW#'!$A:$Z,21,FALSE)+VLOOKUP($A412,A:AL,31,FALSE)-50),"-",(VLOOKUP($A412,'SegEnds_NonXtal_BW#'!$A:$Z,21,FALSE)+VLOOKUP($A412,A:AL,31,FALSE)-50))</f>
        <v>224</v>
      </c>
      <c r="AE412" s="3">
        <v>245</v>
      </c>
      <c r="AF412" s="3">
        <f>IF(ISERROR((VLOOKUP($A412,'SegEnds_NonXtal_BW#'!$A:$Z,22,FALSE)+VLOOKUP($A412,A:AL,31,FALSE)-50)),"-",(VLOOKUP($A412,'SegEnds_NonXtal_BW#'!$A:$Z,22,FALSE)+VLOOKUP($A412,A:AL,31,FALSE)-50))</f>
        <v>256</v>
      </c>
      <c r="AG412" s="3">
        <f>IF(ISERROR(VLOOKUP($A412,'SegEnds_NonXtal_BW#'!$A:$Z,23,FALSE)+VLOOKUP($A412,A:AL,34,FALSE)-50),"-",(VLOOKUP($A412,'SegEnds_NonXtal_BW#'!$A:$Z,23,FALSE)+VLOOKUP($A412,A:AL,34,FALSE)-50))</f>
        <v>262</v>
      </c>
      <c r="AH412" s="3">
        <v>281</v>
      </c>
      <c r="AI412" s="3">
        <f>IF(ISERROR((VLOOKUP($A412,'SegEnds_NonXtal_BW#'!$A:$Z,24,FALSE)+VLOOKUP($A412,A:AL,34,FALSE)-50)),"-",(VLOOKUP($A412,'SegEnds_NonXtal_BW#'!$A:$Z,24,FALSE)+VLOOKUP($A412,A:AL,34,FALSE)-50))</f>
        <v>287</v>
      </c>
      <c r="AJ412" s="3">
        <f>IF(ISERROR(VLOOKUP($A412,'SegEnds_NonXtal_BW#'!$A:$Z,25,FALSE)+VLOOKUP($A412,A:AL,37,FALSE)-50),"-",(VLOOKUP($A412,'SegEnds_NonXtal_BW#'!$A:$Z,25,FALSE)+VLOOKUP($A412,A:AL,37,FALSE)-50))</f>
        <v>288</v>
      </c>
      <c r="AK412" s="3">
        <v>291</v>
      </c>
      <c r="AL412" s="3">
        <f>IF(ISERROR((VLOOKUP($A412,'SegEnds_NonXtal_BW#'!$A:$Z,26,FALSE)+VLOOKUP($A412,A:AL,37,FALSE)-50)),"-",(VLOOKUP($A412,'SegEnds_NonXtal_BW#'!$A:$Z,26,FALSE)+VLOOKUP($A412,A:AL,37,FALSE)-50))</f>
        <v>301</v>
      </c>
      <c r="AM412" s="28" t="str">
        <f>VLOOKUP(A412,Classification!A:B,2,FALSE)</f>
        <v>T</v>
      </c>
      <c r="AN412" s="28" t="b">
        <f t="shared" si="292"/>
        <v>1</v>
      </c>
      <c r="AO412" s="3" t="str">
        <f>IF(ISERROR(MATCH(A412,'SegEnds_Xtal_Prot#'!B:B, 0)), "NoXtal", "Xtal")</f>
        <v>NoXtal</v>
      </c>
      <c r="AP412" s="3">
        <f t="shared" si="277"/>
        <v>1</v>
      </c>
      <c r="AQ412" s="3">
        <f t="shared" si="278"/>
        <v>1</v>
      </c>
      <c r="AR412" s="3" t="str">
        <f t="shared" si="279"/>
        <v>-</v>
      </c>
      <c r="AS412" s="3" t="str">
        <f t="shared" si="280"/>
        <v>-</v>
      </c>
      <c r="AT412" s="3">
        <f t="shared" si="281"/>
        <v>3</v>
      </c>
      <c r="AU412" s="3">
        <f t="shared" si="282"/>
        <v>1</v>
      </c>
      <c r="AV412" s="3" t="str">
        <f t="shared" si="283"/>
        <v>-</v>
      </c>
      <c r="AW412" s="3" t="str">
        <f t="shared" si="284"/>
        <v>-</v>
      </c>
      <c r="AX412" s="3">
        <f t="shared" si="285"/>
        <v>10</v>
      </c>
      <c r="AY412" s="3">
        <f t="shared" si="286"/>
        <v>6</v>
      </c>
      <c r="AZ412" s="3">
        <f t="shared" si="287"/>
        <v>1</v>
      </c>
      <c r="BA412" s="3">
        <f>IF(ISERROR(LEN(VLOOKUP(A412,Seqs!A:E,2,FALSE))-AL412),"-",LEN(VLOOKUP(A412,Seqs!A:E,2,FALSE))-AL412)</f>
        <v>15</v>
      </c>
      <c r="BB412" s="16">
        <f t="shared" si="288"/>
        <v>31</v>
      </c>
      <c r="BC412" s="9">
        <f t="shared" si="289"/>
        <v>20</v>
      </c>
      <c r="BD412" s="3">
        <f t="shared" si="290"/>
        <v>31</v>
      </c>
      <c r="BE412" s="3">
        <f t="shared" si="291"/>
        <v>53</v>
      </c>
      <c r="BF412" s="3">
        <f t="shared" si="276"/>
        <v>36</v>
      </c>
    </row>
    <row r="413" spans="1:58" s="3" customFormat="1" x14ac:dyDescent="0.2">
      <c r="A413" s="3" t="s">
        <v>472</v>
      </c>
      <c r="B413" s="3" t="str">
        <f>LOWER(VLOOKUP(A413,Xtal_Templ!A:B,2,FALSE))</f>
        <v>5ht1b_human</v>
      </c>
      <c r="C413" s="3">
        <f>VLOOKUP($A413,'SegEnds_NonXtal_BW#'!$A:$Z,3,FALSE)+D413-50</f>
        <v>6</v>
      </c>
      <c r="D413" s="3">
        <v>24</v>
      </c>
      <c r="E413" s="3">
        <f t="shared" si="271"/>
        <v>36</v>
      </c>
      <c r="F413" s="3">
        <f t="shared" si="272"/>
        <v>37</v>
      </c>
      <c r="G413" s="3">
        <v>39</v>
      </c>
      <c r="H413" s="3">
        <f t="shared" si="273"/>
        <v>40</v>
      </c>
      <c r="I413" s="3">
        <f t="shared" si="273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106</v>
      </c>
      <c r="Q413" s="3">
        <f>VLOOKUP($A413,'SegEnds_NonXtal_BW#'!$A:$Z,12,FALSE)+VLOOKUP($A413,A:AL,16,FALSE)-50</f>
        <v>112</v>
      </c>
      <c r="R413" s="3">
        <f t="shared" si="274"/>
        <v>115</v>
      </c>
      <c r="S413" s="3">
        <v>115</v>
      </c>
      <c r="T413" s="100">
        <f t="shared" si="275"/>
        <v>122</v>
      </c>
      <c r="U413" s="9">
        <f>IF(ISERROR(VLOOKUP($A413,'SegEnds_NonXtal_BW#'!$A:$Z,15,FALSE)+VLOOKUP($A413,A:AL,22,FALSE)-50),"-",VLOOKUP($A413,'SegEnds_NonXtal_BW#'!$A:$Z,15,FALSE)+VLOOKUP($A413,A:AL,22,FALSE)-50)</f>
        <v>123</v>
      </c>
      <c r="V413" s="3">
        <v>135</v>
      </c>
      <c r="W413" s="3">
        <f>IF(ISERROR(VLOOKUP($A413,'SegEnds_NonXtal_BW#'!$A:$Z,16,FALSE)+VLOOKUP($A413,A:AL,22,FALSE)-50),"-",(VLOOKUP($A413,'SegEnds_NonXtal_BW#'!$A:$Z,16,FALSE)+VLOOKUP($A413,A:AL,22,FALSE)-50))</f>
        <v>148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170</v>
      </c>
      <c r="AB413" s="3">
        <v>188</v>
      </c>
      <c r="AC413" s="3">
        <f>IF(ISERROR((VLOOKUP($A413,'SegEnds_NonXtal_BW#'!$A:$Z,20,FALSE)+VLOOKUP($A413,A:AL,28,FALSE)-50)),"-",(VLOOKUP($A413,'SegEnds_NonXtal_BW#'!$A:$Z,20,FALSE)+VLOOKUP($A413,A:AL,28,FALSE)-50))</f>
        <v>210</v>
      </c>
      <c r="AD413" s="3">
        <f>IF(ISERROR(VLOOKUP($A413,'SegEnds_NonXtal_BW#'!$A:$Z,21,FALSE)+VLOOKUP($A413,A:AL,31,FALSE)-50),"-",(VLOOKUP($A413,'SegEnds_NonXtal_BW#'!$A:$Z,21,FALSE)+VLOOKUP($A413,A:AL,31,FALSE)-50))</f>
        <v>220</v>
      </c>
      <c r="AE413" s="3">
        <v>241</v>
      </c>
      <c r="AF413" s="3">
        <f>IF(ISERROR((VLOOKUP($A413,'SegEnds_NonXtal_BW#'!$A:$Z,22,FALSE)+VLOOKUP($A413,A:AL,31,FALSE)-50)),"-",(VLOOKUP($A413,'SegEnds_NonXtal_BW#'!$A:$Z,22,FALSE)+VLOOKUP($A413,A:AL,31,FALSE)-50))</f>
        <v>252</v>
      </c>
      <c r="AG413" s="3">
        <f>IF(ISERROR(VLOOKUP($A413,'SegEnds_NonXtal_BW#'!$A:$Z,23,FALSE)+VLOOKUP($A413,A:AL,34,FALSE)-50),"-",(VLOOKUP($A413,'SegEnds_NonXtal_BW#'!$A:$Z,23,FALSE)+VLOOKUP($A413,A:AL,34,FALSE)-50))</f>
        <v>258</v>
      </c>
      <c r="AH413" s="3">
        <v>277</v>
      </c>
      <c r="AI413" s="3">
        <f>IF(ISERROR((VLOOKUP($A413,'SegEnds_NonXtal_BW#'!$A:$Z,24,FALSE)+VLOOKUP($A413,A:AL,34,FALSE)-50)),"-",(VLOOKUP($A413,'SegEnds_NonXtal_BW#'!$A:$Z,24,FALSE)+VLOOKUP($A413,A:AL,34,FALSE)-50))</f>
        <v>283</v>
      </c>
      <c r="AJ413" s="3">
        <f>IF(ISERROR(VLOOKUP($A413,'SegEnds_NonXtal_BW#'!$A:$Z,25,FALSE)+VLOOKUP($A413,A:AL,37,FALSE)-50),"-",(VLOOKUP($A413,'SegEnds_NonXtal_BW#'!$A:$Z,25,FALSE)+VLOOKUP($A413,A:AL,37,FALSE)-50))</f>
        <v>284</v>
      </c>
      <c r="AK413" s="3">
        <v>287</v>
      </c>
      <c r="AL413" s="3">
        <f>IF(ISERROR((VLOOKUP($A413,'SegEnds_NonXtal_BW#'!$A:$Z,26,FALSE)+VLOOKUP($A413,A:AL,37,FALSE)-50)),"-",(VLOOKUP($A413,'SegEnds_NonXtal_BW#'!$A:$Z,26,FALSE)+VLOOKUP($A413,A:AL,37,FALSE)-50))</f>
        <v>297</v>
      </c>
      <c r="AM413" s="28" t="str">
        <f>VLOOKUP(A413,Classification!A:B,2,FALSE)</f>
        <v>T</v>
      </c>
      <c r="AN413" s="28" t="b">
        <f t="shared" si="292"/>
        <v>1</v>
      </c>
      <c r="AO413" s="3" t="str">
        <f>IF(ISERROR(MATCH(A413,'SegEnds_Xtal_Prot#'!B:B, 0)), "NoXtal", "Xtal")</f>
        <v>NoXtal</v>
      </c>
      <c r="AP413" s="3">
        <f t="shared" si="277"/>
        <v>1</v>
      </c>
      <c r="AQ413" s="3">
        <f t="shared" si="278"/>
        <v>1</v>
      </c>
      <c r="AR413" s="3" t="str">
        <f t="shared" si="279"/>
        <v>-</v>
      </c>
      <c r="AS413" s="3" t="str">
        <f t="shared" si="280"/>
        <v>-</v>
      </c>
      <c r="AT413" s="3">
        <f t="shared" si="281"/>
        <v>3</v>
      </c>
      <c r="AU413" s="3">
        <f t="shared" si="282"/>
        <v>1</v>
      </c>
      <c r="AV413" s="3" t="str">
        <f t="shared" si="283"/>
        <v>-</v>
      </c>
      <c r="AW413" s="3" t="str">
        <f t="shared" si="284"/>
        <v>-</v>
      </c>
      <c r="AX413" s="3">
        <f t="shared" si="285"/>
        <v>10</v>
      </c>
      <c r="AY413" s="3">
        <f t="shared" si="286"/>
        <v>6</v>
      </c>
      <c r="AZ413" s="3">
        <f t="shared" si="287"/>
        <v>1</v>
      </c>
      <c r="BA413" s="3">
        <f>IF(ISERROR(LEN(VLOOKUP(A413,Seqs!A:E,2,FALSE))-AL413),"-",LEN(VLOOKUP(A413,Seqs!A:E,2,FALSE))-AL413)</f>
        <v>2</v>
      </c>
      <c r="BB413" s="16">
        <f t="shared" si="288"/>
        <v>31</v>
      </c>
      <c r="BC413" s="9">
        <f t="shared" si="289"/>
        <v>20</v>
      </c>
      <c r="BD413" s="3">
        <f t="shared" si="290"/>
        <v>31</v>
      </c>
      <c r="BE413" s="3">
        <f t="shared" si="291"/>
        <v>53</v>
      </c>
      <c r="BF413" s="3">
        <f t="shared" si="276"/>
        <v>36</v>
      </c>
    </row>
    <row r="414" spans="1:58" s="3" customFormat="1" x14ac:dyDescent="0.2">
      <c r="A414" s="3" t="s">
        <v>473</v>
      </c>
      <c r="B414" s="3" t="str">
        <f>LOWER(VLOOKUP(A414,Xtal_Templ!A:B,2,FALSE))</f>
        <v>hrh1_human</v>
      </c>
      <c r="C414" s="3">
        <f>VLOOKUP($A414,'SegEnds_NonXtal_BW#'!$A:$Z,3,FALSE)+D414-50</f>
        <v>6</v>
      </c>
      <c r="D414" s="3">
        <v>24</v>
      </c>
      <c r="E414" s="3">
        <f t="shared" si="271"/>
        <v>36</v>
      </c>
      <c r="F414" s="3">
        <f t="shared" si="272"/>
        <v>37</v>
      </c>
      <c r="G414" s="3">
        <v>39</v>
      </c>
      <c r="H414" s="3">
        <f t="shared" si="273"/>
        <v>40</v>
      </c>
      <c r="I414" s="3">
        <f t="shared" si="273"/>
        <v>41</v>
      </c>
      <c r="J414" s="3">
        <v>55</v>
      </c>
      <c r="K414" s="3">
        <f>VLOOKUP($A414,'SegEnds_NonXtal_BW#'!$A:$Z,8,FALSE)+VLOOKUP($A414,A:AL,10,FALSE)-50</f>
        <v>71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77</v>
      </c>
      <c r="P414" s="3">
        <v>103</v>
      </c>
      <c r="Q414" s="3">
        <f>VLOOKUP($A414,'SegEnds_NonXtal_BW#'!$A:$Z,12,FALSE)+VLOOKUP($A414,A:AL,16,FALSE)-50</f>
        <v>109</v>
      </c>
      <c r="R414" s="3">
        <f t="shared" si="274"/>
        <v>112</v>
      </c>
      <c r="S414" s="3">
        <v>112</v>
      </c>
      <c r="T414" s="100">
        <f t="shared" si="275"/>
        <v>119</v>
      </c>
      <c r="U414" s="9">
        <f>IF(ISERROR(VLOOKUP($A414,'SegEnds_NonXtal_BW#'!$A:$Z,15,FALSE)+VLOOKUP($A414,A:AL,22,FALSE)-50),"-",VLOOKUP($A414,'SegEnds_NonXtal_BW#'!$A:$Z,15,FALSE)+VLOOKUP($A414,A:AL,22,FALSE)-50)</f>
        <v>120</v>
      </c>
      <c r="V414" s="3">
        <v>132</v>
      </c>
      <c r="W414" s="3">
        <f>IF(ISERROR(VLOOKUP($A414,'SegEnds_NonXtal_BW#'!$A:$Z,16,FALSE)+VLOOKUP($A414,A:AL,22,FALSE)-50),"-",(VLOOKUP($A414,'SegEnds_NonXtal_BW#'!$A:$Z,16,FALSE)+VLOOKUP($A414,A:AL,22,FALSE)-50))</f>
        <v>144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162</v>
      </c>
      <c r="AB414" s="3">
        <v>180</v>
      </c>
      <c r="AC414" s="3">
        <f>IF(ISERROR((VLOOKUP($A414,'SegEnds_NonXtal_BW#'!$A:$Z,20,FALSE)+VLOOKUP($A414,A:AL,28,FALSE)-50)),"-",(VLOOKUP($A414,'SegEnds_NonXtal_BW#'!$A:$Z,20,FALSE)+VLOOKUP($A414,A:AL,28,FALSE)-50))</f>
        <v>202</v>
      </c>
      <c r="AD414" s="3">
        <f>IF(ISERROR(VLOOKUP($A414,'SegEnds_NonXtal_BW#'!$A:$Z,21,FALSE)+VLOOKUP($A414,A:AL,31,FALSE)-50),"-",(VLOOKUP($A414,'SegEnds_NonXtal_BW#'!$A:$Z,21,FALSE)+VLOOKUP($A414,A:AL,31,FALSE)-50))</f>
        <v>212</v>
      </c>
      <c r="AE414" s="3">
        <v>233</v>
      </c>
      <c r="AF414" s="3">
        <f>IF(ISERROR((VLOOKUP($A414,'SegEnds_NonXtal_BW#'!$A:$Z,22,FALSE)+VLOOKUP($A414,A:AL,31,FALSE)-50)),"-",(VLOOKUP($A414,'SegEnds_NonXtal_BW#'!$A:$Z,22,FALSE)+VLOOKUP($A414,A:AL,31,FALSE)-50))</f>
        <v>244</v>
      </c>
      <c r="AG414" s="3">
        <f>IF(ISERROR(VLOOKUP($A414,'SegEnds_NonXtal_BW#'!$A:$Z,23,FALSE)+VLOOKUP($A414,A:AL,34,FALSE)-50),"-",(VLOOKUP($A414,'SegEnds_NonXtal_BW#'!$A:$Z,23,FALSE)+VLOOKUP($A414,A:AL,34,FALSE)-50))</f>
        <v>250</v>
      </c>
      <c r="AH414" s="3">
        <v>269</v>
      </c>
      <c r="AI414" s="3">
        <f>IF(ISERROR((VLOOKUP($A414,'SegEnds_NonXtal_BW#'!$A:$Z,24,FALSE)+VLOOKUP($A414,A:AL,34,FALSE)-50)),"-",(VLOOKUP($A414,'SegEnds_NonXtal_BW#'!$A:$Z,24,FALSE)+VLOOKUP($A414,A:AL,34,FALSE)-50))</f>
        <v>275</v>
      </c>
      <c r="AJ414" s="3">
        <f>IF(ISERROR(VLOOKUP($A414,'SegEnds_NonXtal_BW#'!$A:$Z,25,FALSE)+VLOOKUP($A414,A:AL,37,FALSE)-50),"-",(VLOOKUP($A414,'SegEnds_NonXtal_BW#'!$A:$Z,25,FALSE)+VLOOKUP($A414,A:AL,37,FALSE)-50))</f>
        <v>276</v>
      </c>
      <c r="AK414" s="3">
        <v>279</v>
      </c>
      <c r="AL414" s="3">
        <f>IF(ISERROR((VLOOKUP($A414,'SegEnds_NonXtal_BW#'!$A:$Z,26,FALSE)+VLOOKUP($A414,A:AL,37,FALSE)-50)),"-",(VLOOKUP($A414,'SegEnds_NonXtal_BW#'!$A:$Z,26,FALSE)+VLOOKUP($A414,A:AL,37,FALSE)-50))</f>
        <v>289</v>
      </c>
      <c r="AM414" s="28" t="str">
        <f>VLOOKUP(A414,Classification!A:B,2,FALSE)</f>
        <v>T</v>
      </c>
      <c r="AN414" s="28" t="b">
        <f t="shared" si="292"/>
        <v>1</v>
      </c>
      <c r="AO414" s="3" t="str">
        <f>IF(ISERROR(MATCH(A414,'SegEnds_Xtal_Prot#'!B:B, 0)), "NoXtal", "Xtal")</f>
        <v>NoXtal</v>
      </c>
      <c r="AP414" s="3">
        <f t="shared" si="277"/>
        <v>1</v>
      </c>
      <c r="AQ414" s="3">
        <f t="shared" si="278"/>
        <v>1</v>
      </c>
      <c r="AR414" s="3" t="str">
        <f t="shared" si="279"/>
        <v>-</v>
      </c>
      <c r="AS414" s="3" t="str">
        <f t="shared" si="280"/>
        <v>-</v>
      </c>
      <c r="AT414" s="3">
        <f t="shared" si="281"/>
        <v>3</v>
      </c>
      <c r="AU414" s="3">
        <f t="shared" si="282"/>
        <v>1</v>
      </c>
      <c r="AV414" s="3" t="str">
        <f t="shared" si="283"/>
        <v>-</v>
      </c>
      <c r="AW414" s="3" t="str">
        <f t="shared" si="284"/>
        <v>-</v>
      </c>
      <c r="AX414" s="3">
        <f t="shared" si="285"/>
        <v>10</v>
      </c>
      <c r="AY414" s="3">
        <f t="shared" si="286"/>
        <v>6</v>
      </c>
      <c r="AZ414" s="3">
        <f t="shared" si="287"/>
        <v>1</v>
      </c>
      <c r="BA414" s="3">
        <f>IF(ISERROR(LEN(VLOOKUP(A414,Seqs!A:E,2,FALSE))-AL414),"-",LEN(VLOOKUP(A414,Seqs!A:E,2,FALSE))-AL414)</f>
        <v>10</v>
      </c>
      <c r="BB414" s="16">
        <f t="shared" si="288"/>
        <v>31</v>
      </c>
      <c r="BC414" s="9">
        <f t="shared" si="289"/>
        <v>20</v>
      </c>
      <c r="BD414" s="3">
        <f t="shared" si="290"/>
        <v>31</v>
      </c>
      <c r="BE414" s="3">
        <f t="shared" si="291"/>
        <v>53</v>
      </c>
      <c r="BF414" s="3">
        <f t="shared" si="276"/>
        <v>36</v>
      </c>
    </row>
    <row r="415" spans="1:58" s="3" customFormat="1" x14ac:dyDescent="0.2">
      <c r="A415" s="3" t="s">
        <v>474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71"/>
        <v>36</v>
      </c>
      <c r="F415" s="3">
        <f t="shared" si="272"/>
        <v>37</v>
      </c>
      <c r="G415" s="3">
        <v>39</v>
      </c>
      <c r="H415" s="3">
        <f t="shared" si="273"/>
        <v>40</v>
      </c>
      <c r="I415" s="3">
        <f t="shared" si="273"/>
        <v>41</v>
      </c>
      <c r="J415" s="3">
        <v>55</v>
      </c>
      <c r="K415" s="3">
        <f>VLOOKUP($A415,'SegEnds_NonXtal_BW#'!$A:$Z,8,FALSE)+VLOOKUP($A415,A:AL,10,FALSE)-50</f>
        <v>72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78</v>
      </c>
      <c r="P415" s="3">
        <v>107</v>
      </c>
      <c r="Q415" s="3">
        <f>VLOOKUP($A415,'SegEnds_NonXtal_BW#'!$A:$Z,12,FALSE)+VLOOKUP($A415,A:AL,16,FALSE)-50</f>
        <v>113</v>
      </c>
      <c r="R415" s="3">
        <f t="shared" si="274"/>
        <v>116</v>
      </c>
      <c r="S415" s="3">
        <v>116</v>
      </c>
      <c r="T415" s="100">
        <f t="shared" si="275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92"/>
        <v>1</v>
      </c>
      <c r="AO415" s="3" t="str">
        <f>IF(ISERROR(MATCH(A415,'SegEnds_Xtal_Prot#'!B:B, 0)), "NoXtal", "Xtal")</f>
        <v>NoXtal</v>
      </c>
      <c r="AP415" s="3">
        <f t="shared" si="277"/>
        <v>1</v>
      </c>
      <c r="AQ415" s="3">
        <f t="shared" si="278"/>
        <v>1</v>
      </c>
      <c r="AR415" s="3" t="str">
        <f t="shared" si="279"/>
        <v>-</v>
      </c>
      <c r="AS415" s="3" t="str">
        <f t="shared" si="280"/>
        <v>-</v>
      </c>
      <c r="AT415" s="3">
        <f t="shared" si="281"/>
        <v>3</v>
      </c>
      <c r="AU415" s="3">
        <f t="shared" si="282"/>
        <v>1</v>
      </c>
      <c r="AV415" s="3" t="str">
        <f t="shared" si="283"/>
        <v>-</v>
      </c>
      <c r="AW415" s="3" t="str">
        <f t="shared" si="284"/>
        <v>-</v>
      </c>
      <c r="AX415" s="3">
        <f t="shared" si="285"/>
        <v>10</v>
      </c>
      <c r="AY415" s="3">
        <f t="shared" si="286"/>
        <v>6</v>
      </c>
      <c r="AZ415" s="3">
        <f t="shared" si="287"/>
        <v>1</v>
      </c>
      <c r="BA415" s="3">
        <f>IF(ISERROR(LEN(VLOOKUP(A415,Seqs!A:E,2,FALSE))-AL415),"-",LEN(VLOOKUP(A415,Seqs!A:E,2,FALSE))-AL415)</f>
        <v>16</v>
      </c>
      <c r="BB415" s="16">
        <f t="shared" si="288"/>
        <v>31</v>
      </c>
      <c r="BC415" s="9">
        <f t="shared" si="289"/>
        <v>20</v>
      </c>
      <c r="BD415" s="3">
        <f t="shared" si="290"/>
        <v>31</v>
      </c>
      <c r="BE415" s="3">
        <f t="shared" si="291"/>
        <v>53</v>
      </c>
      <c r="BF415" s="3">
        <f t="shared" si="276"/>
        <v>36</v>
      </c>
    </row>
    <row r="416" spans="1:58" s="3" customFormat="1" x14ac:dyDescent="0.2">
      <c r="A416" s="3" t="s">
        <v>475</v>
      </c>
      <c r="B416" s="3" t="str">
        <f>LOWER(VLOOKUP(A416,Xtal_Templ!A:B,2,FALSE))</f>
        <v>drd2_human</v>
      </c>
      <c r="C416" s="3">
        <f>VLOOKUP($A416,'SegEnds_NonXtal_BW#'!$A:$Z,3,FALSE)+D416-50</f>
        <v>6</v>
      </c>
      <c r="D416" s="3">
        <v>24</v>
      </c>
      <c r="E416" s="3">
        <f t="shared" si="271"/>
        <v>36</v>
      </c>
      <c r="F416" s="3">
        <f t="shared" si="272"/>
        <v>37</v>
      </c>
      <c r="G416" s="3">
        <v>39</v>
      </c>
      <c r="H416" s="3">
        <f t="shared" si="273"/>
        <v>40</v>
      </c>
      <c r="I416" s="3">
        <f t="shared" si="273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74"/>
        <v>116</v>
      </c>
      <c r="S416" s="3">
        <v>116</v>
      </c>
      <c r="T416" s="100">
        <f t="shared" si="275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148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175</v>
      </c>
      <c r="AB416" s="3">
        <v>193</v>
      </c>
      <c r="AC416" s="3">
        <f>IF(ISERROR((VLOOKUP($A416,'SegEnds_NonXtal_BW#'!$A:$Z,20,FALSE)+VLOOKUP($A416,A:AL,28,FALSE)-50)),"-",(VLOOKUP($A416,'SegEnds_NonXtal_BW#'!$A:$Z,20,FALSE)+VLOOKUP($A416,A:AL,28,FALSE)-50))</f>
        <v>215</v>
      </c>
      <c r="AD416" s="3">
        <f>IF(ISERROR(VLOOKUP($A416,'SegEnds_NonXtal_BW#'!$A:$Z,21,FALSE)+VLOOKUP($A416,A:AL,31,FALSE)-50),"-",(VLOOKUP($A416,'SegEnds_NonXtal_BW#'!$A:$Z,21,FALSE)+VLOOKUP($A416,A:AL,31,FALSE)-50))</f>
        <v>225</v>
      </c>
      <c r="AE416" s="3">
        <v>246</v>
      </c>
      <c r="AF416" s="3">
        <f>IF(ISERROR((VLOOKUP($A416,'SegEnds_NonXtal_BW#'!$A:$Z,22,FALSE)+VLOOKUP($A416,A:AL,31,FALSE)-50)),"-",(VLOOKUP($A416,'SegEnds_NonXtal_BW#'!$A:$Z,22,FALSE)+VLOOKUP($A416,A:AL,31,FALSE)-50))</f>
        <v>257</v>
      </c>
      <c r="AG416" s="3">
        <f>IF(ISERROR(VLOOKUP($A416,'SegEnds_NonXtal_BW#'!$A:$Z,23,FALSE)+VLOOKUP($A416,A:AL,34,FALSE)-50),"-",(VLOOKUP($A416,'SegEnds_NonXtal_BW#'!$A:$Z,23,FALSE)+VLOOKUP($A416,A:AL,34,FALSE)-50))</f>
        <v>263</v>
      </c>
      <c r="AH416" s="3">
        <v>282</v>
      </c>
      <c r="AI416" s="3">
        <f>IF(ISERROR((VLOOKUP($A416,'SegEnds_NonXtal_BW#'!$A:$Z,24,FALSE)+VLOOKUP($A416,A:AL,34,FALSE)-50)),"-",(VLOOKUP($A416,'SegEnds_NonXtal_BW#'!$A:$Z,24,FALSE)+VLOOKUP($A416,A:AL,34,FALSE)-50))</f>
        <v>288</v>
      </c>
      <c r="AJ416" s="3">
        <f>IF(ISERROR(VLOOKUP($A416,'SegEnds_NonXtal_BW#'!$A:$Z,25,FALSE)+VLOOKUP($A416,A:AL,37,FALSE)-50),"-",(VLOOKUP($A416,'SegEnds_NonXtal_BW#'!$A:$Z,25,FALSE)+VLOOKUP($A416,A:AL,37,FALSE)-50))</f>
        <v>289</v>
      </c>
      <c r="AK416" s="3">
        <v>292</v>
      </c>
      <c r="AL416" s="3">
        <f>IF(ISERROR((VLOOKUP($A416,'SegEnds_NonXtal_BW#'!$A:$Z,26,FALSE)+VLOOKUP($A416,A:AL,37,FALSE)-50)),"-",(VLOOKUP($A416,'SegEnds_NonXtal_BW#'!$A:$Z,26,FALSE)+VLOOKUP($A416,A:AL,37,FALSE)-50))</f>
        <v>302</v>
      </c>
      <c r="AM416" s="28" t="str">
        <f>VLOOKUP(A416,Classification!A:B,2,FALSE)</f>
        <v>T</v>
      </c>
      <c r="AN416" s="28" t="b">
        <f t="shared" si="292"/>
        <v>1</v>
      </c>
      <c r="AO416" s="3" t="str">
        <f>IF(ISERROR(MATCH(A416,'SegEnds_Xtal_Prot#'!B:B, 0)), "NoXtal", "Xtal")</f>
        <v>NoXtal</v>
      </c>
      <c r="AP416" s="3">
        <f t="shared" si="277"/>
        <v>1</v>
      </c>
      <c r="AQ416" s="3">
        <f t="shared" si="278"/>
        <v>1</v>
      </c>
      <c r="AR416" s="3" t="str">
        <f t="shared" si="279"/>
        <v>-</v>
      </c>
      <c r="AS416" s="3" t="str">
        <f t="shared" si="280"/>
        <v>-</v>
      </c>
      <c r="AT416" s="3">
        <f t="shared" si="281"/>
        <v>3</v>
      </c>
      <c r="AU416" s="3">
        <f t="shared" si="282"/>
        <v>1</v>
      </c>
      <c r="AV416" s="3" t="str">
        <f t="shared" si="283"/>
        <v>-</v>
      </c>
      <c r="AW416" s="3" t="str">
        <f t="shared" si="284"/>
        <v>-</v>
      </c>
      <c r="AX416" s="3">
        <f t="shared" si="285"/>
        <v>10</v>
      </c>
      <c r="AY416" s="3">
        <f t="shared" si="286"/>
        <v>6</v>
      </c>
      <c r="AZ416" s="3">
        <f t="shared" si="287"/>
        <v>1</v>
      </c>
      <c r="BA416" s="3">
        <f>IF(ISERROR(LEN(VLOOKUP(A416,Seqs!A:E,2,FALSE))-AL416),"-",LEN(VLOOKUP(A416,Seqs!A:E,2,FALSE))-AL416)</f>
        <v>7</v>
      </c>
      <c r="BB416" s="16">
        <f t="shared" si="288"/>
        <v>31</v>
      </c>
      <c r="BC416" s="9">
        <f t="shared" si="289"/>
        <v>20</v>
      </c>
      <c r="BD416" s="3">
        <f t="shared" si="290"/>
        <v>31</v>
      </c>
      <c r="BE416" s="3">
        <f t="shared" si="291"/>
        <v>53</v>
      </c>
      <c r="BF416" s="3">
        <f t="shared" si="276"/>
        <v>36</v>
      </c>
    </row>
    <row r="417" spans="1:58" s="3" customFormat="1" x14ac:dyDescent="0.2">
      <c r="A417" s="3" t="s">
        <v>476</v>
      </c>
      <c r="B417" s="3" t="str">
        <f>LOWER(VLOOKUP(A417,Xtal_Templ!A:B,2,FALSE))</f>
        <v>agtr1_human</v>
      </c>
      <c r="C417" s="3">
        <f>VLOOKUP($A417,'SegEnds_NonXtal_BW#'!$A:$Z,3,FALSE)+D417-50</f>
        <v>6</v>
      </c>
      <c r="D417" s="3">
        <v>24</v>
      </c>
      <c r="E417" s="3">
        <f t="shared" si="271"/>
        <v>36</v>
      </c>
      <c r="F417" s="3">
        <f t="shared" si="272"/>
        <v>37</v>
      </c>
      <c r="G417" s="3">
        <v>39</v>
      </c>
      <c r="H417" s="3">
        <f t="shared" si="273"/>
        <v>40</v>
      </c>
      <c r="I417" s="3">
        <f t="shared" si="273"/>
        <v>41</v>
      </c>
      <c r="J417" s="3">
        <v>55</v>
      </c>
      <c r="K417" s="3">
        <f>VLOOKUP($A417,'SegEnds_NonXtal_BW#'!$A:$Z,8,FALSE)+VLOOKUP($A417,A:AL,10,FALSE)-50</f>
        <v>71</v>
      </c>
      <c r="L417" s="3" t="str">
        <f>IF(ISERROR(VLOOKUP($A417,'SegEnds_NonXtal_BW#'!$A:$Z,9,FALSE)+VLOOKUP($A417,A:AL,13,FALSE)-50),"-",(VLOOKUP($A417,'SegEnds_NonXtal_BW#'!$A:$Z,9,FALSE)+VLOOKUP($A417,A:AL,13,FALSE)-50))</f>
        <v>-</v>
      </c>
      <c r="M417" s="3" t="s">
        <v>23</v>
      </c>
      <c r="N417" s="3" t="str">
        <f>IF(ISERROR(VLOOKUP($A417,'SegEnds_NonXtal_BW#'!$A:$Z,10,FALSE)+VLOOKUP($A417,A:AL,13,FALSE)-50),"-",(VLOOKUP($A417,'SegEnds_NonXtal_BW#'!$A:$Z,10,FALSE)+VLOOKUP($A417,A:AL,13,FALSE)-50))</f>
        <v>-</v>
      </c>
      <c r="O417" s="3">
        <f>VLOOKUP($A417,'SegEnds_NonXtal_BW#'!$A:$Z,11,FALSE)+VLOOKUP($A417,A:AL,16,FALSE)-50</f>
        <v>75</v>
      </c>
      <c r="P417" s="3">
        <v>107</v>
      </c>
      <c r="Q417" s="3">
        <f>VLOOKUP($A417,'SegEnds_NonXtal_BW#'!$A:$Z,12,FALSE)+VLOOKUP($A417,A:AL,16,FALSE)-50</f>
        <v>113</v>
      </c>
      <c r="R417" s="3">
        <f t="shared" si="274"/>
        <v>116</v>
      </c>
      <c r="S417" s="3">
        <v>116</v>
      </c>
      <c r="T417" s="100">
        <f t="shared" si="275"/>
        <v>123</v>
      </c>
      <c r="U417" s="9">
        <f>IF(ISERROR(VLOOKUP($A417,'SegEnds_NonXtal_BW#'!$A:$Z,15,FALSE)+VLOOKUP($A417,A:AL,22,FALSE)-50),"-",VLOOKUP($A417,'SegEnds_NonXtal_BW#'!$A:$Z,15,FALSE)+VLOOKUP($A417,A:AL,22,FALSE)-50)</f>
        <v>124</v>
      </c>
      <c r="V417" s="3">
        <v>136</v>
      </c>
      <c r="W417" s="3">
        <f>IF(ISERROR(VLOOKUP($A417,'SegEnds_NonXtal_BW#'!$A:$Z,16,FALSE)+VLOOKUP($A417,A:AL,22,FALSE)-50),"-",(VLOOKUP($A417,'SegEnds_NonXtal_BW#'!$A:$Z,16,FALSE)+VLOOKUP($A417,A:AL,22,FALSE)-50))</f>
        <v>150</v>
      </c>
      <c r="X417" s="3" t="str">
        <f>IF(ISERROR(VLOOKUP($A417,'SegEnds_NonXtal_BW#'!$A:$Z,17,FALSE)+VLOOKUP($A417,A:AL,25,FALSE)-50),"-",(VLOOKUP($A417,'SegEnds_NonXtal_BW#'!$A:$Z,17,FALSE)+VLOOKUP($A417,A:AL,25,FALSE)-50))</f>
        <v>-</v>
      </c>
      <c r="Y417" s="3" t="s">
        <v>23</v>
      </c>
      <c r="Z417" s="3" t="str">
        <f>IF(ISERROR(VLOOKUP($A417,'SegEnds_NonXtal_BW#'!$A:$Z,18,FALSE)+VLOOKUP($A417,A:AL,25,FALSE)-50),"-",(VLOOKUP($A417,'SegEnds_NonXtal_BW#'!$A:$Z,18,FALSE)+VLOOKUP($A417,A:AL,25,FALSE)-50))</f>
        <v>-</v>
      </c>
      <c r="AA417" s="3">
        <f>IF(ISERROR(VLOOKUP($A417,'SegEnds_NonXtal_BW#'!$A:$Z,19,FALSE)+VLOOKUP($A417,A:AL,28,FALSE)-50),"-",(VLOOKUP($A417,'SegEnds_NonXtal_BW#'!$A:$Z,19,FALSE)+VLOOKUP($A417,A:AL,28,FALSE)-50))</f>
        <v>172</v>
      </c>
      <c r="AB417" s="3">
        <v>190</v>
      </c>
      <c r="AC417" s="3">
        <f>IF(ISERROR((VLOOKUP($A417,'SegEnds_NonXtal_BW#'!$A:$Z,20,FALSE)+VLOOKUP($A417,A:AL,28,FALSE)-50)),"-",(VLOOKUP($A417,'SegEnds_NonXtal_BW#'!$A:$Z,20,FALSE)+VLOOKUP($A417,A:AL,28,FALSE)-50))</f>
        <v>212</v>
      </c>
      <c r="AD417" s="3">
        <f>IF(ISERROR(VLOOKUP($A417,'SegEnds_NonXtal_BW#'!$A:$Z,21,FALSE)+VLOOKUP($A417,A:AL,31,FALSE)-50),"-",(VLOOKUP($A417,'SegEnds_NonXtal_BW#'!$A:$Z,21,FALSE)+VLOOKUP($A417,A:AL,31,FALSE)-50))</f>
        <v>222</v>
      </c>
      <c r="AE417" s="3">
        <v>243</v>
      </c>
      <c r="AF417" s="3">
        <f>IF(ISERROR((VLOOKUP($A417,'SegEnds_NonXtal_BW#'!$A:$Z,22,FALSE)+VLOOKUP($A417,A:AL,31,FALSE)-50)),"-",(VLOOKUP($A417,'SegEnds_NonXtal_BW#'!$A:$Z,22,FALSE)+VLOOKUP($A417,A:AL,31,FALSE)-50))</f>
        <v>254</v>
      </c>
      <c r="AG417" s="3">
        <f>IF(ISERROR(VLOOKUP($A417,'SegEnds_NonXtal_BW#'!$A:$Z,23,FALSE)+VLOOKUP($A417,A:AL,34,FALSE)-50),"-",(VLOOKUP($A417,'SegEnds_NonXtal_BW#'!$A:$Z,23,FALSE)+VLOOKUP($A417,A:AL,34,FALSE)-50))</f>
        <v>260</v>
      </c>
      <c r="AH417" s="3">
        <v>279</v>
      </c>
      <c r="AI417" s="3">
        <f>IF(ISERROR((VLOOKUP($A417,'SegEnds_NonXtal_BW#'!$A:$Z,24,FALSE)+VLOOKUP($A417,A:AL,34,FALSE)-50)),"-",(VLOOKUP($A417,'SegEnds_NonXtal_BW#'!$A:$Z,24,FALSE)+VLOOKUP($A417,A:AL,34,FALSE)-50))</f>
        <v>285</v>
      </c>
      <c r="AJ417" s="3">
        <f>IF(ISERROR(VLOOKUP($A417,'SegEnds_NonXtal_BW#'!$A:$Z,25,FALSE)+VLOOKUP($A417,A:AL,37,FALSE)-50),"-",(VLOOKUP($A417,'SegEnds_NonXtal_BW#'!$A:$Z,25,FALSE)+VLOOKUP($A417,A:AL,37,FALSE)-50))</f>
        <v>286</v>
      </c>
      <c r="AK417" s="3">
        <v>289</v>
      </c>
      <c r="AL417" s="3">
        <f>IF(ISERROR((VLOOKUP($A417,'SegEnds_NonXtal_BW#'!$A:$Z,26,FALSE)+VLOOKUP($A417,A:AL,37,FALSE)-50)),"-",(VLOOKUP($A417,'SegEnds_NonXtal_BW#'!$A:$Z,26,FALSE)+VLOOKUP($A417,A:AL,37,FALSE)-50))</f>
        <v>299</v>
      </c>
      <c r="AM417" s="28" t="str">
        <f>VLOOKUP(A417,Classification!A:B,2,FALSE)</f>
        <v>T</v>
      </c>
      <c r="AN417" s="28" t="b">
        <f t="shared" si="292"/>
        <v>1</v>
      </c>
      <c r="AO417" s="3" t="str">
        <f>IF(ISERROR(MATCH(A417,'SegEnds_Xtal_Prot#'!B:B, 0)), "NoXtal", "Xtal")</f>
        <v>NoXtal</v>
      </c>
      <c r="AP417" s="3">
        <f t="shared" si="277"/>
        <v>1</v>
      </c>
      <c r="AQ417" s="3">
        <f t="shared" si="278"/>
        <v>1</v>
      </c>
      <c r="AR417" s="3" t="str">
        <f t="shared" si="279"/>
        <v>-</v>
      </c>
      <c r="AS417" s="3" t="str">
        <f t="shared" si="280"/>
        <v>-</v>
      </c>
      <c r="AT417" s="3">
        <f t="shared" si="281"/>
        <v>3</v>
      </c>
      <c r="AU417" s="3">
        <f t="shared" si="282"/>
        <v>1</v>
      </c>
      <c r="AV417" s="3" t="str">
        <f t="shared" si="283"/>
        <v>-</v>
      </c>
      <c r="AW417" s="3" t="str">
        <f t="shared" si="284"/>
        <v>-</v>
      </c>
      <c r="AX417" s="3">
        <f t="shared" si="285"/>
        <v>10</v>
      </c>
      <c r="AY417" s="3">
        <f t="shared" si="286"/>
        <v>6</v>
      </c>
      <c r="AZ417" s="3">
        <f t="shared" si="287"/>
        <v>1</v>
      </c>
      <c r="BA417" s="3">
        <f>IF(ISERROR(LEN(VLOOKUP(A417,Seqs!A:E,2,FALSE))-AL417),"-",LEN(VLOOKUP(A417,Seqs!A:E,2,FALSE))-AL417)</f>
        <v>13</v>
      </c>
      <c r="BB417" s="16">
        <f t="shared" si="288"/>
        <v>31</v>
      </c>
      <c r="BC417" s="9">
        <f t="shared" si="289"/>
        <v>20</v>
      </c>
      <c r="BD417" s="3">
        <f t="shared" si="290"/>
        <v>31</v>
      </c>
      <c r="BE417" s="3">
        <f t="shared" si="291"/>
        <v>53</v>
      </c>
      <c r="BF417" s="3">
        <f t="shared" si="276"/>
        <v>36</v>
      </c>
    </row>
    <row r="418" spans="1:58" s="3" customFormat="1" x14ac:dyDescent="0.2">
      <c r="T418" s="100"/>
      <c r="U418" s="9"/>
      <c r="AM418" s="28"/>
      <c r="AN418" s="16"/>
      <c r="BB418" s="16"/>
      <c r="BC418" s="9"/>
    </row>
    <row r="419" spans="1:58" s="3" customFormat="1" x14ac:dyDescent="0.2">
      <c r="T419" s="100"/>
      <c r="U419" s="9"/>
      <c r="AM419" s="28"/>
      <c r="AN419" s="16"/>
      <c r="BB419" s="16"/>
      <c r="BC419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7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7">
    <cfRule type="expression" dxfId="22" priority="25">
      <formula>NOT(OR(C2&lt;E2,C2="-",E2="-"))</formula>
    </cfRule>
  </conditionalFormatting>
  <conditionalFormatting sqref="K2:L2 K3 K4:L417">
    <cfRule type="expression" dxfId="21" priority="29">
      <formula>NOT(OR(G2&lt;K2,G2="-",K2="-"))</formula>
    </cfRule>
  </conditionalFormatting>
  <conditionalFormatting sqref="N2:O2 N4:N18 O3:O18 N19:O417">
    <cfRule type="expression" dxfId="20" priority="31">
      <formula>NOT(OR(I2&lt;N2,I2="-",N2="-"))</formula>
    </cfRule>
  </conditionalFormatting>
  <conditionalFormatting sqref="Q2:R417">
    <cfRule type="expression" dxfId="19" priority="33">
      <formula>NOT(OR(K2&lt;Q2,K2="-",Q2="-"))</formula>
    </cfRule>
  </conditionalFormatting>
  <conditionalFormatting sqref="T2:U417">
    <cfRule type="expression" dxfId="18" priority="35">
      <formula>NOT(OR(M2&lt;T2,M2="-",T2="-"))</formula>
    </cfRule>
  </conditionalFormatting>
  <conditionalFormatting sqref="W2:X417">
    <cfRule type="expression" dxfId="17" priority="37">
      <formula>NOT(OR(O2&lt;W2,O2="-",W2="-"))</formula>
    </cfRule>
  </conditionalFormatting>
  <conditionalFormatting sqref="Z2:AA417">
    <cfRule type="expression" dxfId="16" priority="39">
      <formula>NOT(OR(Q2&lt;Z2,Q2="-",Z2="-"))</formula>
    </cfRule>
  </conditionalFormatting>
  <conditionalFormatting sqref="AC2:AD417">
    <cfRule type="expression" dxfId="15" priority="41">
      <formula>NOT(OR(S2&lt;AC2,S2="-",AC2="-"))</formula>
    </cfRule>
  </conditionalFormatting>
  <conditionalFormatting sqref="AF2:AG417">
    <cfRule type="expression" dxfId="14" priority="43">
      <formula>NOT(OR(U2&lt;AF2,U2="-",AF2="-"))</formula>
    </cfRule>
  </conditionalFormatting>
  <conditionalFormatting sqref="AI2:AJ417">
    <cfRule type="expression" dxfId="13" priority="45">
      <formula>NOT(OR(W2&lt;AI2,W2="-",AI2="-"))</formula>
    </cfRule>
  </conditionalFormatting>
  <conditionalFormatting sqref="AL2:AL417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20"/>
  <sheetViews>
    <sheetView zoomScale="120" zoomScaleNormal="120" zoomScalePageLayoutView="120" workbookViewId="0">
      <pane ySplit="1" topLeftCell="A326" activePane="bottomLeft" state="frozenSplit"/>
      <selection pane="bottomLeft" activeCell="B350" sqref="B350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1199</v>
      </c>
      <c r="C1" s="30" t="s">
        <v>99</v>
      </c>
      <c r="D1" s="30" t="s">
        <v>1222</v>
      </c>
      <c r="E1" s="30" t="s">
        <v>1465</v>
      </c>
      <c r="F1" s="55" t="s">
        <v>13</v>
      </c>
      <c r="G1" s="20" t="s">
        <v>5</v>
      </c>
      <c r="H1" s="4" t="s">
        <v>1359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1315</v>
      </c>
      <c r="P1" s="53" t="s">
        <v>1319</v>
      </c>
      <c r="Q1" s="53" t="s">
        <v>1362</v>
      </c>
      <c r="R1" s="20" t="s">
        <v>9</v>
      </c>
      <c r="S1" s="20" t="s">
        <v>1318</v>
      </c>
      <c r="T1" s="20" t="s">
        <v>12</v>
      </c>
      <c r="U1" s="20" t="s">
        <v>1320</v>
      </c>
      <c r="V1" s="26" t="s">
        <v>1305</v>
      </c>
      <c r="W1" s="30" t="s">
        <v>1306</v>
      </c>
      <c r="X1" s="30" t="s">
        <v>1307</v>
      </c>
      <c r="Y1" s="30" t="s">
        <v>1308</v>
      </c>
      <c r="Z1" s="30" t="s">
        <v>1309</v>
      </c>
      <c r="AA1" s="103" t="s">
        <v>1379</v>
      </c>
      <c r="AB1" s="26" t="s">
        <v>1310</v>
      </c>
      <c r="AC1" s="26" t="s">
        <v>1311</v>
      </c>
      <c r="AD1" s="26" t="s">
        <v>1312</v>
      </c>
      <c r="AE1" s="26" t="s">
        <v>1313</v>
      </c>
      <c r="AF1" s="30" t="s">
        <v>1314</v>
      </c>
      <c r="AG1" s="26" t="s">
        <v>1316</v>
      </c>
      <c r="AH1" s="30" t="s">
        <v>1317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ada2a_human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ada2a_human</v>
      </c>
      <c r="C10" s="2" t="str">
        <f>VLOOKUP(A10,Classification!A:D,2,FALSE)</f>
        <v>A</v>
      </c>
      <c r="D10" s="2" t="str">
        <f>IF(ISERROR(MATCH(A10,'SegEnds_Xtal_Prot#'!B:B, 0)), "NoXtal", "Xtal")</f>
        <v>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ada2c_human</v>
      </c>
      <c r="C11" s="2" t="str">
        <f>VLOOKUP(A11,Classification!A:D,2,FALSE)</f>
        <v>A</v>
      </c>
      <c r="D11" s="2" t="str">
        <f>IF(ISERROR(MATCH(A11,'SegEnds_Xtal_Prot#'!B:B, 0)), "NoXtal", "Xtal")</f>
        <v>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ada2a_human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ada2c_human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1465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mc4r_human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M</v>
      </c>
      <c r="AH34" s="49" t="str">
        <f>MID(VLOOKUP($A34,Seqs!$A:$B,2,FALSE),VLOOKUP($A34,'SegEnds_NonXtal_Prot#'!$A:$AL,28,FALSE),1)</f>
        <v>M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acm5_human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905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ada2b_human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ada2b_human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907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ada2c_human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ccr6_human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ccr6_human</v>
      </c>
      <c r="C94" s="2" t="str">
        <f>VLOOKUP(A94,Classification!A:D,2,FALSE)</f>
        <v>A</v>
      </c>
      <c r="D94" s="2" t="str">
        <f>IF(ISERROR(MATCH(A94,'SegEnds_Xtal_Prot#'!B:B, 0)), "NoXtal", "Xtal")</f>
        <v>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ccr6_human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ccr6_human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ccr6_human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1167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ada2b_human</v>
      </c>
      <c r="C114" s="2" t="str">
        <f>VLOOKUP(A114,Classification!A:D,2,FALSE)</f>
        <v>A</v>
      </c>
      <c r="D114" s="2" t="str">
        <f>IF(ISERROR(MATCH(A114,'SegEnds_Xtal_Prot#'!B:B, 0)), "NoXtal", "Xtal")</f>
        <v>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1690</v>
      </c>
      <c r="B118" s="2" t="str">
        <f>LOWER(VLOOKUP(A118,Xtal_Templ!A:B,2,FALSE))</f>
        <v>drd4_mouse</v>
      </c>
      <c r="C118" s="2" t="str">
        <f>VLOOKUP(A118,Classification!A:D,2,FALSE)</f>
        <v>A</v>
      </c>
      <c r="D118" s="2" t="str">
        <f>IF(ISERROR(MATCH(A118,'SegEnds_Xtal_Prot#'!B:B, 0)), "NoXtal", "Xtal")</f>
        <v>Xtal</v>
      </c>
      <c r="G118" s="2" t="s">
        <v>5</v>
      </c>
      <c r="H118" s="4"/>
      <c r="N118" s="2" t="s">
        <v>14</v>
      </c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L</v>
      </c>
      <c r="X118" s="49" t="str">
        <f>MID(VLOOKUP($A118,Seqs!$A:$B,2,FALSE),VLOOKUP($A118,'SegEnds_NonXtal_Prot#'!A:AL,10,FALSE)+7,1)</f>
        <v>V</v>
      </c>
      <c r="Y118" s="49" t="str">
        <f>MID(VLOOKUP($A118,Seqs!$A:$B,2,FALSE),VLOOKUP($A118,'SegEnds_NonXtal_Prot#'!A:AL,10,FALSE)+8,1)</f>
        <v>L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V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P</v>
      </c>
      <c r="AF118" s="49" t="str">
        <f>MID(VLOOKUP($A118,Seqs!$A:$B,2,FALSE),VLOOKUP($A118,'SegEnds_NonXtal_Prot#'!$A:$AL,22,FALSE)+10,1)</f>
        <v>V</v>
      </c>
      <c r="AG118" s="28" t="str">
        <f>MID(VLOOKUP($A118,Seqs!$A:$B,2,FALSE),VLOOKUP($A118,'SegEnds_NonXtal_Prot#'!$A:$AL,28,FALSE)-4,1)</f>
        <v>S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262</v>
      </c>
      <c r="B119" s="2" t="str">
        <f>LOWER(VLOOKUP(A119,Xtal_Templ!A:B,2,FALSE))</f>
        <v>5ht2c_human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T</v>
      </c>
      <c r="X119" s="49" t="str">
        <f>MID(VLOOKUP($A119,Seqs!$A:$B,2,FALSE),VLOOKUP($A119,'SegEnds_NonXtal_Prot#'!A:AL,10,FALSE)+7,1)</f>
        <v>L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M</v>
      </c>
      <c r="AC119" s="49" t="str">
        <f>MID(VLOOKUP($A119,Seqs!$A:$B,2,FALSE),VLOOKUP($A119,'SegEnds_NonXtal_Prot#'!$A:$AL,22,FALSE)+7,1)</f>
        <v>A</v>
      </c>
      <c r="AD119" s="49" t="str">
        <f>MID(VLOOKUP($A119,Seqs!$A:$B,2,FALSE),VLOOKUP($A119,'SegEnds_NonXtal_Prot#'!$A:$AL,22,FALSE)+8,1)</f>
        <v>S</v>
      </c>
      <c r="AE119" s="49" t="str">
        <f>MID(VLOOKUP($A119,Seqs!$A:$B,2,FALSE),VLOOKUP($A119,'SegEnds_NonXtal_Prot#'!$A:$AL,22,FALSE)+9,1)</f>
        <v>V</v>
      </c>
      <c r="AF119" s="49" t="str">
        <f>MID(VLOOKUP($A119,Seqs!$A:$B,2,FALSE),VLOOKUP($A119,'SegEnds_NonXtal_Prot#'!$A:$AL,22,FALSE)+10,1)</f>
        <v>P</v>
      </c>
      <c r="AG119" s="28" t="str">
        <f>MID(VLOOKUP($A119,Seqs!$A:$B,2,FALSE),VLOOKUP($A119,'SegEnds_NonXtal_Prot#'!$A:$AL,28,FALSE)-4,1)</f>
        <v>Y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263</v>
      </c>
      <c r="B120" s="2" t="str">
        <f>LOWER(VLOOKUP(A120,Xtal_Templ!A:B,2,FALSE))</f>
        <v>drd3_human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R120" s="2" t="s">
        <v>9</v>
      </c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S</v>
      </c>
      <c r="X120" s="49" t="str">
        <f>MID(VLOOKUP($A120,Seqs!$A:$B,2,FALSE),VLOOKUP($A120,'SegEnds_NonXtal_Prot#'!A:AL,10,FALSE)+7,1)</f>
        <v>I</v>
      </c>
      <c r="Y120" s="49" t="str">
        <f>MID(VLOOKUP($A120,Seqs!$A:$B,2,FALSE),VLOOKUP($A120,'SegEnds_NonXtal_Prot#'!A:AL,10,FALSE)+8,1)</f>
        <v>M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L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G</v>
      </c>
      <c r="AD120" s="49" t="str">
        <f>MID(VLOOKUP($A120,Seqs!$A:$B,2,FALSE),VLOOKUP($A120,'SegEnds_NonXtal_Prot#'!$A:$AL,22,FALSE)+8,1)</f>
        <v>A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S</v>
      </c>
      <c r="AG120" s="28" t="str">
        <f>MID(VLOOKUP($A120,Seqs!$A:$B,2,FALSE),VLOOKUP($A120,'SegEnds_NonXtal_Prot#'!$A:$AL,28,FALSE)-4,1)</f>
        <v>A</v>
      </c>
      <c r="AH120" s="49" t="str">
        <f>MID(VLOOKUP($A120,Seqs!$A:$B,2,FALSE),VLOOKUP($A120,'SegEnds_NonXtal_Prot#'!$A:$AL,28,FALSE),1)</f>
        <v>P</v>
      </c>
    </row>
    <row r="121" spans="1:34" s="2" customFormat="1" x14ac:dyDescent="0.2">
      <c r="A121" s="2" t="s">
        <v>265</v>
      </c>
      <c r="B121" s="2" t="str">
        <f>LOWER(VLOOKUP(A121,Xtal_Templ!A:B,2,FALSE))</f>
        <v>ccr6_human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V</v>
      </c>
      <c r="X121" s="49" t="str">
        <f>MID(VLOOKUP($A121,Seqs!$A:$B,2,FALSE),VLOOKUP($A121,'SegEnds_NonXtal_Prot#'!A:AL,10,FALSE)+7,1)</f>
        <v>T</v>
      </c>
      <c r="Y121" s="49" t="str">
        <f>MID(VLOOKUP($A121,Seqs!$A:$B,2,FALSE),VLOOKUP($A121,'SegEnds_NonXtal_Prot#'!A:AL,10,FALSE)+8,1)</f>
        <v>A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M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A</v>
      </c>
      <c r="AD121" s="49" t="str">
        <f>MID(VLOOKUP($A121,Seqs!$A:$B,2,FALSE),VLOOKUP($A121,'SegEnds_NonXtal_Prot#'!$A:$AL,22,FALSE)+8,1)</f>
        <v>T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A</v>
      </c>
      <c r="AG121" s="28" t="str">
        <f>MID(VLOOKUP($A121,Seqs!$A:$B,2,FALSE),VLOOKUP($A121,'SegEnds_NonXtal_Prot#'!$A:$AL,28,FALSE)-4,1)</f>
        <v>D</v>
      </c>
      <c r="AH121" s="49" t="str">
        <f>MID(VLOOKUP($A121,Seqs!$A:$B,2,FALSE),VLOOKUP($A121,'SegEnds_NonXtal_Prot#'!$A:$AL,28,FALSE),1)</f>
        <v>C</v>
      </c>
    </row>
    <row r="122" spans="1:34" s="2" customFormat="1" x14ac:dyDescent="0.2">
      <c r="A122" s="2" t="s">
        <v>272</v>
      </c>
      <c r="B122" s="2" t="str">
        <f>LOWER(VLOOKUP(A122,Xtal_Templ!A:B,2,FALSE))</f>
        <v>ox1r_human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R122" s="2" t="s">
        <v>9</v>
      </c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L</v>
      </c>
      <c r="X122" s="49" t="str">
        <f>MID(VLOOKUP($A122,Seqs!$A:$B,2,FALSE),VLOOKUP($A122,'SegEnds_NonXtal_Prot#'!A:AL,10,FALSE)+7,1)</f>
        <v>W</v>
      </c>
      <c r="Y122" s="49" t="str">
        <f>MID(VLOOKUP($A122,Seqs!$A:$B,2,FALSE),VLOOKUP($A122,'SegEnds_NonXtal_Prot#'!A:AL,10,FALSE)+8,1)</f>
        <v>M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Q</v>
      </c>
      <c r="AB122" s="28" t="str">
        <f>MID(VLOOKUP($A122,Seqs!$A:$B,2,FALSE),VLOOKUP($A122,'SegEnds_NonXtal_Prot#'!$A:$AL,22,FALSE)+6,1)</f>
        <v>L</v>
      </c>
      <c r="AC122" s="49" t="str">
        <f>MID(VLOOKUP($A122,Seqs!$A:$B,2,FALSE),VLOOKUP($A122,'SegEnds_NonXtal_Prot#'!$A:$AL,22,FALSE)+7,1)</f>
        <v>V</v>
      </c>
      <c r="AD122" s="49" t="str">
        <f>MID(VLOOKUP($A122,Seqs!$A:$B,2,FALSE),VLOOKUP($A122,'SegEnds_NonXtal_Prot#'!$A:$AL,22,FALSE)+8,1)</f>
        <v>L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L</v>
      </c>
      <c r="AG122" s="28" t="str">
        <f>MID(VLOOKUP($A122,Seqs!$A:$B,2,FALSE),VLOOKUP($A122,'SegEnds_NonXtal_Prot#'!$A:$AL,28,FALSE)-4,1)</f>
        <v>L</v>
      </c>
      <c r="AH122" s="49" t="str">
        <f>MID(VLOOKUP($A122,Seqs!$A:$B,2,FALSE),VLOOKUP($A122,'SegEnds_NonXtal_Prot#'!$A:$AL,28,FALSE),1)</f>
        <v>P</v>
      </c>
    </row>
    <row r="123" spans="1:34" s="2" customFormat="1" x14ac:dyDescent="0.2">
      <c r="A123" s="2" t="s">
        <v>365</v>
      </c>
      <c r="B123" s="2" t="str">
        <f>LOWER(VLOOKUP(A123,Xtal_Templ!A:B,2,FALSE))</f>
        <v>pe2r4_human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F</v>
      </c>
      <c r="X123" s="49" t="str">
        <f>MID(VLOOKUP($A123,Seqs!$A:$B,2,FALSE),VLOOKUP($A123,'SegEnds_NonXtal_Prot#'!A:AL,10,FALSE)+7,1)</f>
        <v>L</v>
      </c>
      <c r="Y123" s="49" t="str">
        <f>MID(VLOOKUP($A123,Seqs!$A:$B,2,FALSE),VLOOKUP($A123,'SegEnds_NonXtal_Prot#'!A:AL,10,FALSE)+8,1)</f>
        <v>S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A</v>
      </c>
      <c r="AB123" s="28" t="str">
        <f>MID(VLOOKUP($A123,Seqs!$A:$B,2,FALSE),VLOOKUP($A123,'SegEnds_NonXtal_Prot#'!$A:$AL,22,FALSE)+6,1)</f>
        <v>F</v>
      </c>
      <c r="AC123" s="49" t="str">
        <f>MID(VLOOKUP($A123,Seqs!$A:$B,2,FALSE),VLOOKUP($A123,'SegEnds_NonXtal_Prot#'!$A:$AL,22,FALSE)+7,1)</f>
        <v>C</v>
      </c>
      <c r="AD123" s="49" t="str">
        <f>MID(VLOOKUP($A123,Seqs!$A:$B,2,FALSE),VLOOKUP($A123,'SegEnds_NonXtal_Prot#'!$A:$AL,22,FALSE)+8,1)</f>
        <v>A</v>
      </c>
      <c r="AE123" s="49" t="str">
        <f>MID(VLOOKUP($A123,Seqs!$A:$B,2,FALSE),VLOOKUP($A123,'SegEnds_NonXtal_Prot#'!$A:$AL,22,FALSE)+9,1)</f>
        <v>L</v>
      </c>
      <c r="AF123" s="49" t="str">
        <f>MID(VLOOKUP($A123,Seqs!$A:$B,2,FALSE),VLOOKUP($A123,'SegEnds_NonXtal_Prot#'!$A:$AL,22,FALSE)+10,1)</f>
        <v>P</v>
      </c>
      <c r="AG123" s="28" t="str">
        <f>MID(VLOOKUP($A123,Seqs!$A:$B,2,FALSE),VLOOKUP($A123,'SegEnds_NonXtal_Prot#'!$A:$AL,28,FALSE)-4,1)</f>
        <v>A</v>
      </c>
      <c r="AH123" s="49" t="str">
        <f>MID(VLOOKUP($A123,Seqs!$A:$B,2,FALSE),VLOOKUP($A123,'SegEnds_NonXtal_Prot#'!$A:$AL,28,FALSE),1)</f>
        <v>A</v>
      </c>
    </row>
    <row r="124" spans="1:34" s="2" customFormat="1" x14ac:dyDescent="0.2">
      <c r="A124" s="2" t="s">
        <v>195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NoXtal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L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I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I</v>
      </c>
      <c r="X125" s="49" t="str">
        <f>MID(VLOOKUP($A125,Seqs!$A:$B,2,FALSE),VLOOKUP($A125,'SegEnds_NonXtal_Prot#'!A:AL,10,FALSE)+7,1)</f>
        <v>D</v>
      </c>
      <c r="Y125" s="49" t="str">
        <f>MID(VLOOKUP($A125,Seqs!$A:$B,2,FALSE),VLOOKUP($A125,'SegEnds_NonXtal_Prot#'!A:AL,10,FALSE)+8,1)</f>
        <v>I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3" t="s">
        <v>1692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I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V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254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R127" s="2" t="s">
        <v>9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F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L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L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L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Y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273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A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I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F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316</v>
      </c>
      <c r="B129" s="2" t="str">
        <f>LOWER(VLOOKUP(A129,Xtal_Templ!A:B,2,FALSE))</f>
        <v>ednrb_human</v>
      </c>
      <c r="C129" s="2" t="str">
        <f>VLOOKUP(A129,Classification!A:D,2,FALSE)</f>
        <v>A</v>
      </c>
      <c r="D129" s="2" t="str">
        <f>IF(ISERROR(MATCH(A129,'SegEnds_Xtal_Prot#'!B:B, 0)), "NoXtal", "Xtal")</f>
        <v>NoXtal</v>
      </c>
      <c r="G129" s="2" t="s">
        <v>5</v>
      </c>
      <c r="H129" s="4"/>
      <c r="N129" s="2" t="s">
        <v>14</v>
      </c>
      <c r="R129" s="2" t="s">
        <v>9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T</v>
      </c>
      <c r="X129" s="49" t="str">
        <f>MID(VLOOKUP($A129,Seqs!$A:$B,2,FALSE),VLOOKUP($A129,'SegEnds_NonXtal_Prot#'!A:AL,10,FALSE)+7,1)</f>
        <v>C</v>
      </c>
      <c r="Y129" s="49" t="str">
        <f>MID(VLOOKUP($A129,Seqs!$A:$B,2,FALSE),VLOOKUP($A129,'SegEnds_NonXtal_Prot#'!A:AL,10,FALSE)+8,1)</f>
        <v>V</v>
      </c>
      <c r="Z129" s="49" t="str">
        <f>MID(VLOOKUP($A129,Seqs!$A:$B,2,FALSE),VLOOKUP($A129,'SegEnds_NonXtal_Prot#'!A:AL,10,FALSE)+9,1)</f>
        <v>P</v>
      </c>
      <c r="AA129" s="49" t="str">
        <f>MID(VLOOKUP($A129,Seqs!$A:$B,2,FALSE),VLOOKUP($A129,'SegEnds_NonXtal_Prot#'!A:AL,10,FALSE)+10,1)</f>
        <v>V</v>
      </c>
      <c r="AB129" s="28" t="str">
        <f>MID(VLOOKUP($A129,Seqs!$A:$B,2,FALSE),VLOOKUP($A129,'SegEnds_NonXtal_Prot#'!$A:$AL,22,FALSE)+6,1)</f>
        <v>L</v>
      </c>
      <c r="AC129" s="49" t="str">
        <f>MID(VLOOKUP($A129,Seqs!$A:$B,2,FALSE),VLOOKUP($A129,'SegEnds_NonXtal_Prot#'!$A:$AL,22,FALSE)+7,1)</f>
        <v>A</v>
      </c>
      <c r="AD129" s="49" t="str">
        <f>MID(VLOOKUP($A129,Seqs!$A:$B,2,FALSE),VLOOKUP($A129,'SegEnds_NonXtal_Prot#'!$A:$AL,22,FALSE)+8,1)</f>
        <v>V</v>
      </c>
      <c r="AE129" s="49" t="str">
        <f>MID(VLOOKUP($A129,Seqs!$A:$B,2,FALSE),VLOOKUP($A129,'SegEnds_NonXtal_Prot#'!$A:$AL,22,FALSE)+9,1)</f>
        <v>P</v>
      </c>
      <c r="AF129" s="49" t="str">
        <f>MID(VLOOKUP($A129,Seqs!$A:$B,2,FALSE),VLOOKUP($A129,'SegEnds_NonXtal_Prot#'!$A:$AL,22,FALSE)+10,1)</f>
        <v>E</v>
      </c>
      <c r="AG129" s="28" t="str">
        <f>MID(VLOOKUP($A129,Seqs!$A:$B,2,FALSE),VLOOKUP($A129,'SegEnds_NonXtal_Prot#'!$A:$AL,28,FALSE)-4,1)</f>
        <v>Y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1168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Xtal</v>
      </c>
      <c r="H130" s="4"/>
      <c r="R130" s="2" t="s">
        <v>9</v>
      </c>
      <c r="S130" s="2" t="s">
        <v>1318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S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L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L</v>
      </c>
      <c r="AD130" s="49" t="str">
        <f>MID(VLOOKUP($A130,Seqs!$A:$B,2,FALSE),VLOOKUP($A130,'SegEnds_NonXtal_Prot#'!$A:$AL,22,FALSE)+8,1)</f>
        <v>G</v>
      </c>
      <c r="AE130" s="49" t="str">
        <f>MID(VLOOKUP($A130,Seqs!$A:$B,2,FALSE),VLOOKUP($A130,'SegEnds_NonXtal_Prot#'!$A:$AL,22,FALSE)+9,1)</f>
        <v>L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197</v>
      </c>
      <c r="B131" s="2" t="str">
        <f>LOWER(VLOOKUP(A131,Xtal_Templ!A:B,2,FALSE))</f>
        <v>par2_human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H131" s="4"/>
      <c r="R131" s="2" t="s">
        <v>9</v>
      </c>
      <c r="S131" s="2" t="s">
        <v>1318</v>
      </c>
      <c r="T131" s="4" t="s">
        <v>12</v>
      </c>
      <c r="V131" s="28" t="str">
        <f>MID(VLOOKUP($A131,Seqs!$A:$B,2,FALSE),VLOOKUP($A131,'SegEnds_NonXtal_Prot#'!A:AL,10,FALSE),1)</f>
        <v>D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P</v>
      </c>
      <c r="Z131" s="49" t="str">
        <f>MID(VLOOKUP($A131,Seqs!$A:$B,2,FALSE),VLOOKUP($A131,'SegEnds_NonXtal_Prot#'!A:AL,10,FALSE)+9,1)</f>
        <v>F</v>
      </c>
      <c r="AA131" s="49" t="str">
        <f>MID(VLOOKUP($A131,Seqs!$A:$B,2,FALSE),VLOOKUP($A131,'SegEnds_NonXtal_Prot#'!A:AL,10,FALSE)+10,1)</f>
        <v>K</v>
      </c>
      <c r="AB131" s="28" t="str">
        <f>MID(VLOOKUP($A131,Seqs!$A:$B,2,FALSE),VLOOKUP($A131,'SegEnds_NonXtal_Prot#'!$A:$AL,22,FALSE)+6,1)</f>
        <v>H</v>
      </c>
      <c r="AC131" s="49" t="str">
        <f>MID(VLOOKUP($A131,Seqs!$A:$B,2,FALSE),VLOOKUP($A131,'SegEnds_NonXtal_Prot#'!$A:$AL,22,FALSE)+7,1)</f>
        <v>C</v>
      </c>
      <c r="AD131" s="49" t="str">
        <f>MID(VLOOKUP($A131,Seqs!$A:$B,2,FALSE),VLOOKUP($A131,'SegEnds_NonXtal_Prot#'!$A:$AL,22,FALSE)+8,1)</f>
        <v>T</v>
      </c>
      <c r="AE131" s="49" t="str">
        <f>MID(VLOOKUP($A131,Seqs!$A:$B,2,FALSE),VLOOKUP($A131,'SegEnds_NonXtal_Prot#'!$A:$AL,22,FALSE)+9,1)</f>
        <v>I</v>
      </c>
      <c r="AF131" s="49" t="str">
        <f>MID(VLOOKUP($A131,Seqs!$A:$B,2,FALSE),VLOOKUP($A131,'SegEnds_NonXtal_Prot#'!$A:$AL,22,FALSE)+10,1)</f>
        <v>V</v>
      </c>
      <c r="AG131" s="28" t="str">
        <f>MID(VLOOKUP($A131,Seqs!$A:$B,2,FALSE),VLOOKUP($A131,'SegEnds_NonXtal_Prot#'!$A:$AL,28,FALSE)-4,1)</f>
        <v>L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218</v>
      </c>
      <c r="B132" s="2" t="str">
        <f>LOWER(VLOOKUP(A132,Xtal_Templ!A:B,2,FALSE))</f>
        <v>ccr6_human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2" t="s">
        <v>5</v>
      </c>
      <c r="H132" s="4"/>
      <c r="R132" s="2" t="s">
        <v>9</v>
      </c>
      <c r="T132" s="4" t="s">
        <v>12</v>
      </c>
      <c r="V132" s="28" t="str">
        <f>MID(VLOOKUP($A132,Seqs!$A:$B,2,FALSE),VLOOKUP($A132,'SegEnds_NonXtal_Prot#'!A:AL,10,FALSE),1)</f>
        <v>A</v>
      </c>
      <c r="W132" s="49" t="str">
        <f>MID(VLOOKUP($A132,Seqs!$A:$B,2,FALSE),VLOOKUP($A132,'SegEnds_NonXtal_Prot#'!A:AL,10,FALSE)+6,1)</f>
        <v>L</v>
      </c>
      <c r="X132" s="49" t="str">
        <f>MID(VLOOKUP($A132,Seqs!$A:$B,2,FALSE),VLOOKUP($A132,'SegEnds_NonXtal_Prot#'!A:AL,10,FALSE)+7,1)</f>
        <v>L</v>
      </c>
      <c r="Y132" s="49" t="str">
        <f>MID(VLOOKUP($A132,Seqs!$A:$B,2,FALSE),VLOOKUP($A132,'SegEnds_NonXtal_Prot#'!A:AL,10,FALSE)+8,1)</f>
        <v>G</v>
      </c>
      <c r="Z132" s="49" t="str">
        <f>MID(VLOOKUP($A132,Seqs!$A:$B,2,FALSE),VLOOKUP($A132,'SegEnds_NonXtal_Prot#'!A:AL,10,FALSE)+9,1)</f>
        <v>P</v>
      </c>
      <c r="AA132" s="49" t="str">
        <f>MID(VLOOKUP($A132,Seqs!$A:$B,2,FALSE),VLOOKUP($A132,'SegEnds_NonXtal_Prot#'!A:AL,10,FALSE)+10,1)</f>
        <v>P</v>
      </c>
      <c r="AB132" s="28" t="str">
        <f>MID(VLOOKUP($A132,Seqs!$A:$B,2,FALSE),VLOOKUP($A132,'SegEnds_NonXtal_Prot#'!$A:$AL,22,FALSE)+6,1)</f>
        <v>T</v>
      </c>
      <c r="AC132" s="49" t="str">
        <f>MID(VLOOKUP($A132,Seqs!$A:$B,2,FALSE),VLOOKUP($A132,'SegEnds_NonXtal_Prot#'!$A:$AL,22,FALSE)+7,1)</f>
        <v>S</v>
      </c>
      <c r="AD132" s="49" t="str">
        <f>MID(VLOOKUP($A132,Seqs!$A:$B,2,FALSE),VLOOKUP($A132,'SegEnds_NonXtal_Prot#'!$A:$AL,22,FALSE)+8,1)</f>
        <v>F</v>
      </c>
      <c r="AE132" s="49" t="str">
        <f>MID(VLOOKUP($A132,Seqs!$A:$B,2,FALSE),VLOOKUP($A132,'SegEnds_NonXtal_Prot#'!$A:$AL,22,FALSE)+9,1)</f>
        <v>S</v>
      </c>
      <c r="AF132" s="49" t="str">
        <f>MID(VLOOKUP($A132,Seqs!$A:$B,2,FALSE),VLOOKUP($A132,'SegEnds_NonXtal_Prot#'!$A:$AL,22,FALSE)+10,1)</f>
        <v>S</v>
      </c>
      <c r="AG132" s="28" t="str">
        <f>MID(VLOOKUP($A132,Seqs!$A:$B,2,FALSE),VLOOKUP($A132,'SegEnds_NonXtal_Prot#'!$A:$AL,28,FALSE)-4,1)</f>
        <v>G</v>
      </c>
      <c r="AH132" s="49" t="str">
        <f>MID(VLOOKUP($A132,Seqs!$A:$B,2,FALSE),VLOOKUP($A132,'SegEnds_NonXtal_Prot#'!$A:$AL,28,FALSE),1)</f>
        <v>P</v>
      </c>
    </row>
    <row r="133" spans="1:34" s="2" customFormat="1" x14ac:dyDescent="0.2">
      <c r="A133" s="2" t="s">
        <v>225</v>
      </c>
      <c r="B133" s="2" t="str">
        <f>LOWER(VLOOKUP(A133,Xtal_Templ!A:B,2,FALSE))</f>
        <v>par1_human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N</v>
      </c>
      <c r="X133" s="49" t="str">
        <f>MID(VLOOKUP($A133,Seqs!$A:$B,2,FALSE),VLOOKUP($A133,'SegEnds_NonXtal_Prot#'!A:AL,10,FALSE)+7,1)</f>
        <v>I</v>
      </c>
      <c r="Y133" s="49" t="str">
        <f>MID(VLOOKUP($A133,Seqs!$A:$B,2,FALSE),VLOOKUP($A133,'SegEnds_NonXtal_Prot#'!A:AL,10,FALSE)+8,1)</f>
        <v>S</v>
      </c>
      <c r="Z133" s="49" t="str">
        <f>MID(VLOOKUP($A133,Seqs!$A:$B,2,FALSE),VLOOKUP($A133,'SegEnds_NonXtal_Prot#'!A:AL,10,FALSE)+9,1)</f>
        <v>I</v>
      </c>
      <c r="AA133" s="49" t="str">
        <f>MID(VLOOKUP($A133,Seqs!$A:$B,2,FALSE),VLOOKUP($A133,'SegEnds_NonXtal_Prot#'!A:AL,10,FALSE)+10,1)</f>
        <v>I</v>
      </c>
      <c r="AB133" s="28" t="str">
        <f>MID(VLOOKUP($A133,Seqs!$A:$B,2,FALSE),VLOOKUP($A133,'SegEnds_NonXtal_Prot#'!$A:$AL,22,FALSE)+6,1)</f>
        <v>Y</v>
      </c>
      <c r="AC133" s="49" t="str">
        <f>MID(VLOOKUP($A133,Seqs!$A:$B,2,FALSE),VLOOKUP($A133,'SegEnds_NonXtal_Prot#'!$A:$AL,22,FALSE)+7,1)</f>
        <v>V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G</v>
      </c>
      <c r="AF133" s="49" t="str">
        <f>MID(VLOOKUP($A133,Seqs!$A:$B,2,FALSE),VLOOKUP($A133,'SegEnds_NonXtal_Prot#'!$A:$AL,22,FALSE)+10,1)</f>
        <v>D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A</v>
      </c>
    </row>
    <row r="134" spans="1:34" s="2" customFormat="1" x14ac:dyDescent="0.2">
      <c r="A134" s="2" t="s">
        <v>244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NoXtal</v>
      </c>
      <c r="G134" s="2" t="s">
        <v>5</v>
      </c>
      <c r="H134" s="4"/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G</v>
      </c>
      <c r="X134" s="49" t="str">
        <f>MID(VLOOKUP($A134,Seqs!$A:$B,2,FALSE),VLOOKUP($A134,'SegEnds_NonXtal_Prot#'!A:AL,10,FALSE)+7,1)</f>
        <v>C</v>
      </c>
      <c r="Y134" s="49" t="str">
        <f>MID(VLOOKUP($A134,Seqs!$A:$B,2,FALSE),VLOOKUP($A134,'SegEnds_NonXtal_Prot#'!A:AL,10,FALSE)+8,1)</f>
        <v>I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L</v>
      </c>
      <c r="AB134" s="28" t="str">
        <f>MID(VLOOKUP($A134,Seqs!$A:$B,2,FALSE),VLOOKUP($A134,'SegEnds_NonXtal_Prot#'!$A:$AL,22,FALSE)+6,1)</f>
        <v>S</v>
      </c>
      <c r="AC134" s="49" t="str">
        <f>MID(VLOOKUP($A134,Seqs!$A:$B,2,FALSE),VLOOKUP($A134,'SegEnds_NonXtal_Prot#'!$A:$AL,22,FALSE)+7,1)</f>
        <v>F</v>
      </c>
      <c r="AD134" s="49" t="str">
        <f>MID(VLOOKUP($A134,Seqs!$A:$B,2,FALSE),VLOOKUP($A134,'SegEnds_NonXtal_Prot#'!$A:$AL,22,FALSE)+8,1)</f>
        <v>L</v>
      </c>
      <c r="AE134" s="49" t="str">
        <f>MID(VLOOKUP($A134,Seqs!$A:$B,2,FALSE),VLOOKUP($A134,'SegEnds_NonXtal_Prot#'!$A:$AL,22,FALSE)+9,1)</f>
        <v>I</v>
      </c>
      <c r="AF134" s="49" t="str">
        <f>MID(VLOOKUP($A134,Seqs!$A:$B,2,FALSE),VLOOKUP($A134,'SegEnds_NonXtal_Prot#'!$A:$AL,22,FALSE)+10,1)</f>
        <v>P</v>
      </c>
      <c r="AG134" s="28" t="str">
        <f>MID(VLOOKUP($A134,Seqs!$A:$B,2,FALSE),VLOOKUP($A134,'SegEnds_NonXtal_Prot#'!$A:$AL,28,FALSE)-4,1)</f>
        <v>I</v>
      </c>
      <c r="AH134" s="49" t="str">
        <f>MID(VLOOKUP($A134,Seqs!$A:$B,2,FALSE),VLOOKUP($A134,'SegEnds_NonXtal_Prot#'!$A:$AL,28,FALSE),1)</f>
        <v>T</v>
      </c>
    </row>
    <row r="135" spans="1:34" s="2" customFormat="1" x14ac:dyDescent="0.2">
      <c r="A135" s="2" t="s">
        <v>277</v>
      </c>
      <c r="B135" s="2" t="str">
        <f>LOWER(VLOOKUP(A135,Xtal_Templ!A:B,2,FALSE))</f>
        <v>hrh1_human</v>
      </c>
      <c r="C135" s="2" t="str">
        <f>VLOOKUP(A135,Classification!A:D,2,FALSE)</f>
        <v>A</v>
      </c>
      <c r="D135" s="2" t="str">
        <f>IF(ISERROR(MATCH(A135,'SegEnds_Xtal_Prot#'!B:B, 0)), "NoXtal", "Xtal")</f>
        <v>Xtal</v>
      </c>
      <c r="G135" s="2" t="s">
        <v>5</v>
      </c>
      <c r="H135" s="4"/>
      <c r="L135" s="2" t="s">
        <v>20</v>
      </c>
      <c r="R135" s="2" t="s">
        <v>9</v>
      </c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V</v>
      </c>
      <c r="X135" s="49" t="str">
        <f>MID(VLOOKUP($A135,Seqs!$A:$B,2,FALSE),VLOOKUP($A135,'SegEnds_NonXtal_Prot#'!A:AL,10,FALSE)+7,1)</f>
        <v>V</v>
      </c>
      <c r="Y135" s="49" t="str">
        <f>MID(VLOOKUP($A135,Seqs!$A:$B,2,FALSE),VLOOKUP($A135,'SegEnds_NonXtal_Prot#'!A:AL,10,FALSE)+8,1)</f>
        <v>M</v>
      </c>
      <c r="Z135" s="49" t="str">
        <f>MID(VLOOKUP($A135,Seqs!$A:$B,2,FALSE),VLOOKUP($A135,'SegEnds_NonXtal_Prot#'!A:AL,10,FALSE)+9,1)</f>
        <v>P</v>
      </c>
      <c r="AA135" s="49" t="str">
        <f>MID(VLOOKUP($A135,Seqs!$A:$B,2,FALSE),VLOOKUP($A135,'SegEnds_NonXtal_Prot#'!A:AL,10,FALSE)+10,1)</f>
        <v>M</v>
      </c>
      <c r="AB135" s="28" t="str">
        <f>MID(VLOOKUP($A135,Seqs!$A:$B,2,FALSE),VLOOKUP($A135,'SegEnds_NonXtal_Prot#'!$A:$AL,22,FALSE)+6,1)</f>
        <v>W</v>
      </c>
      <c r="AC135" s="49" t="str">
        <f>MID(VLOOKUP($A135,Seqs!$A:$B,2,FALSE),VLOOKUP($A135,'SegEnds_NonXtal_Prot#'!$A:$AL,22,FALSE)+7,1)</f>
        <v>V</v>
      </c>
      <c r="AD135" s="49" t="str">
        <f>MID(VLOOKUP($A135,Seqs!$A:$B,2,FALSE),VLOOKUP($A135,'SegEnds_NonXtal_Prot#'!$A:$AL,22,FALSE)+8,1)</f>
        <v>I</v>
      </c>
      <c r="AE135" s="49" t="str">
        <f>MID(VLOOKUP($A135,Seqs!$A:$B,2,FALSE),VLOOKUP($A135,'SegEnds_NonXtal_Prot#'!$A:$AL,22,FALSE)+9,1)</f>
        <v>P</v>
      </c>
      <c r="AF135" s="49" t="str">
        <f>MID(VLOOKUP($A135,Seqs!$A:$B,2,FALSE),VLOOKUP($A135,'SegEnds_NonXtal_Prot#'!$A:$AL,22,FALSE)+10,1)</f>
        <v>I</v>
      </c>
      <c r="AG135" s="28" t="str">
        <f>MID(VLOOKUP($A135,Seqs!$A:$B,2,FALSE),VLOOKUP($A135,'SegEnds_NonXtal_Prot#'!$A:$AL,28,FALSE)-4,1)</f>
        <v>N</v>
      </c>
      <c r="AH135" s="49" t="str">
        <f>MID(VLOOKUP($A135,Seqs!$A:$B,2,FALSE),VLOOKUP($A135,'SegEnds_NonXtal_Prot#'!$A:$AL,28,FALSE),1)</f>
        <v>P</v>
      </c>
    </row>
    <row r="136" spans="1:34" s="2" customFormat="1" x14ac:dyDescent="0.2">
      <c r="A136" s="2" t="s">
        <v>248</v>
      </c>
      <c r="B136" s="2" t="str">
        <f>LOWER(VLOOKUP(A136,Xtal_Templ!A:B,2,FALSE))</f>
        <v>mc4r_human</v>
      </c>
      <c r="C136" s="2" t="str">
        <f>VLOOKUP(A136,Classification!A:D,2,FALSE)</f>
        <v>A</v>
      </c>
      <c r="D136" s="2" t="str">
        <f>IF(ISERROR(MATCH(A136,'SegEnds_Xtal_Prot#'!B:B, 0)), "NoXtal", "Xtal")</f>
        <v>NoXtal</v>
      </c>
      <c r="H136" s="4"/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G</v>
      </c>
      <c r="X136" s="49" t="str">
        <f>MID(VLOOKUP($A136,Seqs!$A:$B,2,FALSE),VLOOKUP($A136,'SegEnds_NonXtal_Prot#'!A:AL,10,FALSE)+7,1)</f>
        <v>L</v>
      </c>
      <c r="Y136" s="49" t="str">
        <f>MID(VLOOKUP($A136,Seqs!$A:$B,2,FALSE),VLOOKUP($A136,'SegEnds_NonXtal_Prot#'!A:AL,10,FALSE)+8,1)</f>
        <v>V</v>
      </c>
      <c r="Z136" s="49" t="str">
        <f>MID(VLOOKUP($A136,Seqs!$A:$B,2,FALSE),VLOOKUP($A136,'SegEnds_NonXtal_Prot#'!A:AL,10,FALSE)+9,1)</f>
        <v>L</v>
      </c>
      <c r="AA136" s="49" t="str">
        <f>MID(VLOOKUP($A136,Seqs!$A:$B,2,FALSE),VLOOKUP($A136,'SegEnds_NonXtal_Prot#'!A:AL,10,FALSE)+10,1)</f>
        <v>H</v>
      </c>
      <c r="AB136" s="28" t="str">
        <f>MID(VLOOKUP($A136,Seqs!$A:$B,2,FALSE),VLOOKUP($A136,'SegEnds_NonXtal_Prot#'!$A:$AL,22,FALSE)+6,1)</f>
        <v>L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L</v>
      </c>
      <c r="AE136" s="49" t="str">
        <f>MID(VLOOKUP($A136,Seqs!$A:$B,2,FALSE),VLOOKUP($A136,'SegEnds_NonXtal_Prot#'!$A:$AL,22,FALSE)+9,1)</f>
        <v>L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A</v>
      </c>
      <c r="AH136" s="49" t="str">
        <f>MID(VLOOKUP($A136,Seqs!$A:$B,2,FALSE),VLOOKUP($A136,'SegEnds_NonXtal_Prot#'!$A:$AL,28,FALSE),1)</f>
        <v>V</v>
      </c>
    </row>
    <row r="137" spans="1:34" s="2" customFormat="1" x14ac:dyDescent="0.2">
      <c r="A137" s="2" t="s">
        <v>103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F</v>
      </c>
      <c r="Z137" s="49" t="str">
        <f>MID(VLOOKUP($A137,Seqs!$A:$B,2,FALSE),VLOOKUP($A137,'SegEnds_NonXtal_Prot#'!A:AL,10,FALSE)+9,1)</f>
        <v>Y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M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A</v>
      </c>
      <c r="AE137" s="49" t="str">
        <f>MID(VLOOKUP($A137,Seqs!$A:$B,2,FALSE),VLOOKUP($A137,'SegEnds_NonXtal_Prot#'!$A:$AL,22,FALSE)+9,1)</f>
        <v>I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F</v>
      </c>
      <c r="AH137" s="49" t="str">
        <f>MID(VLOOKUP($A137,Seqs!$A:$B,2,FALSE),VLOOKUP($A137,'SegEnds_NonXtal_Prot#'!$A:$AL,28,FALSE),1)</f>
        <v>T</v>
      </c>
    </row>
    <row r="138" spans="1:34" s="2" customFormat="1" x14ac:dyDescent="0.2">
      <c r="A138" s="2" t="s">
        <v>285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L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L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L</v>
      </c>
      <c r="AE138" s="49" t="str">
        <f>MID(VLOOKUP($A138,Seqs!$A:$B,2,FALSE),VLOOKUP($A138,'SegEnds_NonXtal_Prot#'!$A:$AL,22,FALSE)+9,1)</f>
        <v>L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V</v>
      </c>
    </row>
    <row r="139" spans="1:34" s="2" customFormat="1" x14ac:dyDescent="0.2">
      <c r="A139" s="2" t="s">
        <v>286</v>
      </c>
      <c r="B139" s="2" t="str">
        <f>LOWER(VLOOKUP(A139,Xtal_Templ!A:B,2,FALSE))</f>
        <v>lpar1_human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H139" s="4"/>
      <c r="I139" s="2" t="s">
        <v>21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A</v>
      </c>
      <c r="X139" s="49" t="str">
        <f>MID(VLOOKUP($A139,Seqs!$A:$B,2,FALSE),VLOOKUP($A139,'SegEnds_NonXtal_Prot#'!A:AL,10,FALSE)+7,1)</f>
        <v>Y</v>
      </c>
      <c r="Y139" s="49" t="str">
        <f>MID(VLOOKUP($A139,Seqs!$A:$B,2,FALSE),VLOOKUP($A139,'SegEnds_NonXtal_Prot#'!A:AL,10,FALSE)+8,1)</f>
        <v>V</v>
      </c>
      <c r="Z139" s="49" t="str">
        <f>MID(VLOOKUP($A139,Seqs!$A:$B,2,FALSE),VLOOKUP($A139,'SegEnds_NonXtal_Prot#'!A:AL,10,FALSE)+9,1)</f>
        <v>F</v>
      </c>
      <c r="AA139" s="49" t="str">
        <f>MID(VLOOKUP($A139,Seqs!$A:$B,2,FALSE),VLOOKUP($A139,'SegEnds_NonXtal_Prot#'!A:AL,10,FALSE)+10,1)</f>
        <v>L</v>
      </c>
      <c r="AB139" s="28" t="str">
        <f>MID(VLOOKUP($A139,Seqs!$A:$B,2,FALSE),VLOOKUP($A139,'SegEnds_NonXtal_Prot#'!$A:$AL,22,FALSE)+6,1)</f>
        <v>M</v>
      </c>
      <c r="AC139" s="49" t="str">
        <f>MID(VLOOKUP($A139,Seqs!$A:$B,2,FALSE),VLOOKUP($A139,'SegEnds_NonXtal_Prot#'!$A:$AL,22,FALSE)+7,1)</f>
        <v>G</v>
      </c>
      <c r="AD139" s="49" t="str">
        <f>MID(VLOOKUP($A139,Seqs!$A:$B,2,FALSE),VLOOKUP($A139,'SegEnds_NonXtal_Prot#'!$A:$AL,22,FALSE)+8,1)</f>
        <v>A</v>
      </c>
      <c r="AE139" s="49" t="str">
        <f>MID(VLOOKUP($A139,Seqs!$A:$B,2,FALSE),VLOOKUP($A139,'SegEnds_NonXtal_Prot#'!$A:$AL,22,FALSE)+9,1)</f>
        <v>V</v>
      </c>
      <c r="AF139" s="49" t="str">
        <f>MID(VLOOKUP($A139,Seqs!$A:$B,2,FALSE),VLOOKUP($A139,'SegEnds_NonXtal_Prot#'!$A:$AL,22,FALSE)+10,1)</f>
        <v>P</v>
      </c>
      <c r="AG139" s="28" t="str">
        <f>MID(VLOOKUP($A139,Seqs!$A:$B,2,FALSE),VLOOKUP($A139,'SegEnds_NonXtal_Prot#'!$A:$AL,28,FALSE)-4,1)</f>
        <v>S</v>
      </c>
      <c r="AH139" s="49" t="str">
        <f>MID(VLOOKUP($A139,Seqs!$A:$B,2,FALSE),VLOOKUP($A139,'SegEnds_NonXtal_Prot#'!$A:$AL,28,FALSE),1)</f>
        <v>A</v>
      </c>
    </row>
    <row r="140" spans="1:34" s="2" customFormat="1" x14ac:dyDescent="0.2">
      <c r="A140" s="2" t="s">
        <v>1436</v>
      </c>
      <c r="B140" s="2" t="str">
        <f>LOWER(VLOOKUP(A140,Xtal_Templ!A:B,2,FALSE))</f>
        <v>q08bg4_danre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H140" s="4"/>
      <c r="R140" s="2" t="s">
        <v>9</v>
      </c>
      <c r="T140" s="4" t="s">
        <v>12</v>
      </c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L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L</v>
      </c>
      <c r="AA140" s="49" t="str">
        <f>MID(VLOOKUP($A140,Seqs!$A:$B,2,FALSE),VLOOKUP($A140,'SegEnds_NonXtal_Prot#'!A:AL,10,FALSE)+10,1)</f>
        <v>R</v>
      </c>
      <c r="AB140" s="28" t="str">
        <f>MID(VLOOKUP($A140,Seqs!$A:$B,2,FALSE),VLOOKUP($A140,'SegEnds_NonXtal_Prot#'!$A:$AL,22,FALSE)+6,1)</f>
        <v>G</v>
      </c>
      <c r="AC140" s="49" t="str">
        <f>MID(VLOOKUP($A140,Seqs!$A:$B,2,FALSE),VLOOKUP($A140,'SegEnds_NonXtal_Prot#'!$A:$AL,22,FALSE)+7,1)</f>
        <v>S</v>
      </c>
      <c r="AD140" s="49" t="str">
        <f>MID(VLOOKUP($A140,Seqs!$A:$B,2,FALSE),VLOOKUP($A140,'SegEnds_NonXtal_Prot#'!$A:$AL,22,FALSE)+8,1)</f>
        <v>L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T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1447</v>
      </c>
      <c r="B141" s="2" t="str">
        <f>LOWER(VLOOKUP(A141,Xtal_Templ!A:B,2,FALSE))</f>
        <v>q9wtk1_cavpo</v>
      </c>
      <c r="C141" s="2" t="str">
        <f>VLOOKUP(A141,Classification!A:D,2,FALSE)</f>
        <v>A</v>
      </c>
      <c r="D141" s="2" t="str">
        <f>IF(ISERROR(MATCH(A141,'SegEnds_Xtal_Prot#'!B:B, 0)), "NoXtal", "Xtal")</f>
        <v>Xtal</v>
      </c>
      <c r="F141" s="121"/>
      <c r="G141" s="121"/>
      <c r="H141" s="121"/>
      <c r="I141" s="121"/>
      <c r="J141" s="121"/>
      <c r="K141" s="121"/>
      <c r="L141" s="121"/>
      <c r="M141" s="121"/>
      <c r="N141" s="122" t="s">
        <v>14</v>
      </c>
      <c r="O141" s="121"/>
      <c r="P141" s="121"/>
      <c r="Q141" s="121"/>
      <c r="R141" s="121" t="s">
        <v>9</v>
      </c>
      <c r="S141" s="121"/>
      <c r="T141" s="121" t="s">
        <v>12</v>
      </c>
      <c r="U141" s="121"/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T</v>
      </c>
      <c r="X141" s="49" t="str">
        <f>MID(VLOOKUP($A141,Seqs!$A:$B,2,FALSE),VLOOKUP($A141,'SegEnds_NonXtal_Prot#'!A:AL,10,FALSE)+7,1)</f>
        <v>A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F</v>
      </c>
      <c r="AA141" s="49" t="str">
        <f>MID(VLOOKUP($A141,Seqs!$A:$B,2,FALSE),VLOOKUP($A141,'SegEnds_NonXtal_Prot#'!A:AL,10,FALSE)+10,1)</f>
        <v>F</v>
      </c>
      <c r="AB141" s="28" t="str">
        <f>MID(VLOOKUP($A141,Seqs!$A:$B,2,FALSE),VLOOKUP($A141,'SegEnds_NonXtal_Prot#'!$A:$AL,22,FALSE)+6,1)</f>
        <v>L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T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V</v>
      </c>
      <c r="AG141" s="28" t="str">
        <f>MID(VLOOKUP($A141,Seqs!$A:$B,2,FALSE),VLOOKUP($A141,'SegEnds_NonXtal_Prot#'!$A:$AL,28,FALSE)-4,1)</f>
        <v>G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208</v>
      </c>
      <c r="B142" s="2" t="str">
        <f>LOWER(VLOOKUP(A142,Xtal_Templ!A:B,2,FALSE))</f>
        <v>ntr1_human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N142" s="2" t="s">
        <v>14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C</v>
      </c>
      <c r="X142" s="49" t="str">
        <f>MID(VLOOKUP($A142,Seqs!$A:$B,2,FALSE),VLOOKUP($A142,'SegEnds_NonXtal_Prot#'!A:AL,10,FALSE)+7,1)</f>
        <v>M</v>
      </c>
      <c r="Y142" s="49" t="str">
        <f>MID(VLOOKUP($A142,Seqs!$A:$B,2,FALSE),VLOOKUP($A142,'SegEnds_NonXtal_Prot#'!A:AL,10,FALSE)+8,1)</f>
        <v>P</v>
      </c>
      <c r="Z142" s="49" t="str">
        <f>MID(VLOOKUP($A142,Seqs!$A:$B,2,FALSE),VLOOKUP($A142,'SegEnds_NonXtal_Prot#'!A:AL,10,FALSE)+9,1)</f>
        <v>L</v>
      </c>
      <c r="AA142" s="49" t="str">
        <f>MID(VLOOKUP($A142,Seqs!$A:$B,2,FALSE),VLOOKUP($A142,'SegEnds_NonXtal_Prot#'!A:AL,10,FALSE)+10,1)</f>
        <v>D</v>
      </c>
      <c r="AB142" s="28" t="str">
        <f>MID(VLOOKUP($A142,Seqs!$A:$B,2,FALSE),VLOOKUP($A142,'SegEnds_NonXtal_Prot#'!$A:$AL,22,FALSE)+6,1)</f>
        <v>S</v>
      </c>
      <c r="AC142" s="49" t="str">
        <f>MID(VLOOKUP($A142,Seqs!$A:$B,2,FALSE),VLOOKUP($A142,'SegEnds_NonXtal_Prot#'!$A:$AL,22,FALSE)+7,1)</f>
        <v>A</v>
      </c>
      <c r="AD142" s="49" t="str">
        <f>MID(VLOOKUP($A142,Seqs!$A:$B,2,FALSE),VLOOKUP($A142,'SegEnds_NonXtal_Prot#'!$A:$AL,22,FALSE)+8,1)</f>
        <v>G</v>
      </c>
      <c r="AE142" s="49" t="str">
        <f>MID(VLOOKUP($A142,Seqs!$A:$B,2,FALSE),VLOOKUP($A142,'SegEnds_NonXtal_Prot#'!$A:$AL,22,FALSE)+9,1)</f>
        <v>P</v>
      </c>
      <c r="AF142" s="49" t="str">
        <f>MID(VLOOKUP($A142,Seqs!$A:$B,2,FALSE),VLOOKUP($A142,'SegEnds_NonXtal_Prot#'!$A:$AL,22,FALSE)+10,1)</f>
        <v>I</v>
      </c>
      <c r="AG142" s="28" t="str">
        <f>MID(VLOOKUP($A142,Seqs!$A:$B,2,FALSE),VLOOKUP($A142,'SegEnds_NonXtal_Prot#'!$A:$AL,28,FALSE)-4,1)</f>
        <v>F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215</v>
      </c>
      <c r="B143" s="2" t="str">
        <f>LOWER(VLOOKUP(A143,Xtal_Templ!A:B,2,FALSE))</f>
        <v>5ht2c_human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F</v>
      </c>
      <c r="X143" s="49" t="str">
        <f>MID(VLOOKUP($A143,Seqs!$A:$B,2,FALSE),VLOOKUP($A143,'SegEnds_NonXtal_Prot#'!A:AL,10,FALSE)+7,1)</f>
        <v>I</v>
      </c>
      <c r="Y143" s="49" t="str">
        <f>MID(VLOOKUP($A143,Seqs!$A:$B,2,FALSE),VLOOKUP($A143,'SegEnds_NonXtal_Prot#'!A:AL,10,FALSE)+8,1)</f>
        <v>V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V</v>
      </c>
      <c r="AB143" s="28" t="str">
        <f>MID(VLOOKUP($A143,Seqs!$A:$B,2,FALSE),VLOOKUP($A143,'SegEnds_NonXtal_Prot#'!$A:$AL,22,FALSE)+6,1)</f>
        <v>L</v>
      </c>
      <c r="AC143" s="49" t="str">
        <f>MID(VLOOKUP($A143,Seqs!$A:$B,2,FALSE),VLOOKUP($A143,'SegEnds_NonXtal_Prot#'!$A:$AL,22,FALSE)+7,1)</f>
        <v>T</v>
      </c>
      <c r="AD143" s="49" t="str">
        <f>MID(VLOOKUP($A143,Seqs!$A:$B,2,FALSE),VLOOKUP($A143,'SegEnds_NonXtal_Prot#'!$A:$AL,22,FALSE)+8,1)</f>
        <v>S</v>
      </c>
      <c r="AE143" s="49" t="str">
        <f>MID(VLOOKUP($A143,Seqs!$A:$B,2,FALSE),VLOOKUP($A143,'SegEnds_NonXtal_Prot#'!$A:$AL,22,FALSE)+9,1)</f>
        <v>I</v>
      </c>
      <c r="AF143" s="49" t="str">
        <f>MID(VLOOKUP($A143,Seqs!$A:$B,2,FALSE),VLOOKUP($A143,'SegEnds_NonXtal_Prot#'!$A:$AL,22,FALSE)+10,1)</f>
        <v>P</v>
      </c>
      <c r="AG143" s="28" t="str">
        <f>MID(VLOOKUP($A143,Seqs!$A:$B,2,FALSE),VLOOKUP($A143,'SegEnds_NonXtal_Prot#'!$A:$AL,28,FALSE)-4,1)</f>
        <v>V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223</v>
      </c>
      <c r="B144" s="2" t="str">
        <f>LOWER(VLOOKUP(A144,Xtal_Templ!A:B,2,FALSE))</f>
        <v>fpr2_human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H144" s="4"/>
      <c r="N144" s="2" t="s">
        <v>14</v>
      </c>
      <c r="R144" s="2" t="s">
        <v>9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A</v>
      </c>
      <c r="X144" s="49" t="str">
        <f>MID(VLOOKUP($A144,Seqs!$A:$B,2,FALSE),VLOOKUP($A144,'SegEnds_NonXtal_Prot#'!A:AL,10,FALSE)+7,1)</f>
        <v>A</v>
      </c>
      <c r="Y144" s="49" t="str">
        <f>MID(VLOOKUP($A144,Seqs!$A:$B,2,FALSE),VLOOKUP($A144,'SegEnds_NonXtal_Prot#'!A:AL,10,FALSE)+8,1)</f>
        <v>A</v>
      </c>
      <c r="Z144" s="49" t="str">
        <f>MID(VLOOKUP($A144,Seqs!$A:$B,2,FALSE),VLOOKUP($A144,'SegEnds_NonXtal_Prot#'!A:AL,10,FALSE)+9,1)</f>
        <v>F</v>
      </c>
      <c r="AA144" s="49" t="str">
        <f>MID(VLOOKUP($A144,Seqs!$A:$B,2,FALSE),VLOOKUP($A144,'SegEnds_NonXtal_Prot#'!A:AL,10,FALSE)+10,1)</f>
        <v>Q</v>
      </c>
      <c r="AB144" s="28" t="str">
        <f>MID(VLOOKUP($A144,Seqs!$A:$B,2,FALSE),VLOOKUP($A144,'SegEnds_NonXtal_Prot#'!$A:$AL,22,FALSE)+6,1)</f>
        <v>F</v>
      </c>
      <c r="AC144" s="49" t="str">
        <f>MID(VLOOKUP($A144,Seqs!$A:$B,2,FALSE),VLOOKUP($A144,'SegEnds_NonXtal_Prot#'!$A:$AL,22,FALSE)+7,1)</f>
        <v>S</v>
      </c>
      <c r="AD144" s="49" t="str">
        <f>MID(VLOOKUP($A144,Seqs!$A:$B,2,FALSE),VLOOKUP($A144,'SegEnds_NonXtal_Prot#'!$A:$AL,22,FALSE)+8,1)</f>
        <v>V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W</v>
      </c>
      <c r="AG144" s="28" t="str">
        <f>MID(VLOOKUP($A144,Seqs!$A:$B,2,FALSE),VLOOKUP($A144,'SegEnds_NonXtal_Prot#'!$A:$AL,28,FALSE)-4,1)</f>
        <v>G</v>
      </c>
      <c r="AH144" s="49" t="str">
        <f>MID(VLOOKUP($A144,Seqs!$A:$B,2,FALSE),VLOOKUP($A144,'SegEnds_NonXtal_Prot#'!$A:$AL,28,FALSE),1)</f>
        <v>P</v>
      </c>
    </row>
    <row r="145" spans="1:34" s="2" customFormat="1" x14ac:dyDescent="0.2">
      <c r="A145" s="2" t="s">
        <v>255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2" t="s">
        <v>5</v>
      </c>
      <c r="H145" s="4"/>
      <c r="N145" s="2" t="s">
        <v>14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I</v>
      </c>
      <c r="X145" s="49" t="str">
        <f>MID(VLOOKUP($A145,Seqs!$A:$B,2,FALSE),VLOOKUP($A145,'SegEnds_NonXtal_Prot#'!A:AL,10,FALSE)+7,1)</f>
        <v>G</v>
      </c>
      <c r="Y145" s="49" t="str">
        <f>MID(VLOOKUP($A145,Seqs!$A:$B,2,FALSE),VLOOKUP($A145,'SegEnds_NonXtal_Prot#'!A:AL,10,FALSE)+8,1)</f>
        <v>M</v>
      </c>
      <c r="Z145" s="49" t="str">
        <f>MID(VLOOKUP($A145,Seqs!$A:$B,2,FALSE),VLOOKUP($A145,'SegEnds_NonXtal_Prot#'!A:AL,10,FALSE)+9,1)</f>
        <v>P</v>
      </c>
      <c r="AA145" s="49" t="str">
        <f>MID(VLOOKUP($A145,Seqs!$A:$B,2,FALSE),VLOOKUP($A145,'SegEnds_NonXtal_Prot#'!A:AL,10,FALSE)+10,1)</f>
        <v>M</v>
      </c>
      <c r="AB145" s="28" t="str">
        <f>MID(VLOOKUP($A145,Seqs!$A:$B,2,FALSE),VLOOKUP($A145,'SegEnds_NonXtal_Prot#'!$A:$AL,22,FALSE)+6,1)</f>
        <v>V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L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L</v>
      </c>
      <c r="AG145" s="28" t="str">
        <f>MID(VLOOKUP($A145,Seqs!$A:$B,2,FALSE),VLOOKUP($A145,'SegEnds_NonXtal_Prot#'!$A:$AL,28,FALSE)-4,1)</f>
        <v>A</v>
      </c>
      <c r="AH145" s="49" t="str">
        <f>MID(VLOOKUP($A145,Seqs!$A:$B,2,FALSE),VLOOKUP($A145,'SegEnds_NonXtal_Prot#'!$A:$AL,28,FALSE),1)</f>
        <v>Y</v>
      </c>
    </row>
    <row r="146" spans="1:34" s="2" customFormat="1" x14ac:dyDescent="0.2">
      <c r="A146" s="2" t="s">
        <v>309</v>
      </c>
      <c r="B146" s="2" t="str">
        <f>LOWER(VLOOKUP(A146,Xtal_Templ!A:B,2,FALSE))</f>
        <v>ntr1_human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H146" s="4"/>
      <c r="N146" s="2" t="s">
        <v>14</v>
      </c>
      <c r="R146" s="2" t="s">
        <v>9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G</v>
      </c>
      <c r="X146" s="49" t="str">
        <f>MID(VLOOKUP($A146,Seqs!$A:$B,2,FALSE),VLOOKUP($A146,'SegEnds_NonXtal_Prot#'!A:AL,10,FALSE)+7,1)</f>
        <v>L</v>
      </c>
      <c r="Y146" s="49" t="str">
        <f>MID(VLOOKUP($A146,Seqs!$A:$B,2,FALSE),VLOOKUP($A146,'SegEnds_NonXtal_Prot#'!A:AL,10,FALSE)+8,1)</f>
        <v>P</v>
      </c>
      <c r="Z146" s="49" t="str">
        <f>MID(VLOOKUP($A146,Seqs!$A:$B,2,FALSE),VLOOKUP($A146,'SegEnds_NonXtal_Prot#'!A:AL,10,FALSE)+9,1)</f>
        <v>F</v>
      </c>
      <c r="AA146" s="49" t="str">
        <f>MID(VLOOKUP($A146,Seqs!$A:$B,2,FALSE),VLOOKUP($A146,'SegEnds_NonXtal_Prot#'!A:AL,10,FALSE)+10,1)</f>
        <v>D</v>
      </c>
      <c r="AB146" s="28" t="str">
        <f>MID(VLOOKUP($A146,Seqs!$A:$B,2,FALSE),VLOOKUP($A146,'SegEnds_NonXtal_Prot#'!$A:$AL,22,FALSE)+6,1)</f>
        <v>S</v>
      </c>
      <c r="AC146" s="49" t="str">
        <f>MID(VLOOKUP($A146,Seqs!$A:$B,2,FALSE),VLOOKUP($A146,'SegEnds_NonXtal_Prot#'!$A:$AL,22,FALSE)+7,1)</f>
        <v>A</v>
      </c>
      <c r="AD146" s="49" t="str">
        <f>MID(VLOOKUP($A146,Seqs!$A:$B,2,FALSE),VLOOKUP($A146,'SegEnds_NonXtal_Prot#'!$A:$AL,22,FALSE)+8,1)</f>
        <v>G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F</v>
      </c>
      <c r="AG146" s="28" t="str">
        <f>MID(VLOOKUP($A146,Seqs!$A:$B,2,FALSE),VLOOKUP($A146,'SegEnds_NonXtal_Prot#'!$A:$AL,28,FALSE)-4,1)</f>
        <v>Y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317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V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L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C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318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G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L</v>
      </c>
      <c r="AB148" s="28" t="str">
        <f>MID(VLOOKUP($A148,Seqs!$A:$B,2,FALSE),VLOOKUP($A148,'SegEnds_NonXtal_Prot#'!$A:$AL,22,FALSE)+6,1)</f>
        <v>F</v>
      </c>
      <c r="AC148" s="49" t="str">
        <f>MID(VLOOKUP($A148,Seqs!$A:$B,2,FALSE),VLOOKUP($A148,'SegEnds_NonXtal_Prot#'!$A:$AL,22,FALSE)+7,1)</f>
        <v>S</v>
      </c>
      <c r="AD148" s="49" t="str">
        <f>MID(VLOOKUP($A148,Seqs!$A:$B,2,FALSE),VLOOKUP($A148,'SegEnds_NonXtal_Prot#'!$A:$AL,22,FALSE)+8,1)</f>
        <v>L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N</v>
      </c>
      <c r="AG148" s="28" t="str">
        <f>MID(VLOOKUP($A148,Seqs!$A:$B,2,FALSE),VLOOKUP($A148,'SegEnds_NonXtal_Prot#'!$A:$AL,28,FALSE)-4,1)</f>
        <v>F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127</v>
      </c>
      <c r="B149" s="2" t="str">
        <f>LOWER(VLOOKUP(A149,Xtal_Templ!A:B,2,FALSE))</f>
        <v>ntr1_human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V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909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D</v>
      </c>
      <c r="W150" s="49" t="str">
        <f>MID(VLOOKUP($A150,Seqs!$A:$B,2,FALSE),VLOOKUP($A150,'SegEnds_NonXtal_Prot#'!A:AL,10,FALSE)+6,1)</f>
        <v>L</v>
      </c>
      <c r="X150" s="49" t="str">
        <f>MID(VLOOKUP($A150,Seqs!$A:$B,2,FALSE),VLOOKUP($A150,'SegEnds_NonXtal_Prot#'!A:AL,10,FALSE)+7,1)</f>
        <v>A</v>
      </c>
      <c r="Y150" s="49" t="str">
        <f>MID(VLOOKUP($A150,Seqs!$A:$B,2,FALSE),VLOOKUP($A150,'SegEnds_NonXtal_Prot#'!A:AL,10,FALSE)+8,1)</f>
        <v>M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I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329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N151" s="2" t="s">
        <v>14</v>
      </c>
      <c r="R151" s="2" t="s">
        <v>9</v>
      </c>
      <c r="T151" s="4" t="s">
        <v>12</v>
      </c>
      <c r="V151" s="28" t="str">
        <f>MID(VLOOKUP($A151,Seqs!$A:$B,2,FALSE),VLOOKUP($A151,'SegEnds_NonXtal_Prot#'!A:AL,10,FALSE),1)</f>
        <v>G</v>
      </c>
      <c r="W151" s="49" t="str">
        <f>MID(VLOOKUP($A151,Seqs!$A:$B,2,FALSE),VLOOKUP($A151,'SegEnds_NonXtal_Prot#'!A:AL,10,FALSE)+6,1)</f>
        <v>V</v>
      </c>
      <c r="X151" s="49" t="str">
        <f>MID(VLOOKUP($A151,Seqs!$A:$B,2,FALSE),VLOOKUP($A151,'SegEnds_NonXtal_Prot#'!A:AL,10,FALSE)+7,1)</f>
        <v>G</v>
      </c>
      <c r="Y151" s="49" t="str">
        <f>MID(VLOOKUP($A151,Seqs!$A:$B,2,FALSE),VLOOKUP($A151,'SegEnds_NonXtal_Prot#'!A:AL,10,FALSE)+8,1)</f>
        <v>V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L</v>
      </c>
      <c r="AC151" s="49" t="str">
        <f>MID(VLOOKUP($A151,Seqs!$A:$B,2,FALSE),VLOOKUP($A151,'SegEnds_NonXtal_Prot#'!$A:$AL,22,FALSE)+7,1)</f>
        <v>A</v>
      </c>
      <c r="AD151" s="49" t="str">
        <f>MID(VLOOKUP($A151,Seqs!$A:$B,2,FALSE),VLOOKUP($A151,'SegEnds_NonXtal_Prot#'!$A:$AL,22,FALSE)+8,1)</f>
        <v>L</v>
      </c>
      <c r="AE151" s="49" t="str">
        <f>MID(VLOOKUP($A151,Seqs!$A:$B,2,FALSE),VLOOKUP($A151,'SegEnds_NonXtal_Prot#'!$A:$AL,22,FALSE)+9,1)</f>
        <v>P</v>
      </c>
      <c r="AF151" s="49" t="str">
        <f>MID(VLOOKUP($A151,Seqs!$A:$B,2,FALSE),VLOOKUP($A151,'SegEnds_NonXtal_Prot#'!$A:$AL,22,FALSE)+10,1)</f>
        <v>M</v>
      </c>
      <c r="AG151" s="28" t="str">
        <f>MID(VLOOKUP($A151,Seqs!$A:$B,2,FALSE),VLOOKUP($A151,'SegEnds_NonXtal_Prot#'!$A:$AL,28,FALSE)-4,1)</f>
        <v>S</v>
      </c>
      <c r="AH151" s="49" t="str">
        <f>MID(VLOOKUP($A151,Seqs!$A:$B,2,FALSE),VLOOKUP($A151,'SegEnds_NonXtal_Prot#'!$A:$AL,28,FALSE),1)</f>
        <v>P</v>
      </c>
    </row>
    <row r="152" spans="1:34" s="2" customFormat="1" x14ac:dyDescent="0.2">
      <c r="A152" s="2" t="s">
        <v>361</v>
      </c>
      <c r="B152" s="2" t="str">
        <f>LOWER(VLOOKUP(A152,Xtal_Templ!A:B,2,FALSE))</f>
        <v>pe2r4_human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2" t="s">
        <v>5</v>
      </c>
      <c r="H152" s="4"/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L</v>
      </c>
      <c r="X152" s="49" t="str">
        <f>MID(VLOOKUP($A152,Seqs!$A:$B,2,FALSE),VLOOKUP($A152,'SegEnds_NonXtal_Prot#'!A:AL,10,FALSE)+7,1)</f>
        <v>I</v>
      </c>
      <c r="Y152" s="49" t="str">
        <f>MID(VLOOKUP($A152,Seqs!$A:$B,2,FALSE),VLOOKUP($A152,'SegEnds_NonXtal_Prot#'!A:AL,10,FALSE)+8,1)</f>
        <v>S</v>
      </c>
      <c r="Z152" s="49" t="str">
        <f>MID(VLOOKUP($A152,Seqs!$A:$B,2,FALSE),VLOOKUP($A152,'SegEnds_NonXtal_Prot#'!A:AL,10,FALSE)+9,1)</f>
        <v>P</v>
      </c>
      <c r="AA152" s="49" t="str">
        <f>MID(VLOOKUP($A152,Seqs!$A:$B,2,FALSE),VLOOKUP($A152,'SegEnds_NonXtal_Prot#'!A:AL,10,FALSE)+10,1)</f>
        <v>V</v>
      </c>
      <c r="AB152" s="28" t="str">
        <f>MID(VLOOKUP($A152,Seqs!$A:$B,2,FALSE),VLOOKUP($A152,'SegEnds_NonXtal_Prot#'!$A:$AL,22,FALSE)+6,1)</f>
        <v>F</v>
      </c>
      <c r="AC152" s="49" t="str">
        <f>MID(VLOOKUP($A152,Seqs!$A:$B,2,FALSE),VLOOKUP($A152,'SegEnds_NonXtal_Prot#'!$A:$AL,22,FALSE)+7,1)</f>
        <v>C</v>
      </c>
      <c r="AD152" s="49" t="str">
        <f>MID(VLOOKUP($A152,Seqs!$A:$B,2,FALSE),VLOOKUP($A152,'SegEnds_NonXtal_Prot#'!$A:$AL,22,FALSE)+8,1)</f>
        <v>S</v>
      </c>
      <c r="AE152" s="49" t="str">
        <f>MID(VLOOKUP($A152,Seqs!$A:$B,2,FALSE),VLOOKUP($A152,'SegEnds_NonXtal_Prot#'!$A:$AL,22,FALSE)+9,1)</f>
        <v>L</v>
      </c>
      <c r="AF152" s="49" t="str">
        <f>MID(VLOOKUP($A152,Seqs!$A:$B,2,FALSE),VLOOKUP($A152,'SegEnds_NonXtal_Prot#'!$A:$AL,22,FALSE)+10,1)</f>
        <v>P</v>
      </c>
      <c r="AG152" s="28" t="str">
        <f>MID(VLOOKUP($A152,Seqs!$A:$B,2,FALSE),VLOOKUP($A152,'SegEnds_NonXtal_Prot#'!$A:$AL,28,FALSE)-4,1)</f>
        <v>L</v>
      </c>
      <c r="AH152" s="49" t="str">
        <f>MID(VLOOKUP($A152,Seqs!$A:$B,2,FALSE),VLOOKUP($A152,'SegEnds_NonXtal_Prot#'!$A:$AL,28,FALSE),1)</f>
        <v>V</v>
      </c>
    </row>
    <row r="153" spans="1:34" s="2" customFormat="1" x14ac:dyDescent="0.2">
      <c r="A153" s="2" t="s">
        <v>334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Xtal</v>
      </c>
      <c r="H153" s="4"/>
      <c r="R153" s="2" t="s">
        <v>9</v>
      </c>
      <c r="T153" s="4" t="s">
        <v>12</v>
      </c>
      <c r="V153" s="28" t="str">
        <f>MID(VLOOKUP($A153,Seqs!$A:$B,2,FALSE),VLOOKUP($A153,'SegEnds_NonXtal_Prot#'!A:AL,10,FALSE),1)</f>
        <v>D</v>
      </c>
      <c r="W153" s="49" t="str">
        <f>MID(VLOOKUP($A153,Seqs!$A:$B,2,FALSE),VLOOKUP($A153,'SegEnds_NonXtal_Prot#'!A:AL,10,FALSE)+6,1)</f>
        <v>T</v>
      </c>
      <c r="X153" s="49" t="str">
        <f>MID(VLOOKUP($A153,Seqs!$A:$B,2,FALSE),VLOOKUP($A153,'SegEnds_NonXtal_Prot#'!A:AL,10,FALSE)+7,1)</f>
        <v>L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Q</v>
      </c>
      <c r="AB153" s="28" t="str">
        <f>MID(VLOOKUP($A153,Seqs!$A:$B,2,FALSE),VLOOKUP($A153,'SegEnds_NonXtal_Prot#'!$A:$AL,22,FALSE)+6,1)</f>
        <v>V</v>
      </c>
      <c r="AC153" s="49" t="str">
        <f>MID(VLOOKUP($A153,Seqs!$A:$B,2,FALSE),VLOOKUP($A153,'SegEnds_NonXtal_Prot#'!$A:$AL,22,FALSE)+7,1)</f>
        <v>G</v>
      </c>
      <c r="AD153" s="49" t="str">
        <f>MID(VLOOKUP($A153,Seqs!$A:$B,2,FALSE),VLOOKUP($A153,'SegEnds_NonXtal_Prot#'!$A:$AL,22,FALSE)+8,1)</f>
        <v>V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I</v>
      </c>
      <c r="AG153" s="28" t="str">
        <f>MID(VLOOKUP($A153,Seqs!$A:$B,2,FALSE),VLOOKUP($A153,'SegEnds_NonXtal_Prot#'!$A:$AL,28,FALSE)-4,1)</f>
        <v>A</v>
      </c>
      <c r="AH153" s="49" t="str">
        <f>MID(VLOOKUP($A153,Seqs!$A:$B,2,FALSE),VLOOKUP($A153,'SegEnds_NonXtal_Prot#'!$A:$AL,28,FALSE),1)</f>
        <v>P</v>
      </c>
    </row>
    <row r="154" spans="1:34" s="2" customFormat="1" x14ac:dyDescent="0.2">
      <c r="A154" s="2" t="s">
        <v>267</v>
      </c>
      <c r="B154" s="2" t="str">
        <f>LOWER(VLOOKUP(A154,Xtal_Templ!A:B,2,FALSE))</f>
        <v>oprm_mouse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T154" s="4" t="s">
        <v>12</v>
      </c>
      <c r="V154" s="28" t="str">
        <f>MID(VLOOKUP($A154,Seqs!$A:$B,2,FALSE),VLOOKUP($A154,'SegEnds_NonXtal_Prot#'!A:AL,10,FALSE),1)</f>
        <v>N</v>
      </c>
      <c r="W154" s="49" t="str">
        <f>MID(VLOOKUP($A154,Seqs!$A:$B,2,FALSE),VLOOKUP($A154,'SegEnds_NonXtal_Prot#'!A:AL,10,FALSE)+6,1)</f>
        <v>A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M</v>
      </c>
      <c r="AB154" s="28" t="str">
        <f>MID(VLOOKUP($A154,Seqs!$A:$B,2,FALSE),VLOOKUP($A154,'SegEnds_NonXtal_Prot#'!$A:$AL,22,FALSE)+6,1)</f>
        <v>I</v>
      </c>
      <c r="AC154" s="49" t="str">
        <f>MID(VLOOKUP($A154,Seqs!$A:$B,2,FALSE),VLOOKUP($A154,'SegEnds_NonXtal_Prot#'!$A:$AL,22,FALSE)+7,1)</f>
        <v>I</v>
      </c>
      <c r="AD154" s="49" t="str">
        <f>MID(VLOOKUP($A154,Seqs!$A:$B,2,FALSE),VLOOKUP($A154,'SegEnds_NonXtal_Prot#'!$A:$AL,22,FALSE)+8,1)</f>
        <v>I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F</v>
      </c>
      <c r="AH154" s="49" t="str">
        <f>MID(VLOOKUP($A154,Seqs!$A:$B,2,FALSE),VLOOKUP($A154,'SegEnds_NonXtal_Prot#'!$A:$AL,28,FALSE),1)</f>
        <v>S</v>
      </c>
    </row>
    <row r="155" spans="1:34" s="2" customFormat="1" x14ac:dyDescent="0.2">
      <c r="A155" s="2" t="s">
        <v>299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G</v>
      </c>
      <c r="X155" s="49" t="str">
        <f>MID(VLOOKUP($A155,Seqs!$A:$B,2,FALSE),VLOOKUP($A155,'SegEnds_NonXtal_Prot#'!A:AL,10,FALSE)+7,1)</f>
        <v>M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F</v>
      </c>
      <c r="AA155" s="49" t="str">
        <f>MID(VLOOKUP($A155,Seqs!$A:$B,2,FALSE),VLOOKUP($A155,'SegEnds_NonXtal_Prot#'!A:AL,10,FALSE)+10,1)</f>
        <v>L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A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V</v>
      </c>
      <c r="AG155" s="28" t="str">
        <f>MID(VLOOKUP($A155,Seqs!$A:$B,2,FALSE),VLOOKUP($A155,'SegEnds_NonXtal_Prot#'!$A:$AL,28,FALSE)-4,1)</f>
        <v>T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320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H156" s="4"/>
      <c r="N156" s="2" t="s">
        <v>14</v>
      </c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V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V</v>
      </c>
      <c r="AA156" s="49" t="str">
        <f>MID(VLOOKUP($A156,Seqs!$A:$B,2,FALSE),VLOOKUP($A156,'SegEnds_NonXtal_Prot#'!A:AL,10,FALSE)+10,1)</f>
        <v>N</v>
      </c>
      <c r="AB156" s="28" t="str">
        <f>MID(VLOOKUP($A156,Seqs!$A:$B,2,FALSE),VLOOKUP($A156,'SegEnds_NonXtal_Prot#'!$A:$AL,22,FALSE)+6,1)</f>
        <v>L</v>
      </c>
      <c r="AC156" s="49" t="str">
        <f>MID(VLOOKUP($A156,Seqs!$A:$B,2,FALSE),VLOOKUP($A156,'SegEnds_NonXtal_Prot#'!$A:$AL,22,FALSE)+7,1)</f>
        <v>V</v>
      </c>
      <c r="AD156" s="49" t="str">
        <f>MID(VLOOKUP($A156,Seqs!$A:$B,2,FALSE),VLOOKUP($A156,'SegEnds_NonXtal_Prot#'!$A:$AL,22,FALSE)+8,1)</f>
        <v>L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F</v>
      </c>
      <c r="AG156" s="28" t="str">
        <f>MID(VLOOKUP($A156,Seqs!$A:$B,2,FALSE),VLOOKUP($A156,'SegEnds_NonXtal_Prot#'!$A:$AL,28,FALSE)-4,1)</f>
        <v>G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911</v>
      </c>
      <c r="B157" s="2" t="str">
        <f>LOWER(VLOOKUP(A157,Xtal_Templ!A:B,2,FALSE))</f>
        <v>oprd_human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T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Q</v>
      </c>
      <c r="AB157" s="28" t="str">
        <f>MID(VLOOKUP($A157,Seqs!$A:$B,2,FALSE),VLOOKUP($A157,'SegEnds_NonXtal_Prot#'!$A:$AL,22,FALSE)+6,1)</f>
        <v>V</v>
      </c>
      <c r="AC157" s="49" t="str">
        <f>MID(VLOOKUP($A157,Seqs!$A:$B,2,FALSE),VLOOKUP($A157,'SegEnds_NonXtal_Prot#'!$A:$AL,22,FALSE)+7,1)</f>
        <v>G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I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359</v>
      </c>
      <c r="B158" s="2" t="str">
        <f>LOWER(VLOOKUP(A158,Xtal_Templ!A:B,2,FALSE))</f>
        <v>pd2r2_human</v>
      </c>
      <c r="C158" s="2" t="str">
        <f>VLOOKUP(A158,Classification!A:D,2,FALSE)</f>
        <v>A</v>
      </c>
      <c r="D158" s="2" t="str">
        <f>IF(ISERROR(MATCH(A158,'SegEnds_Xtal_Prot#'!B:B, 0)), "NoXtal", "Xtal")</f>
        <v>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L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F</v>
      </c>
      <c r="AB158" s="28" t="str">
        <f>MID(VLOOKUP($A158,Seqs!$A:$B,2,FALSE),VLOOKUP($A158,'SegEnds_NonXtal_Prot#'!$A:$AL,22,FALSE)+6,1)</f>
        <v>N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V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Y</v>
      </c>
      <c r="AG158" s="28" t="str">
        <f>MID(VLOOKUP($A158,Seqs!$A:$B,2,FALSE),VLOOKUP($A158,'SegEnds_NonXtal_Prot#'!$A:$AL,28,FALSE)-4,1)</f>
        <v>A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383</v>
      </c>
      <c r="B159" s="2" t="str">
        <f>LOWER(VLOOKUP(A159,Xtal_Templ!A:B,2,FALSE))</f>
        <v>oprd_human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V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V</v>
      </c>
      <c r="AB159" s="28" t="str">
        <f>MID(VLOOKUP($A159,Seqs!$A:$B,2,FALSE),VLOOKUP($A159,'SegEnds_NonXtal_Prot#'!$A:$AL,22,FALSE)+6,1)</f>
        <v>V</v>
      </c>
      <c r="AC159" s="49" t="str">
        <f>MID(VLOOKUP($A159,Seqs!$A:$B,2,FALSE),VLOOKUP($A159,'SegEnds_NonXtal_Prot#'!$A:$AL,22,FALSE)+7,1)</f>
        <v>T</v>
      </c>
      <c r="AD159" s="49" t="str">
        <f>MID(VLOOKUP($A159,Seqs!$A:$B,2,FALSE),VLOOKUP($A159,'SegEnds_NonXtal_Prot#'!$A:$AL,22,FALSE)+8,1)</f>
        <v>L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I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164</v>
      </c>
      <c r="B160" s="2" t="str">
        <f>LOWER(VLOOKUP(A160,Xtal_Templ!A:B,2,FALSE))</f>
        <v>c5ar1_human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S</v>
      </c>
      <c r="X160" s="49" t="str">
        <f>MID(VLOOKUP($A160,Seqs!$A:$B,2,FALSE),VLOOKUP($A160,'SegEnds_NonXtal_Prot#'!A:AL,10,FALSE)+7,1)</f>
        <v>L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F</v>
      </c>
      <c r="AA160" s="49" t="str">
        <f>MID(VLOOKUP($A160,Seqs!$A:$B,2,FALSE),VLOOKUP($A160,'SegEnds_NonXtal_Prot#'!A:AL,10,FALSE)+10,1)</f>
        <v>S</v>
      </c>
      <c r="AB160" s="28" t="str">
        <f>MID(VLOOKUP($A160,Seqs!$A:$B,2,FALSE),VLOOKUP($A160,'SegEnds_NonXtal_Prot#'!$A:$AL,22,FALSE)+6,1)</f>
        <v>M</v>
      </c>
      <c r="AC160" s="49" t="str">
        <f>MID(VLOOKUP($A160,Seqs!$A:$B,2,FALSE),VLOOKUP($A160,'SegEnds_NonXtal_Prot#'!$A:$AL,22,FALSE)+7,1)</f>
        <v>C</v>
      </c>
      <c r="AD160" s="49" t="str">
        <f>MID(VLOOKUP($A160,Seqs!$A:$B,2,FALSE),VLOOKUP($A160,'SegEnds_NonXtal_Prot#'!$A:$AL,22,FALSE)+8,1)</f>
        <v>I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V</v>
      </c>
      <c r="AG160" s="28" t="str">
        <f>MID(VLOOKUP($A160,Seqs!$A:$B,2,FALSE),VLOOKUP($A160,'SegEnds_NonXtal_Prot#'!$A:$AL,28,FALSE)-4,1)</f>
        <v>G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199</v>
      </c>
      <c r="B161" s="2" t="str">
        <f>LOWER(VLOOKUP(A161,Xtal_Templ!A:B,2,FALSE))</f>
        <v>ox2r_human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N161" s="2" t="s">
        <v>14</v>
      </c>
      <c r="R161" s="2" t="s">
        <v>9</v>
      </c>
      <c r="S161" s="2" t="s">
        <v>1318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A</v>
      </c>
      <c r="X161" s="49" t="str">
        <f>MID(VLOOKUP($A161,Seqs!$A:$B,2,FALSE),VLOOKUP($A161,'SegEnds_NonXtal_Prot#'!A:AL,10,FALSE)+7,1)</f>
        <v>I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L</v>
      </c>
      <c r="AA161" s="49" t="str">
        <f>MID(VLOOKUP($A161,Seqs!$A:$B,2,FALSE),VLOOKUP($A161,'SegEnds_NonXtal_Prot#'!A:AL,10,FALSE)+10,1)</f>
        <v>V</v>
      </c>
      <c r="AB161" s="28" t="str">
        <f>MID(VLOOKUP($A161,Seqs!$A:$B,2,FALSE),VLOOKUP($A161,'SegEnds_NonXtal_Prot#'!$A:$AL,22,FALSE)+6,1)</f>
        <v>A</v>
      </c>
      <c r="AC161" s="49" t="str">
        <f>MID(VLOOKUP($A161,Seqs!$A:$B,2,FALSE),VLOOKUP($A161,'SegEnds_NonXtal_Prot#'!$A:$AL,22,FALSE)+7,1)</f>
        <v>A</v>
      </c>
      <c r="AD161" s="49" t="str">
        <f>MID(VLOOKUP($A161,Seqs!$A:$B,2,FALSE),VLOOKUP($A161,'SegEnds_NonXtal_Prot#'!$A:$AL,22,FALSE)+8,1)</f>
        <v>L</v>
      </c>
      <c r="AE161" s="49" t="str">
        <f>MID(VLOOKUP($A161,Seqs!$A:$B,2,FALSE),VLOOKUP($A161,'SegEnds_NonXtal_Prot#'!$A:$AL,22,FALSE)+9,1)</f>
        <v>P</v>
      </c>
      <c r="AF161" s="49" t="str">
        <f>MID(VLOOKUP($A161,Seqs!$A:$B,2,FALSE),VLOOKUP($A161,'SegEnds_NonXtal_Prot#'!$A:$AL,22,FALSE)+10,1)</f>
        <v>L</v>
      </c>
      <c r="AG161" s="28" t="str">
        <f>MID(VLOOKUP($A161,Seqs!$A:$B,2,FALSE),VLOOKUP($A161,'SegEnds_NonXtal_Prot#'!$A:$AL,28,FALSE)-4,1)</f>
        <v>N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250</v>
      </c>
      <c r="B162" s="2" t="str">
        <f>LOWER(VLOOKUP(A162,Xtal_Templ!A:B,2,FALSE))</f>
        <v>fpr2_human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R162" s="2" t="s">
        <v>9</v>
      </c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S</v>
      </c>
      <c r="X162" s="49" t="str">
        <f>MID(VLOOKUP($A162,Seqs!$A:$B,2,FALSE),VLOOKUP($A162,'SegEnds_NonXtal_Prot#'!A:AL,10,FALSE)+7,1)</f>
        <v>L</v>
      </c>
      <c r="Y162" s="49" t="str">
        <f>MID(VLOOKUP($A162,Seqs!$A:$B,2,FALSE),VLOOKUP($A162,'SegEnds_NonXtal_Prot#'!A:AL,10,FALSE)+8,1)</f>
        <v>P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A</v>
      </c>
      <c r="AB162" s="28" t="str">
        <f>MID(VLOOKUP($A162,Seqs!$A:$B,2,FALSE),VLOOKUP($A162,'SegEnds_NonXtal_Prot#'!$A:$AL,22,FALSE)+6,1)</f>
        <v>L</v>
      </c>
      <c r="AC162" s="49" t="str">
        <f>MID(VLOOKUP($A162,Seqs!$A:$B,2,FALSE),VLOOKUP($A162,'SegEnds_NonXtal_Prot#'!$A:$AL,22,FALSE)+7,1)</f>
        <v>C</v>
      </c>
      <c r="AD162" s="49" t="str">
        <f>MID(VLOOKUP($A162,Seqs!$A:$B,2,FALSE),VLOOKUP($A162,'SegEnds_NonXtal_Prot#'!$A:$AL,22,FALSE)+8,1)</f>
        <v>S</v>
      </c>
      <c r="AE162" s="49" t="str">
        <f>MID(VLOOKUP($A162,Seqs!$A:$B,2,FALSE),VLOOKUP($A162,'SegEnds_NonXtal_Prot#'!$A:$AL,22,FALSE)+9,1)</f>
        <v>A</v>
      </c>
      <c r="AF162" s="49" t="str">
        <f>MID(VLOOKUP($A162,Seqs!$A:$B,2,FALSE),VLOOKUP($A162,'SegEnds_NonXtal_Prot#'!$A:$AL,22,FALSE)+10,1)</f>
        <v>H</v>
      </c>
      <c r="AG162" s="28" t="str">
        <f>MID(VLOOKUP($A162,Seqs!$A:$B,2,FALSE),VLOOKUP($A162,'SegEnds_NonXtal_Prot#'!$A:$AL,28,FALSE)-4,1)</f>
        <v>G</v>
      </c>
      <c r="AH162" s="49" t="str">
        <f>MID(VLOOKUP($A162,Seqs!$A:$B,2,FALSE),VLOOKUP($A162,'SegEnds_NonXtal_Prot#'!$A:$AL,28,FALSE),1)</f>
        <v>P</v>
      </c>
    </row>
    <row r="163" spans="1:34" s="2" customFormat="1" x14ac:dyDescent="0.2">
      <c r="A163" s="2" t="s">
        <v>307</v>
      </c>
      <c r="B163" s="2" t="str">
        <f>LOWER(VLOOKUP(A163,Xtal_Templ!A:B,2,FALSE))</f>
        <v>c5ar1_human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H163" s="4"/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F</v>
      </c>
      <c r="X163" s="49" t="str">
        <f>MID(VLOOKUP($A163,Seqs!$A:$B,2,FALSE),VLOOKUP($A163,'SegEnds_NonXtal_Prot#'!A:AL,10,FALSE)+7,1)</f>
        <v>Q</v>
      </c>
      <c r="Y163" s="49" t="str">
        <f>MID(VLOOKUP($A163,Seqs!$A:$B,2,FALSE),VLOOKUP($A163,'SegEnds_NonXtal_Prot#'!A:AL,10,FALSE)+8,1)</f>
        <v>I</v>
      </c>
      <c r="Z163" s="49" t="str">
        <f>MID(VLOOKUP($A163,Seqs!$A:$B,2,FALSE),VLOOKUP($A163,'SegEnds_NonXtal_Prot#'!A:AL,10,FALSE)+9,1)</f>
        <v>I</v>
      </c>
      <c r="AA163" s="49" t="str">
        <f>MID(VLOOKUP($A163,Seqs!$A:$B,2,FALSE),VLOOKUP($A163,'SegEnds_NonXtal_Prot#'!A:AL,10,FALSE)+10,1)</f>
        <v>R</v>
      </c>
      <c r="AB163" s="28" t="str">
        <f>MID(VLOOKUP($A163,Seqs!$A:$B,2,FALSE),VLOOKUP($A163,'SegEnds_NonXtal_Prot#'!$A:$AL,22,FALSE)+6,1)</f>
        <v>F</v>
      </c>
      <c r="AC163" s="49" t="str">
        <f>MID(VLOOKUP($A163,Seqs!$A:$B,2,FALSE),VLOOKUP($A163,'SegEnds_NonXtal_Prot#'!$A:$AL,22,FALSE)+7,1)</f>
        <v>S</v>
      </c>
      <c r="AD163" s="49" t="str">
        <f>MID(VLOOKUP($A163,Seqs!$A:$B,2,FALSE),VLOOKUP($A163,'SegEnds_NonXtal_Prot#'!$A:$AL,22,FALSE)+8,1)</f>
        <v>M</v>
      </c>
      <c r="AE163" s="49" t="str">
        <f>MID(VLOOKUP($A163,Seqs!$A:$B,2,FALSE),VLOOKUP($A163,'SegEnds_NonXtal_Prot#'!$A:$AL,22,FALSE)+9,1)</f>
        <v>L</v>
      </c>
      <c r="AF163" s="49" t="str">
        <f>MID(VLOOKUP($A163,Seqs!$A:$B,2,FALSE),VLOOKUP($A163,'SegEnds_NonXtal_Prot#'!$A:$AL,22,FALSE)+10,1)</f>
        <v>E</v>
      </c>
      <c r="AG163" s="28" t="str">
        <f>MID(VLOOKUP($A163,Seqs!$A:$B,2,FALSE),VLOOKUP($A163,'SegEnds_NonXtal_Prot#'!$A:$AL,28,FALSE)-4,1)</f>
        <v>I</v>
      </c>
      <c r="AH163" s="49" t="str">
        <f>MID(VLOOKUP($A163,Seqs!$A:$B,2,FALSE),VLOOKUP($A163,'SegEnds_NonXtal_Prot#'!$A:$AL,28,FALSE),1)</f>
        <v>V</v>
      </c>
    </row>
    <row r="164" spans="1:34" s="2" customFormat="1" x14ac:dyDescent="0.2">
      <c r="A164" s="2" t="s">
        <v>335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T</v>
      </c>
      <c r="X164" s="49" t="str">
        <f>MID(VLOOKUP($A164,Seqs!$A:$B,2,FALSE),VLOOKUP($A164,'SegEnds_NonXtal_Prot#'!A:AL,10,FALSE)+7,1)</f>
        <v>M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F</v>
      </c>
      <c r="AA164" s="49" t="str">
        <f>MID(VLOOKUP($A164,Seqs!$A:$B,2,FALSE),VLOOKUP($A164,'SegEnds_NonXtal_Prot#'!A:AL,10,FALSE)+10,1)</f>
        <v>Q</v>
      </c>
      <c r="AB164" s="28" t="str">
        <f>MID(VLOOKUP($A164,Seqs!$A:$B,2,FALSE),VLOOKUP($A164,'SegEnds_NonXtal_Prot#'!$A:$AL,22,FALSE)+6,1)</f>
        <v>V</v>
      </c>
      <c r="AC164" s="49" t="str">
        <f>MID(VLOOKUP($A164,Seqs!$A:$B,2,FALSE),VLOOKUP($A164,'SegEnds_NonXtal_Prot#'!$A:$AL,22,FALSE)+7,1)</f>
        <v>G</v>
      </c>
      <c r="AD164" s="49" t="str">
        <f>MID(VLOOKUP($A164,Seqs!$A:$B,2,FALSE),VLOOKUP($A164,'SegEnds_NonXtal_Prot#'!$A:$AL,22,FALSE)+8,1)</f>
        <v>I</v>
      </c>
      <c r="AE164" s="49" t="str">
        <f>MID(VLOOKUP($A164,Seqs!$A:$B,2,FALSE),VLOOKUP($A164,'SegEnds_NonXtal_Prot#'!$A:$AL,22,FALSE)+9,1)</f>
        <v>S</v>
      </c>
      <c r="AF164" s="49" t="str">
        <f>MID(VLOOKUP($A164,Seqs!$A:$B,2,FALSE),VLOOKUP($A164,'SegEnds_NonXtal_Prot#'!$A:$AL,22,FALSE)+10,1)</f>
        <v>A</v>
      </c>
      <c r="AG164" s="28" t="str">
        <f>MID(VLOOKUP($A164,Seqs!$A:$B,2,FALSE),VLOOKUP($A164,'SegEnds_NonXtal_Prot#'!$A:$AL,28,FALSE)-4,1)</f>
        <v>A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341</v>
      </c>
      <c r="B165" s="2" t="str">
        <f>LOWER(VLOOKUP(A165,Xtal_Templ!A:B,2,FALSE))</f>
        <v>pd2r2_human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H165" s="4"/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N</v>
      </c>
      <c r="X165" s="49" t="str">
        <f>MID(VLOOKUP($A165,Seqs!$A:$B,2,FALSE),VLOOKUP($A165,'SegEnds_NonXtal_Prot#'!A:AL,10,FALSE)+7,1)</f>
        <v>L</v>
      </c>
      <c r="Y165" s="49" t="str">
        <f>MID(VLOOKUP($A165,Seqs!$A:$B,2,FALSE),VLOOKUP($A165,'SegEnds_NonXtal_Prot#'!A:AL,10,FALSE)+8,1)</f>
        <v>P</v>
      </c>
      <c r="Z165" s="49" t="str">
        <f>MID(VLOOKUP($A165,Seqs!$A:$B,2,FALSE),VLOOKUP($A165,'SegEnds_NonXtal_Prot#'!A:AL,10,FALSE)+9,1)</f>
        <v>L</v>
      </c>
      <c r="AA165" s="49" t="str">
        <f>MID(VLOOKUP($A165,Seqs!$A:$B,2,FALSE),VLOOKUP($A165,'SegEnds_NonXtal_Prot#'!A:AL,10,FALSE)+10,1)</f>
        <v>R</v>
      </c>
      <c r="AB165" s="28" t="str">
        <f>MID(VLOOKUP($A165,Seqs!$A:$B,2,FALSE),VLOOKUP($A165,'SegEnds_NonXtal_Prot#'!$A:$AL,22,FALSE)+6,1)</f>
        <v>L</v>
      </c>
      <c r="AC165" s="49" t="str">
        <f>MID(VLOOKUP($A165,Seqs!$A:$B,2,FALSE),VLOOKUP($A165,'SegEnds_NonXtal_Prot#'!$A:$AL,22,FALSE)+7,1)</f>
        <v>N</v>
      </c>
      <c r="AD165" s="49" t="str">
        <f>MID(VLOOKUP($A165,Seqs!$A:$B,2,FALSE),VLOOKUP($A165,'SegEnds_NonXtal_Prot#'!$A:$AL,22,FALSE)+8,1)</f>
        <v>G</v>
      </c>
      <c r="AE165" s="49" t="str">
        <f>MID(VLOOKUP($A165,Seqs!$A:$B,2,FALSE),VLOOKUP($A165,'SegEnds_NonXtal_Prot#'!$A:$AL,22,FALSE)+9,1)</f>
        <v>H</v>
      </c>
      <c r="AF165" s="49" t="str">
        <f>MID(VLOOKUP($A165,Seqs!$A:$B,2,FALSE),VLOOKUP($A165,'SegEnds_NonXtal_Prot#'!$A:$AL,22,FALSE)+10,1)</f>
        <v>L</v>
      </c>
      <c r="AG165" s="28" t="str">
        <f>MID(VLOOKUP($A165,Seqs!$A:$B,2,FALSE),VLOOKUP($A165,'SegEnds_NonXtal_Prot#'!$A:$AL,28,FALSE)-4,1)</f>
        <v>E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204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F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I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M</v>
      </c>
      <c r="AC166" s="49" t="str">
        <f>MID(VLOOKUP($A166,Seqs!$A:$B,2,FALSE),VLOOKUP($A166,'SegEnds_NonXtal_Prot#'!$A:$AL,22,FALSE)+7,1)</f>
        <v>A</v>
      </c>
      <c r="AD166" s="49" t="str">
        <f>MID(VLOOKUP($A166,Seqs!$A:$B,2,FALSE),VLOOKUP($A166,'SegEnds_NonXtal_Prot#'!$A:$AL,22,FALSE)+8,1)</f>
        <v>S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V</v>
      </c>
      <c r="AG166" s="28" t="str">
        <f>MID(VLOOKUP($A166,Seqs!$A:$B,2,FALSE),VLOOKUP($A166,'SegEnds_NonXtal_Prot#'!$A:$AL,28,FALSE)-4,1)</f>
        <v>G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205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G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S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206</v>
      </c>
      <c r="B168" s="2" t="str">
        <f>LOWER(VLOOKUP(A168,Xtal_Templ!A:B,2,FALSE))</f>
        <v>oprk_human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2" t="s">
        <v>5</v>
      </c>
      <c r="H168" s="4"/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D</v>
      </c>
      <c r="W168" s="49" t="str">
        <f>MID(VLOOKUP($A168,Seqs!$A:$B,2,FALSE),VLOOKUP($A168,'SegEnds_NonXtal_Prot#'!A:AL,10,FALSE)+6,1)</f>
        <v>C</v>
      </c>
      <c r="X168" s="49" t="str">
        <f>MID(VLOOKUP($A168,Seqs!$A:$B,2,FALSE),VLOOKUP($A168,'SegEnds_NonXtal_Prot#'!A:AL,10,FALSE)+7,1)</f>
        <v>C</v>
      </c>
      <c r="Y168" s="49" t="str">
        <f>MID(VLOOKUP($A168,Seqs!$A:$B,2,FALSE),VLOOKUP($A168,'SegEnds_NonXtal_Prot#'!A:AL,10,FALSE)+8,1)</f>
        <v>V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F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S</v>
      </c>
      <c r="AD168" s="49" t="str">
        <f>MID(VLOOKUP($A168,Seqs!$A:$B,2,FALSE),VLOOKUP($A168,'SegEnds_NonXtal_Prot#'!$A:$AL,22,FALSE)+8,1)</f>
        <v>A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Y</v>
      </c>
      <c r="AG168" s="28" t="str">
        <f>MID(VLOOKUP($A168,Seqs!$A:$B,2,FALSE),VLOOKUP($A168,'SegEnds_NonXtal_Prot#'!$A:$AL,28,FALSE)-4,1)</f>
        <v>G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209</v>
      </c>
      <c r="B169" s="2" t="str">
        <f>LOWER(VLOOKUP(A169,Xtal_Templ!A:B,2,FALSE))</f>
        <v>apj_human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106" t="s">
        <v>5</v>
      </c>
      <c r="N169" s="2" t="s">
        <v>14</v>
      </c>
      <c r="R169" s="2" t="s">
        <v>9</v>
      </c>
      <c r="T169" s="4" t="s">
        <v>12</v>
      </c>
      <c r="V169" s="28" t="str">
        <f>MID(VLOOKUP($A169,Seqs!$A:$B,2,FALSE),VLOOKUP($A169,'SegEnds_NonXtal_Prot#'!A:AL,10,FALSE),1)</f>
        <v>N</v>
      </c>
      <c r="W169" s="49" t="str">
        <f>MID(VLOOKUP($A169,Seqs!$A:$B,2,FALSE),VLOOKUP($A169,'SegEnds_NonXtal_Prot#'!A:AL,10,FALSE)+6,1)</f>
        <v>I</v>
      </c>
      <c r="X169" s="49" t="str">
        <f>MID(VLOOKUP($A169,Seqs!$A:$B,2,FALSE),VLOOKUP($A169,'SegEnds_NonXtal_Prot#'!A:AL,10,FALSE)+7,1)</f>
        <v>V</v>
      </c>
      <c r="Y169" s="49" t="str">
        <f>MID(VLOOKUP($A169,Seqs!$A:$B,2,FALSE),VLOOKUP($A169,'SegEnds_NonXtal_Prot#'!A:AL,10,FALSE)+8,1)</f>
        <v>M</v>
      </c>
      <c r="Z169" s="49" t="str">
        <f>MID(VLOOKUP($A169,Seqs!$A:$B,2,FALSE),VLOOKUP($A169,'SegEnds_NonXtal_Prot#'!A:AL,10,FALSE)+9,1)</f>
        <v>P</v>
      </c>
      <c r="AA169" s="49" t="str">
        <f>MID(VLOOKUP($A169,Seqs!$A:$B,2,FALSE),VLOOKUP($A169,'SegEnds_NonXtal_Prot#'!A:AL,10,FALSE)+10,1)</f>
        <v>L</v>
      </c>
      <c r="AB169" s="28" t="str">
        <f>MID(VLOOKUP($A169,Seqs!$A:$B,2,FALSE),VLOOKUP($A169,'SegEnds_NonXtal_Prot#'!$A:$AL,22,FALSE)+6,1)</f>
        <v>F</v>
      </c>
      <c r="AC169" s="49" t="str">
        <f>MID(VLOOKUP($A169,Seqs!$A:$B,2,FALSE),VLOOKUP($A169,'SegEnds_NonXtal_Prot#'!$A:$AL,22,FALSE)+7,1)</f>
        <v>A</v>
      </c>
      <c r="AD169" s="49" t="str">
        <f>MID(VLOOKUP($A169,Seqs!$A:$B,2,FALSE),VLOOKUP($A169,'SegEnds_NonXtal_Prot#'!$A:$AL,22,FALSE)+8,1)</f>
        <v>G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Q</v>
      </c>
      <c r="AG169" s="28" t="str">
        <f>MID(VLOOKUP($A169,Seqs!$A:$B,2,FALSE),VLOOKUP($A169,'SegEnds_NonXtal_Prot#'!$A:$AL,28,FALSE)-4,1)</f>
        <v>L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336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913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Xtal</v>
      </c>
      <c r="H171" s="4"/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T</v>
      </c>
      <c r="X171" s="49" t="str">
        <f>MID(VLOOKUP($A171,Seqs!$A:$B,2,FALSE),VLOOKUP($A171,'SegEnds_NonXtal_Prot#'!A:AL,10,FALSE)+7,1)</f>
        <v>L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Q</v>
      </c>
      <c r="AB171" s="28" t="str">
        <f>MID(VLOOKUP($A171,Seqs!$A:$B,2,FALSE),VLOOKUP($A171,'SegEnds_NonXtal_Prot#'!$A:$AL,22,FALSE)+6,1)</f>
        <v>I</v>
      </c>
      <c r="AC171" s="49" t="str">
        <f>MID(VLOOKUP($A171,Seqs!$A:$B,2,FALSE),VLOOKUP($A171,'SegEnds_NonXtal_Prot#'!$A:$AL,22,FALSE)+7,1)</f>
        <v>G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V</v>
      </c>
      <c r="AG171" s="28" t="str">
        <f>MID(VLOOKUP($A171,Seqs!$A:$B,2,FALSE),VLOOKUP($A171,'SegEnds_NonXtal_Prot#'!$A:$AL,28,FALSE)-4,1)</f>
        <v>A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380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S</v>
      </c>
      <c r="X172" s="49" t="str">
        <f>MID(VLOOKUP($A172,Seqs!$A:$B,2,FALSE),VLOOKUP($A172,'SegEnds_NonXtal_Prot#'!A:AL,10,FALSE)+7,1)</f>
        <v>V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381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V</v>
      </c>
      <c r="AC173" s="49" t="str">
        <f>MID(VLOOKUP($A173,Seqs!$A:$B,2,FALSE),VLOOKUP($A173,'SegEnds_NonXtal_Prot#'!$A:$AL,22,FALSE)+7,1)</f>
        <v>I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I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384</v>
      </c>
      <c r="B174" s="2" t="str">
        <f>LOWER(VLOOKUP(A174,Xtal_Templ!A:B,2,FALSE))</f>
        <v>oprk_human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G</v>
      </c>
      <c r="X174" s="49" t="str">
        <f>MID(VLOOKUP($A174,Seqs!$A:$B,2,FALSE),VLOOKUP($A174,'SegEnds_NonXtal_Prot#'!A:AL,10,FALSE)+7,1)</f>
        <v>L</v>
      </c>
      <c r="Y174" s="49" t="str">
        <f>MID(VLOOKUP($A174,Seqs!$A:$B,2,FALSE),VLOOKUP($A174,'SegEnds_NonXtal_Prot#'!A:AL,10,FALSE)+8,1)</f>
        <v>P</v>
      </c>
      <c r="Z174" s="49" t="str">
        <f>MID(VLOOKUP($A174,Seqs!$A:$B,2,FALSE),VLOOKUP($A174,'SegEnds_NonXtal_Prot#'!A:AL,10,FALSE)+9,1)</f>
        <v>F</v>
      </c>
      <c r="AA174" s="49" t="str">
        <f>MID(VLOOKUP($A174,Seqs!$A:$B,2,FALSE),VLOOKUP($A174,'SegEnds_NonXtal_Prot#'!A:AL,10,FALSE)+10,1)</f>
        <v>L</v>
      </c>
      <c r="AB174" s="28" t="str">
        <f>MID(VLOOKUP($A174,Seqs!$A:$B,2,FALSE),VLOOKUP($A174,'SegEnds_NonXtal_Prot#'!$A:$AL,22,FALSE)+6,1)</f>
        <v>M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L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L</v>
      </c>
      <c r="AG174" s="28" t="str">
        <f>MID(VLOOKUP($A174,Seqs!$A:$B,2,FALSE),VLOOKUP($A174,'SegEnds_NonXtal_Prot#'!$A:$AL,28,FALSE)-4,1)</f>
        <v>G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396</v>
      </c>
      <c r="B175" s="2" t="str">
        <f>LOWER(VLOOKUP(A175,Xtal_Templ!A:B,2,FALSE))</f>
        <v>ox2r_human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R175" s="2" t="s">
        <v>9</v>
      </c>
      <c r="T175" s="4" t="s">
        <v>12</v>
      </c>
      <c r="V175" s="28" t="str">
        <f>MID(VLOOKUP($A175,Seqs!$A:$B,2,FALSE),VLOOKUP($A175,'SegEnds_NonXtal_Prot#'!A:AL,10,FALSE),1)</f>
        <v>D</v>
      </c>
      <c r="W175" s="49" t="str">
        <f>MID(VLOOKUP($A175,Seqs!$A:$B,2,FALSE),VLOOKUP($A175,'SegEnds_NonXtal_Prot#'!A:AL,10,FALSE)+6,1)</f>
        <v>F</v>
      </c>
      <c r="X175" s="49" t="str">
        <f>MID(VLOOKUP($A175,Seqs!$A:$B,2,FALSE),VLOOKUP($A175,'SegEnds_NonXtal_Prot#'!A:AL,10,FALSE)+7,1)</f>
        <v>Q</v>
      </c>
      <c r="Y175" s="49" t="str">
        <f>MID(VLOOKUP($A175,Seqs!$A:$B,2,FALSE),VLOOKUP($A175,'SegEnds_NonXtal_Prot#'!A:AL,10,FALSE)+8,1)</f>
        <v>V</v>
      </c>
      <c r="Z175" s="49" t="str">
        <f>MID(VLOOKUP($A175,Seqs!$A:$B,2,FALSE),VLOOKUP($A175,'SegEnds_NonXtal_Prot#'!A:AL,10,FALSE)+9,1)</f>
        <v>L</v>
      </c>
      <c r="AA175" s="49" t="str">
        <f>MID(VLOOKUP($A175,Seqs!$A:$B,2,FALSE),VLOOKUP($A175,'SegEnds_NonXtal_Prot#'!A:AL,10,FALSE)+10,1)</f>
        <v>P</v>
      </c>
      <c r="AB175" s="28" t="str">
        <f>MID(VLOOKUP($A175,Seqs!$A:$B,2,FALSE),VLOOKUP($A175,'SegEnds_NonXtal_Prot#'!$A:$AL,22,FALSE)+6,1)</f>
        <v>L</v>
      </c>
      <c r="AC175" s="49" t="str">
        <f>MID(VLOOKUP($A175,Seqs!$A:$B,2,FALSE),VLOOKUP($A175,'SegEnds_NonXtal_Prot#'!$A:$AL,22,FALSE)+7,1)</f>
        <v>S</v>
      </c>
      <c r="AD175" s="49" t="str">
        <f>MID(VLOOKUP($A175,Seqs!$A:$B,2,FALSE),VLOOKUP($A175,'SegEnds_NonXtal_Prot#'!$A:$AL,22,FALSE)+8,1)</f>
        <v>T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Q</v>
      </c>
      <c r="AG175" s="28" t="str">
        <f>MID(VLOOKUP($A175,Seqs!$A:$B,2,FALSE),VLOOKUP($A175,'SegEnds_NonXtal_Prot#'!$A:$AL,28,FALSE)-4,1)</f>
        <v>I</v>
      </c>
      <c r="AH175" s="49" t="str">
        <f>MID(VLOOKUP($A175,Seqs!$A:$B,2,FALSE),VLOOKUP($A175,'SegEnds_NonXtal_Prot#'!$A:$AL,28,FALSE),1)</f>
        <v>P</v>
      </c>
    </row>
    <row r="176" spans="1:34" s="2" customFormat="1" x14ac:dyDescent="0.2">
      <c r="A176" s="2" t="s">
        <v>216</v>
      </c>
      <c r="B176" s="2" t="str">
        <f>LOWER(VLOOKUP(A176,Xtal_Templ!A:B,2,FALSE))</f>
        <v>ccr7_human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N176" s="2" t="s">
        <v>14</v>
      </c>
      <c r="T176" s="4" t="s">
        <v>12</v>
      </c>
      <c r="V176" s="28" t="str">
        <f>MID(VLOOKUP($A176,Seqs!$A:$B,2,FALSE),VLOOKUP($A176,'SegEnds_NonXtal_Prot#'!A:AL,10,FALSE),1)</f>
        <v>H</v>
      </c>
      <c r="W176" s="49" t="str">
        <f>MID(VLOOKUP($A176,Seqs!$A:$B,2,FALSE),VLOOKUP($A176,'SegEnds_NonXtal_Prot#'!A:AL,10,FALSE)+6,1)</f>
        <v>T</v>
      </c>
      <c r="X176" s="49" t="str">
        <f>MID(VLOOKUP($A176,Seqs!$A:$B,2,FALSE),VLOOKUP($A176,'SegEnds_NonXtal_Prot#'!A:AL,10,FALSE)+7,1)</f>
        <v>V</v>
      </c>
      <c r="Y176" s="49" t="str">
        <f>MID(VLOOKUP($A176,Seqs!$A:$B,2,FALSE),VLOOKUP($A176,'SegEnds_NonXtal_Prot#'!A:AL,10,FALSE)+8,1)</f>
        <v>P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R</v>
      </c>
      <c r="AB176" s="28" t="str">
        <f>MID(VLOOKUP($A176,Seqs!$A:$B,2,FALSE),VLOOKUP($A176,'SegEnds_NonXtal_Prot#'!$A:$AL,22,FALSE)+6,1)</f>
        <v>I</v>
      </c>
      <c r="AC176" s="49" t="str">
        <f>MID(VLOOKUP($A176,Seqs!$A:$B,2,FALSE),VLOOKUP($A176,'SegEnds_NonXtal_Prot#'!$A:$AL,22,FALSE)+7,1)</f>
        <v>V</v>
      </c>
      <c r="AD176" s="49" t="str">
        <f>MID(VLOOKUP($A176,Seqs!$A:$B,2,FALSE),VLOOKUP($A176,'SegEnds_NonXtal_Prot#'!$A:$AL,22,FALSE)+8,1)</f>
        <v>V</v>
      </c>
      <c r="AE176" s="49" t="str">
        <f>MID(VLOOKUP($A176,Seqs!$A:$B,2,FALSE),VLOOKUP($A176,'SegEnds_NonXtal_Prot#'!$A:$AL,22,FALSE)+9,1)</f>
        <v>P</v>
      </c>
      <c r="AF176" s="49" t="str">
        <f>MID(VLOOKUP($A176,Seqs!$A:$B,2,FALSE),VLOOKUP($A176,'SegEnds_NonXtal_Prot#'!$A:$AL,22,FALSE)+10,1)</f>
        <v>L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L</v>
      </c>
    </row>
    <row r="177" spans="1:34" s="2" customFormat="1" x14ac:dyDescent="0.2">
      <c r="A177" s="2" t="s">
        <v>217</v>
      </c>
      <c r="B177" s="2" t="str">
        <f>LOWER(VLOOKUP(A177,Xtal_Templ!A:B,2,FALSE))</f>
        <v>drd4_mouse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H177" s="4"/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V</v>
      </c>
      <c r="X177" s="49" t="str">
        <f>MID(VLOOKUP($A177,Seqs!$A:$B,2,FALSE),VLOOKUP($A177,'SegEnds_NonXtal_Prot#'!A:AL,10,FALSE)+7,1)</f>
        <v>I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F</v>
      </c>
      <c r="AA177" s="49" t="str">
        <f>MID(VLOOKUP($A177,Seqs!$A:$B,2,FALSE),VLOOKUP($A177,'SegEnds_NonXtal_Prot#'!A:AL,10,FALSE)+10,1)</f>
        <v>A</v>
      </c>
      <c r="AB177" s="28" t="str">
        <f>MID(VLOOKUP($A177,Seqs!$A:$B,2,FALSE),VLOOKUP($A177,'SegEnds_NonXtal_Prot#'!$A:$AL,22,FALSE)+6,1)</f>
        <v>L</v>
      </c>
      <c r="AC177" s="49" t="str">
        <f>MID(VLOOKUP($A177,Seqs!$A:$B,2,FALSE),VLOOKUP($A177,'SegEnds_NonXtal_Prot#'!$A:$AL,22,FALSE)+7,1)</f>
        <v>T</v>
      </c>
      <c r="AD177" s="49" t="str">
        <f>MID(VLOOKUP($A177,Seqs!$A:$B,2,FALSE),VLOOKUP($A177,'SegEnds_NonXtal_Prot#'!$A:$AL,22,FALSE)+8,1)</f>
        <v>G</v>
      </c>
      <c r="AE177" s="49" t="str">
        <f>MID(VLOOKUP($A177,Seqs!$A:$B,2,FALSE),VLOOKUP($A177,'SegEnds_NonXtal_Prot#'!$A:$AL,22,FALSE)+9,1)</f>
        <v>I</v>
      </c>
      <c r="AF177" s="49" t="str">
        <f>MID(VLOOKUP($A177,Seqs!$A:$B,2,FALSE),VLOOKUP($A177,'SegEnds_NonXtal_Prot#'!$A:$AL,22,FALSE)+10,1)</f>
        <v>P</v>
      </c>
      <c r="AG177" s="28" t="str">
        <f>MID(VLOOKUP($A177,Seqs!$A:$B,2,FALSE),VLOOKUP($A177,'SegEnds_NonXtal_Prot#'!$A:$AL,28,FALSE)-4,1)</f>
        <v>V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281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2" t="s">
        <v>5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C</v>
      </c>
      <c r="X178" s="49" t="str">
        <f>MID(VLOOKUP($A178,Seqs!$A:$B,2,FALSE),VLOOKUP($A178,'SegEnds_NonXtal_Prot#'!A:AL,10,FALSE)+7,1)</f>
        <v>C</v>
      </c>
      <c r="Y178" s="49" t="str">
        <f>MID(VLOOKUP($A178,Seqs!$A:$B,2,FALSE),VLOOKUP($A178,'SegEnds_NonXtal_Prot#'!A:AL,10,FALSE)+8,1)</f>
        <v>V</v>
      </c>
      <c r="Z178" s="49" t="str">
        <f>MID(VLOOKUP($A178,Seqs!$A:$B,2,FALSE),VLOOKUP($A178,'SegEnds_NonXtal_Prot#'!A:AL,10,FALSE)+9,1)</f>
        <v>P</v>
      </c>
      <c r="AA178" s="49" t="str">
        <f>MID(VLOOKUP($A178,Seqs!$A:$B,2,FALSE),VLOOKUP($A178,'SegEnds_NonXtal_Prot#'!A:AL,10,FALSE)+10,1)</f>
        <v>F</v>
      </c>
      <c r="AB178" s="28" t="str">
        <f>MID(VLOOKUP($A178,Seqs!$A:$B,2,FALSE),VLOOKUP($A178,'SegEnds_NonXtal_Prot#'!$A:$AL,22,FALSE)+6,1)</f>
        <v>V</v>
      </c>
      <c r="AC178" s="49" t="str">
        <f>MID(VLOOKUP($A178,Seqs!$A:$B,2,FALSE),VLOOKUP($A178,'SegEnds_NonXtal_Prot#'!$A:$AL,22,FALSE)+7,1)</f>
        <v>S</v>
      </c>
      <c r="AD178" s="49" t="str">
        <f>MID(VLOOKUP($A178,Seqs!$A:$B,2,FALSE),VLOOKUP($A178,'SegEnds_NonXtal_Prot#'!$A:$AL,22,FALSE)+8,1)</f>
        <v>A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L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298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G</v>
      </c>
      <c r="X179" s="49" t="str">
        <f>MID(VLOOKUP($A179,Seqs!$A:$B,2,FALSE),VLOOKUP($A179,'SegEnds_NonXtal_Prot#'!A:AL,10,FALSE)+7,1)</f>
        <v>M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F</v>
      </c>
      <c r="AA179" s="49" t="str">
        <f>MID(VLOOKUP($A179,Seqs!$A:$B,2,FALSE),VLOOKUP($A179,'SegEnds_NonXtal_Prot#'!A:AL,10,FALSE)+10,1)</f>
        <v>M</v>
      </c>
      <c r="AB179" s="28" t="str">
        <f>MID(VLOOKUP($A179,Seqs!$A:$B,2,FALSE),VLOOKUP($A179,'SegEnds_NonXtal_Prot#'!$A:$AL,22,FALSE)+6,1)</f>
        <v>S</v>
      </c>
      <c r="AC179" s="49" t="str">
        <f>MID(VLOOKUP($A179,Seqs!$A:$B,2,FALSE),VLOOKUP($A179,'SegEnds_NonXtal_Prot#'!$A:$AL,22,FALSE)+7,1)</f>
        <v>I</v>
      </c>
      <c r="AD179" s="49" t="str">
        <f>MID(VLOOKUP($A179,Seqs!$A:$B,2,FALSE),VLOOKUP($A179,'SegEnds_NonXtal_Prot#'!$A:$AL,22,FALSE)+8,1)</f>
        <v>T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V</v>
      </c>
      <c r="AG179" s="28" t="str">
        <f>MID(VLOOKUP($A179,Seqs!$A:$B,2,FALSE),VLOOKUP($A179,'SegEnds_NonXtal_Prot#'!$A:$AL,28,FALSE)-4,1)</f>
        <v>A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319</v>
      </c>
      <c r="B180" s="2" t="str">
        <f>LOWER(VLOOKUP(A180,Xtal_Templ!A:B,2,FALSE))</f>
        <v>oprk_human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H180" s="4"/>
      <c r="N180" s="2" t="s">
        <v>14</v>
      </c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V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I</v>
      </c>
      <c r="AA180" s="49" t="str">
        <f>MID(VLOOKUP($A180,Seqs!$A:$B,2,FALSE),VLOOKUP($A180,'SegEnds_NonXtal_Prot#'!A:AL,10,FALSE)+10,1)</f>
        <v>N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V</v>
      </c>
      <c r="AD180" s="49" t="str">
        <f>MID(VLOOKUP($A180,Seqs!$A:$B,2,FALSE),VLOOKUP($A180,'SegEnds_NonXtal_Prot#'!$A:$AL,22,FALSE)+8,1)</f>
        <v>L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F</v>
      </c>
      <c r="AG180" s="28" t="str">
        <f>MID(VLOOKUP($A180,Seqs!$A:$B,2,FALSE),VLOOKUP($A180,'SegEnds_NonXtal_Prot#'!$A:$AL,28,FALSE)-4,1)</f>
        <v>G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1169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Xtal</v>
      </c>
      <c r="H181" s="4"/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T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Q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G</v>
      </c>
      <c r="AD181" s="49" t="str">
        <f>MID(VLOOKUP($A181,Seqs!$A:$B,2,FALSE),VLOOKUP($A181,'SegEnds_NonXtal_Prot#'!$A:$AL,22,FALSE)+8,1)</f>
        <v>V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S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382</v>
      </c>
      <c r="B182" s="2" t="str">
        <f>LOWER(VLOOKUP(A182,Xtal_Templ!A:B,2,FALSE))</f>
        <v>oprk_human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N182" s="2" t="s">
        <v>14</v>
      </c>
      <c r="R182" s="2" t="s">
        <v>9</v>
      </c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G</v>
      </c>
      <c r="X182" s="49" t="str">
        <f>MID(VLOOKUP($A182,Seqs!$A:$B,2,FALSE),VLOOKUP($A182,'SegEnds_NonXtal_Prot#'!A:AL,10,FALSE)+7,1)</f>
        <v>L</v>
      </c>
      <c r="Y182" s="49" t="str">
        <f>MID(VLOOKUP($A182,Seqs!$A:$B,2,FALSE),VLOOKUP($A182,'SegEnds_NonXtal_Prot#'!A:AL,10,FALSE)+8,1)</f>
        <v>P</v>
      </c>
      <c r="Z182" s="49" t="str">
        <f>MID(VLOOKUP($A182,Seqs!$A:$B,2,FALSE),VLOOKUP($A182,'SegEnds_NonXtal_Prot#'!A:AL,10,FALSE)+9,1)</f>
        <v>F</v>
      </c>
      <c r="AA182" s="49" t="str">
        <f>MID(VLOOKUP($A182,Seqs!$A:$B,2,FALSE),VLOOKUP($A182,'SegEnds_NonXtal_Prot#'!A:AL,10,FALSE)+10,1)</f>
        <v>L</v>
      </c>
      <c r="AB182" s="28" t="str">
        <f>MID(VLOOKUP($A182,Seqs!$A:$B,2,FALSE),VLOOKUP($A182,'SegEnds_NonXtal_Prot#'!$A:$AL,22,FALSE)+6,1)</f>
        <v>V</v>
      </c>
      <c r="AC182" s="49" t="str">
        <f>MID(VLOOKUP($A182,Seqs!$A:$B,2,FALSE),VLOOKUP($A182,'SegEnds_NonXtal_Prot#'!$A:$AL,22,FALSE)+7,1)</f>
        <v>V</v>
      </c>
      <c r="AD182" s="49" t="str">
        <f>MID(VLOOKUP($A182,Seqs!$A:$B,2,FALSE),VLOOKUP($A182,'SegEnds_NonXtal_Prot#'!$A:$AL,22,FALSE)+8,1)</f>
        <v>L</v>
      </c>
      <c r="AE182" s="49" t="str">
        <f>MID(VLOOKUP($A182,Seqs!$A:$B,2,FALSE),VLOOKUP($A182,'SegEnds_NonXtal_Prot#'!$A:$AL,22,FALSE)+9,1)</f>
        <v>P</v>
      </c>
      <c r="AF182" s="49" t="str">
        <f>MID(VLOOKUP($A182,Seqs!$A:$B,2,FALSE),VLOOKUP($A182,'SegEnds_NonXtal_Prot#'!$A:$AL,22,FALSE)+10,1)</f>
        <v>V</v>
      </c>
      <c r="AG182" s="28" t="str">
        <f>MID(VLOOKUP($A182,Seqs!$A:$B,2,FALSE),VLOOKUP($A182,'SegEnds_NonXtal_Prot#'!$A:$AL,28,FALSE)-4,1)</f>
        <v>G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393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A</v>
      </c>
      <c r="X183" s="49" t="str">
        <f>MID(VLOOKUP($A183,Seqs!$A:$B,2,FALSE),VLOOKUP($A183,'SegEnds_NonXtal_Prot#'!A:AL,10,FALSE)+7,1)</f>
        <v>A</v>
      </c>
      <c r="Y183" s="49" t="str">
        <f>MID(VLOOKUP($A183,Seqs!$A:$B,2,FALSE),VLOOKUP($A183,'SegEnds_NonXtal_Prot#'!A:AL,10,FALSE)+8,1)</f>
        <v>G</v>
      </c>
      <c r="Z183" s="49" t="str">
        <f>MID(VLOOKUP($A183,Seqs!$A:$B,2,FALSE),VLOOKUP($A183,'SegEnds_NonXtal_Prot#'!A:AL,10,FALSE)+9,1)</f>
        <v>L</v>
      </c>
      <c r="AA183" s="49" t="str">
        <f>MID(VLOOKUP($A183,Seqs!$A:$B,2,FALSE),VLOOKUP($A183,'SegEnds_NonXtal_Prot#'!A:AL,10,FALSE)+10,1)</f>
        <v>P</v>
      </c>
      <c r="AB183" s="28" t="str">
        <f>MID(VLOOKUP($A183,Seqs!$A:$B,2,FALSE),VLOOKUP($A183,'SegEnds_NonXtal_Prot#'!$A:$AL,22,FALSE)+6,1)</f>
        <v>Y</v>
      </c>
      <c r="AC183" s="49" t="str">
        <f>MID(VLOOKUP($A183,Seqs!$A:$B,2,FALSE),VLOOKUP($A183,'SegEnds_NonXtal_Prot#'!$A:$AL,22,FALSE)+7,1)</f>
        <v>C</v>
      </c>
      <c r="AD183" s="49" t="str">
        <f>MID(VLOOKUP($A183,Seqs!$A:$B,2,FALSE),VLOOKUP($A183,'SegEnds_NonXtal_Prot#'!$A:$AL,22,FALSE)+8,1)</f>
        <v>M</v>
      </c>
      <c r="AE183" s="49" t="str">
        <f>MID(VLOOKUP($A183,Seqs!$A:$B,2,FALSE),VLOOKUP($A183,'SegEnds_NonXtal_Prot#'!$A:$AL,22,FALSE)+9,1)</f>
        <v>L</v>
      </c>
      <c r="AF183" s="49" t="str">
        <f>MID(VLOOKUP($A183,Seqs!$A:$B,2,FALSE),VLOOKUP($A183,'SegEnds_NonXtal_Prot#'!$A:$AL,22,FALSE)+10,1)</f>
        <v>W</v>
      </c>
      <c r="AG183" s="28" t="str">
        <f>MID(VLOOKUP($A183,Seqs!$A:$B,2,FALSE),VLOOKUP($A183,'SegEnds_NonXtal_Prot#'!$A:$AL,28,FALSE)-4,1)</f>
        <v>F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395</v>
      </c>
      <c r="B184" s="2" t="str">
        <f>LOWER(VLOOKUP(A184,Xtal_Templ!A:B,2,FALSE))</f>
        <v>adrb2_human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S</v>
      </c>
      <c r="X184" s="49" t="str">
        <f>MID(VLOOKUP($A184,Seqs!$A:$B,2,FALSE),VLOOKUP($A184,'SegEnds_NonXtal_Prot#'!A:AL,10,FALSE)+7,1)</f>
        <v>I</v>
      </c>
      <c r="Y184" s="49" t="str">
        <f>MID(VLOOKUP($A184,Seqs!$A:$B,2,FALSE),VLOOKUP($A184,'SegEnds_NonXtal_Prot#'!A:AL,10,FALSE)+8,1)</f>
        <v>P</v>
      </c>
      <c r="Z184" s="49" t="str">
        <f>MID(VLOOKUP($A184,Seqs!$A:$B,2,FALSE),VLOOKUP($A184,'SegEnds_NonXtal_Prot#'!A:AL,10,FALSE)+9,1)</f>
        <v>F</v>
      </c>
      <c r="AA184" s="49" t="str">
        <f>MID(VLOOKUP($A184,Seqs!$A:$B,2,FALSE),VLOOKUP($A184,'SegEnds_NonXtal_Prot#'!A:AL,10,FALSE)+10,1)</f>
        <v>I</v>
      </c>
      <c r="AB184" s="28" t="str">
        <f>MID(VLOOKUP($A184,Seqs!$A:$B,2,FALSE),VLOOKUP($A184,'SegEnds_NonXtal_Prot#'!$A:$AL,22,FALSE)+6,1)</f>
        <v>L</v>
      </c>
      <c r="AC184" s="49" t="str">
        <f>MID(VLOOKUP($A184,Seqs!$A:$B,2,FALSE),VLOOKUP($A184,'SegEnds_NonXtal_Prot#'!$A:$AL,22,FALSE)+7,1)</f>
        <v>T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V</v>
      </c>
      <c r="AG184" s="28" t="str">
        <f>MID(VLOOKUP($A184,Seqs!$A:$B,2,FALSE),VLOOKUP($A184,'SegEnds_NonXtal_Prot#'!$A:$AL,28,FALSE)-4,1)</f>
        <v>S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397</v>
      </c>
      <c r="B185" s="2" t="str">
        <f>LOWER(VLOOKUP(A185,Xtal_Templ!A:B,2,FALSE))</f>
        <v>ntr1_human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F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I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398</v>
      </c>
      <c r="B186" s="2" t="str">
        <f>LOWER(VLOOKUP(A186,Xtal_Templ!A:B,2,FALSE))</f>
        <v>ntr1_rat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H186" s="4"/>
      <c r="N186" s="2" t="s">
        <v>14</v>
      </c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Q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L</v>
      </c>
      <c r="AA186" s="49" t="str">
        <f>MID(VLOOKUP($A186,Seqs!$A:$B,2,FALSE),VLOOKUP($A186,'SegEnds_NonXtal_Prot#'!A:AL,10,FALSE)+10,1)</f>
        <v>P</v>
      </c>
      <c r="AB186" s="28" t="str">
        <f>MID(VLOOKUP($A186,Seqs!$A:$B,2,FALSE),VLOOKUP($A186,'SegEnds_NonXtal_Prot#'!$A:$AL,22,FALSE)+6,1)</f>
        <v>L</v>
      </c>
      <c r="AC186" s="49" t="str">
        <f>MID(VLOOKUP($A186,Seqs!$A:$B,2,FALSE),VLOOKUP($A186,'SegEnds_NonXtal_Prot#'!$A:$AL,22,FALSE)+7,1)</f>
        <v>S</v>
      </c>
      <c r="AD186" s="49" t="str">
        <f>MID(VLOOKUP($A186,Seqs!$A:$B,2,FALSE),VLOOKUP($A186,'SegEnds_NonXtal_Prot#'!$A:$AL,22,FALSE)+8,1)</f>
        <v>L</v>
      </c>
      <c r="AE186" s="49" t="str">
        <f>MID(VLOOKUP($A186,Seqs!$A:$B,2,FALSE),VLOOKUP($A186,'SegEnds_NonXtal_Prot#'!$A:$AL,22,FALSE)+9,1)</f>
        <v>P</v>
      </c>
      <c r="AF186" s="49" t="str">
        <f>MID(VLOOKUP($A186,Seqs!$A:$B,2,FALSE),VLOOKUP($A186,'SegEnds_NonXtal_Prot#'!$A:$AL,22,FALSE)+10,1)</f>
        <v>Q</v>
      </c>
      <c r="AG186" s="28" t="str">
        <f>MID(VLOOKUP($A186,Seqs!$A:$B,2,FALSE),VLOOKUP($A186,'SegEnds_NonXtal_Prot#'!$A:$AL,28,FALSE)-4,1)</f>
        <v>V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F</v>
      </c>
      <c r="X187" s="49" t="str">
        <f>MID(VLOOKUP($A187,Seqs!$A:$B,2,FALSE),VLOOKUP($A187,'SegEnds_NonXtal_Prot#'!A:AL,10,FALSE)+7,1)</f>
        <v>G</v>
      </c>
      <c r="Y187" s="49" t="str">
        <f>MID(VLOOKUP($A187,Seqs!$A:$B,2,FALSE),VLOOKUP($A187,'SegEnds_NonXtal_Prot#'!A:AL,10,FALSE)+8,1)</f>
        <v>V</v>
      </c>
      <c r="Z187" s="49" t="str">
        <f>MID(VLOOKUP($A187,Seqs!$A:$B,2,FALSE),VLOOKUP($A187,'SegEnds_NonXtal_Prot#'!A:AL,10,FALSE)+9,1)</f>
        <v>T</v>
      </c>
      <c r="AA187" s="49" t="str">
        <f>MID(VLOOKUP($A187,Seqs!$A:$B,2,FALSE),VLOOKUP($A187,'SegEnds_NonXtal_Prot#'!A:AL,10,FALSE)+10,1)</f>
        <v>F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A</v>
      </c>
      <c r="AD187" s="49" t="str">
        <f>MID(VLOOKUP($A187,Seqs!$A:$B,2,FALSE),VLOOKUP($A187,'SegEnds_NonXtal_Prot#'!$A:$AL,22,FALSE)+8,1)</f>
        <v>G</v>
      </c>
      <c r="AE187" s="49" t="str">
        <f>MID(VLOOKUP($A187,Seqs!$A:$B,2,FALSE),VLOOKUP($A187,'SegEnds_NonXtal_Prot#'!$A:$AL,22,FALSE)+9,1)</f>
        <v>A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C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332</v>
      </c>
      <c r="B188" s="2" t="s">
        <v>915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T</v>
      </c>
      <c r="X188" s="49" t="str">
        <f>MID(VLOOKUP($A188,Seqs!$A:$B,2,FALSE),VLOOKUP($A188,'SegEnds_NonXtal_Prot#'!A:AL,10,FALSE)+7,1)</f>
        <v>Q</v>
      </c>
      <c r="Y188" s="49" t="str">
        <f>MID(VLOOKUP($A188,Seqs!$A:$B,2,FALSE),VLOOKUP($A188,'SegEnds_NonXtal_Prot#'!A:AL,10,FALSE)+8,1)</f>
        <v>A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V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S</v>
      </c>
      <c r="AD188" s="49" t="str">
        <f>MID(VLOOKUP($A188,Seqs!$A:$B,2,FALSE),VLOOKUP($A188,'SegEnds_NonXtal_Prot#'!$A:$AL,22,FALSE)+8,1)</f>
        <v>L</v>
      </c>
      <c r="AE188" s="49" t="str">
        <f>MID(VLOOKUP($A188,Seqs!$A:$B,2,FALSE),VLOOKUP($A188,'SegEnds_NonXtal_Prot#'!$A:$AL,22,FALSE)+9,1)</f>
        <v>P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V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333</v>
      </c>
      <c r="B189" s="2" t="s">
        <v>915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V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K</v>
      </c>
      <c r="Z189" s="49" t="str">
        <f>MID(VLOOKUP($A189,Seqs!$A:$B,2,FALSE),VLOOKUP($A189,'SegEnds_NonXtal_Prot#'!A:AL,10,FALSE)+9,1)</f>
        <v>P</v>
      </c>
      <c r="AA189" s="49" t="str">
        <f>MID(VLOOKUP($A189,Seqs!$A:$B,2,FALSE),VLOOKUP($A189,'SegEnds_NonXtal_Prot#'!A:AL,10,FALSE)+10,1)</f>
        <v>F</v>
      </c>
      <c r="AB189" s="28" t="str">
        <f>MID(VLOOKUP($A189,Seqs!$A:$B,2,FALSE),VLOOKUP($A189,'SegEnds_NonXtal_Prot#'!$A:$AL,22,FALSE)+6,1)</f>
        <v>W</v>
      </c>
      <c r="AC189" s="49" t="str">
        <f>MID(VLOOKUP($A189,Seqs!$A:$B,2,FALSE),VLOOKUP($A189,'SegEnds_NonXtal_Prot#'!$A:$AL,22,FALSE)+7,1)</f>
        <v>T</v>
      </c>
      <c r="AD189" s="49" t="str">
        <f>MID(VLOOKUP($A189,Seqs!$A:$B,2,FALSE),VLOOKUP($A189,'SegEnds_NonXtal_Prot#'!$A:$AL,22,FALSE)+8,1)</f>
        <v>T</v>
      </c>
      <c r="AE189" s="49" t="str">
        <f>MID(VLOOKUP($A189,Seqs!$A:$B,2,FALSE),VLOOKUP($A189,'SegEnds_NonXtal_Prot#'!$A:$AL,22,FALSE)+9,1)</f>
        <v>M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C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915</v>
      </c>
      <c r="B190" s="2" t="str">
        <f>LOWER(VLOOKUP(A190,Xtal_Templ!A:B,2,FALSE))</f>
        <v>opsd_bovin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G190" s="2" t="s">
        <v>5</v>
      </c>
      <c r="H190" s="4"/>
      <c r="R190" s="2" t="s">
        <v>9</v>
      </c>
      <c r="T190" s="4" t="s">
        <v>12</v>
      </c>
      <c r="V190" s="28" t="str">
        <f>MID(VLOOKUP($A190,Seqs!$A:$B,2,FALSE),VLOOKUP($A190,'SegEnds_NonXtal_Prot#'!A:AL,10,FALSE),1)</f>
        <v>D</v>
      </c>
      <c r="W190" s="49" t="str">
        <f>MID(VLOOKUP($A190,Seqs!$A:$B,2,FALSE),VLOOKUP($A190,'SegEnds_NonXtal_Prot#'!A:AL,10,FALSE)+6,1)</f>
        <v>G</v>
      </c>
      <c r="X190" s="49" t="str">
        <f>MID(VLOOKUP($A190,Seqs!$A:$B,2,FALSE),VLOOKUP($A190,'SegEnds_NonXtal_Prot#'!A:AL,10,FALSE)+7,1)</f>
        <v>G</v>
      </c>
      <c r="Y190" s="49" t="str">
        <f>MID(VLOOKUP($A190,Seqs!$A:$B,2,FALSE),VLOOKUP($A190,'SegEnds_NonXtal_Prot#'!A:AL,10,FALSE)+8,1)</f>
        <v>F</v>
      </c>
      <c r="Z190" s="49" t="str">
        <f>MID(VLOOKUP($A190,Seqs!$A:$B,2,FALSE),VLOOKUP($A190,'SegEnds_NonXtal_Prot#'!A:AL,10,FALSE)+9,1)</f>
        <v>T</v>
      </c>
      <c r="AA190" s="49" t="str">
        <f>MID(VLOOKUP($A190,Seqs!$A:$B,2,FALSE),VLOOKUP($A190,'SegEnds_NonXtal_Prot#'!A:AL,10,FALSE)+10,1)</f>
        <v>T</v>
      </c>
      <c r="AB190" s="28" t="str">
        <f>MID(VLOOKUP($A190,Seqs!$A:$B,2,FALSE),VLOOKUP($A190,'SegEnds_NonXtal_Prot#'!$A:$AL,22,FALSE)+6,1)</f>
        <v>C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P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H</v>
      </c>
      <c r="AH190" s="49" t="str">
        <f>MID(VLOOKUP($A190,Seqs!$A:$B,2,FALSE),VLOOKUP($A190,'SegEnds_NonXtal_Prot#'!$A:$AL,28,FALSE),1)</f>
        <v>P</v>
      </c>
    </row>
    <row r="191" spans="1:34" s="2" customFormat="1" x14ac:dyDescent="0.2">
      <c r="A191" s="2" t="s">
        <v>284</v>
      </c>
      <c r="B191" s="2" t="str">
        <f>LOWER(VLOOKUP(A191,Xtal_Templ!A:B,2,FALSE))</f>
        <v>mtr1a_human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T191" s="4" t="s">
        <v>12</v>
      </c>
      <c r="V191" s="28" t="str">
        <f>MID(VLOOKUP($A191,Seqs!$A:$B,2,FALSE),VLOOKUP($A191,'SegEnds_NonXtal_Prot#'!A:AL,10,FALSE),1)</f>
        <v>N</v>
      </c>
      <c r="W191" s="49" t="str">
        <f>MID(VLOOKUP($A191,Seqs!$A:$B,2,FALSE),VLOOKUP($A191,'SegEnds_NonXtal_Prot#'!A:AL,10,FALSE)+6,1)</f>
        <v>S</v>
      </c>
      <c r="X191" s="49" t="str">
        <f>MID(VLOOKUP($A191,Seqs!$A:$B,2,FALSE),VLOOKUP($A191,'SegEnds_NonXtal_Prot#'!A:AL,10,FALSE)+7,1)</f>
        <v>C</v>
      </c>
      <c r="Y191" s="49" t="str">
        <f>MID(VLOOKUP($A191,Seqs!$A:$B,2,FALSE),VLOOKUP($A191,'SegEnds_NonXtal_Prot#'!A:AL,10,FALSE)+8,1)</f>
        <v>G</v>
      </c>
      <c r="Z191" s="49" t="str">
        <f>MID(VLOOKUP($A191,Seqs!$A:$B,2,FALSE),VLOOKUP($A191,'SegEnds_NonXtal_Prot#'!A:AL,10,FALSE)+9,1)</f>
        <v>L</v>
      </c>
      <c r="AA191" s="49" t="str">
        <f>MID(VLOOKUP($A191,Seqs!$A:$B,2,FALSE),VLOOKUP($A191,'SegEnds_NonXtal_Prot#'!A:AL,10,FALSE)+10,1)</f>
        <v>L</v>
      </c>
      <c r="AB191" s="28" t="str">
        <f>MID(VLOOKUP($A191,Seqs!$A:$B,2,FALSE),VLOOKUP($A191,'SegEnds_NonXtal_Prot#'!$A:$AL,22,FALSE)+6,1)</f>
        <v>A</v>
      </c>
      <c r="AC191" s="49" t="str">
        <f>MID(VLOOKUP($A191,Seqs!$A:$B,2,FALSE),VLOOKUP($A191,'SegEnds_NonXtal_Prot#'!$A:$AL,22,FALSE)+7,1)</f>
        <v>A</v>
      </c>
      <c r="AD191" s="49" t="str">
        <f>MID(VLOOKUP($A191,Seqs!$A:$B,2,FALSE),VLOOKUP($A191,'SegEnds_NonXtal_Prot#'!$A:$AL,22,FALSE)+8,1)</f>
        <v>A</v>
      </c>
      <c r="AE191" s="49" t="str">
        <f>MID(VLOOKUP($A191,Seqs!$A:$B,2,FALSE),VLOOKUP($A191,'SegEnds_NonXtal_Prot#'!$A:$AL,22,FALSE)+9,1)</f>
        <v>L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M</v>
      </c>
      <c r="AH191" s="49" t="str">
        <f>MID(VLOOKUP($A191,Seqs!$A:$B,2,FALSE),VLOOKUP($A191,'SegEnds_NonXtal_Prot#'!$A:$AL,28,FALSE),1)</f>
        <v>C</v>
      </c>
    </row>
    <row r="192" spans="1:34" s="2" customFormat="1" x14ac:dyDescent="0.2">
      <c r="A192" s="2" t="s">
        <v>337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G</v>
      </c>
      <c r="W192" s="49" t="str">
        <f>MID(VLOOKUP($A192,Seqs!$A:$B,2,FALSE),VLOOKUP($A192,'SegEnds_NonXtal_Prot#'!A:AL,10,FALSE)+6,1)</f>
        <v>F</v>
      </c>
      <c r="X192" s="49" t="str">
        <f>MID(VLOOKUP($A192,Seqs!$A:$B,2,FALSE),VLOOKUP($A192,'SegEnds_NonXtal_Prot#'!A:AL,10,FALSE)+7,1)</f>
        <v>S</v>
      </c>
      <c r="Y192" s="49" t="str">
        <f>MID(VLOOKUP($A192,Seqs!$A:$B,2,FALSE),VLOOKUP($A192,'SegEnds_NonXtal_Prot#'!A:AL,10,FALSE)+8,1)</f>
        <v>V</v>
      </c>
      <c r="Z192" s="49" t="str">
        <f>MID(VLOOKUP($A192,Seqs!$A:$B,2,FALSE),VLOOKUP($A192,'SegEnds_NonXtal_Prot#'!A:AL,10,FALSE)+9,1)</f>
        <v>F</v>
      </c>
      <c r="AA192" s="49" t="str">
        <f>MID(VLOOKUP($A192,Seqs!$A:$B,2,FALSE),VLOOKUP($A192,'SegEnds_NonXtal_Prot#'!A:AL,10,FALSE)+10,1)</f>
        <v>P</v>
      </c>
      <c r="AB192" s="28" t="str">
        <f>MID(VLOOKUP($A192,Seqs!$A:$B,2,FALSE),VLOOKUP($A192,'SegEnds_NonXtal_Prot#'!$A:$AL,22,FALSE)+6,1)</f>
        <v>V</v>
      </c>
      <c r="AC192" s="49" t="str">
        <f>MID(VLOOKUP($A192,Seqs!$A:$B,2,FALSE),VLOOKUP($A192,'SegEnds_NonXtal_Prot#'!$A:$AL,22,FALSE)+7,1)</f>
        <v>S</v>
      </c>
      <c r="AD192" s="49" t="str">
        <f>MID(VLOOKUP($A192,Seqs!$A:$B,2,FALSE),VLOOKUP($A192,'SegEnds_NonXtal_Prot#'!$A:$AL,22,FALSE)+8,1)</f>
        <v>I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C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338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2" t="s">
        <v>5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G</v>
      </c>
      <c r="X193" s="49" t="str">
        <f>MID(VLOOKUP($A193,Seqs!$A:$B,2,FALSE),VLOOKUP($A193,'SegEnds_NonXtal_Prot#'!A:AL,10,FALSE)+7,1)</f>
        <v>G</v>
      </c>
      <c r="Y193" s="49" t="str">
        <f>MID(VLOOKUP($A193,Seqs!$A:$B,2,FALSE),VLOOKUP($A193,'SegEnds_NonXtal_Prot#'!A:AL,10,FALSE)+8,1)</f>
        <v>F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S</v>
      </c>
      <c r="AB193" s="28" t="str">
        <f>MID(VLOOKUP($A193,Seqs!$A:$B,2,FALSE),VLOOKUP($A193,'SegEnds_NonXtal_Prot#'!$A:$AL,22,FALSE)+6,1)</f>
        <v>C</v>
      </c>
      <c r="AC193" s="49" t="str">
        <f>MID(VLOOKUP($A193,Seqs!$A:$B,2,FALSE),VLOOKUP($A193,'SegEnds_NonXtal_Prot#'!$A:$AL,22,FALSE)+7,1)</f>
        <v>A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H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339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340</v>
      </c>
      <c r="B195" s="2" t="str">
        <f>LOWER(VLOOKUP(A195,Xtal_Templ!A:B,2,FALSE))</f>
        <v>opsd_human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H195" s="4"/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I</v>
      </c>
      <c r="X195" s="49" t="str">
        <f>MID(VLOOKUP($A195,Seqs!$A:$B,2,FALSE),VLOOKUP($A195,'SegEnds_NonXtal_Prot#'!A:AL,10,FALSE)+7,1)</f>
        <v>A</v>
      </c>
      <c r="Y195" s="49" t="str">
        <f>MID(VLOOKUP($A195,Seqs!$A:$B,2,FALSE),VLOOKUP($A195,'SegEnds_NonXtal_Prot#'!A:AL,10,FALSE)+8,1)</f>
        <v>S</v>
      </c>
      <c r="Z195" s="49" t="str">
        <f>MID(VLOOKUP($A195,Seqs!$A:$B,2,FALSE),VLOOKUP($A195,'SegEnds_NonXtal_Prot#'!A:AL,10,FALSE)+9,1)</f>
        <v>T</v>
      </c>
      <c r="AA195" s="49" t="str">
        <f>MID(VLOOKUP($A195,Seqs!$A:$B,2,FALSE),VLOOKUP($A195,'SegEnds_NonXtal_Prot#'!A:AL,10,FALSE)+10,1)</f>
        <v>I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T</v>
      </c>
      <c r="AD195" s="49" t="str">
        <f>MID(VLOOKUP($A195,Seqs!$A:$B,2,FALSE),VLOOKUP($A195,'SegEnds_NonXtal_Prot#'!$A:$AL,22,FALSE)+8,1)</f>
        <v>A</v>
      </c>
      <c r="AE195" s="49" t="str">
        <f>MID(VLOOKUP($A195,Seqs!$A:$B,2,FALSE),VLOOKUP($A195,'SegEnds_NonXtal_Prot#'!$A:$AL,22,FALSE)+9,1)</f>
        <v>P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C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917</v>
      </c>
      <c r="B196" s="2" t="str">
        <f>LOWER(VLOOKUP(A196,Xtal_Templ!A:B,2,FALSE))</f>
        <v>opsd_human</v>
      </c>
      <c r="C196" s="2" t="str">
        <f>VLOOKUP(A196,Classification!A:D,2,FALSE)</f>
        <v>A</v>
      </c>
      <c r="D196" s="2" t="str">
        <f>IF(ISERROR(MATCH(A196,'SegEnds_Xtal_Prot#'!B:B, 0)), "NoXtal", "Xtal")</f>
        <v>Xtal</v>
      </c>
      <c r="H196" s="4" t="s">
        <v>1359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V</v>
      </c>
      <c r="X196" s="49" t="str">
        <f>MID(VLOOKUP($A196,Seqs!$A:$B,2,FALSE),VLOOKUP($A196,'SegEnds_NonXtal_Prot#'!A:AL,10,FALSE)+7,1)</f>
        <v>N</v>
      </c>
      <c r="Y196" s="49" t="str">
        <f>MID(VLOOKUP($A196,Seqs!$A:$B,2,FALSE),VLOOKUP($A196,'SegEnds_NonXtal_Prot#'!A:AL,10,FALSE)+8,1)</f>
        <v>G</v>
      </c>
      <c r="Z196" s="49" t="str">
        <f>MID(VLOOKUP($A196,Seqs!$A:$B,2,FALSE),VLOOKUP($A196,'SegEnds_NonXtal_Prot#'!A:AL,10,FALSE)+9,1)</f>
        <v>F</v>
      </c>
      <c r="AA196" s="49" t="str">
        <f>MID(VLOOKUP($A196,Seqs!$A:$B,2,FALSE),VLOOKUP($A196,'SegEnds_NonXtal_Prot#'!A:AL,10,FALSE)+10,1)</f>
        <v>P</v>
      </c>
      <c r="AB196" s="28" t="str">
        <f>MID(VLOOKUP($A196,Seqs!$A:$B,2,FALSE),VLOOKUP($A196,'SegEnds_NonXtal_Prot#'!$A:$AL,22,FALSE)+6,1)</f>
        <v>W</v>
      </c>
      <c r="AC196" s="49" t="str">
        <f>MID(VLOOKUP($A196,Seqs!$A:$B,2,FALSE),VLOOKUP($A196,'SegEnds_NonXtal_Prot#'!$A:$AL,22,FALSE)+7,1)</f>
        <v>A</v>
      </c>
      <c r="AD196" s="49" t="str">
        <f>MID(VLOOKUP($A196,Seqs!$A:$B,2,FALSE),VLOOKUP($A196,'SegEnds_NonXtal_Prot#'!$A:$AL,22,FALSE)+8,1)</f>
        <v>I</v>
      </c>
      <c r="AE196" s="49" t="str">
        <f>MID(VLOOKUP($A196,Seqs!$A:$B,2,FALSE),VLOOKUP($A196,'SegEnds_NonXtal_Prot#'!$A:$AL,22,FALSE)+9,1)</f>
        <v>G</v>
      </c>
      <c r="AF196" s="49" t="str">
        <f>MID(VLOOKUP($A196,Seqs!$A:$B,2,FALSE),VLOOKUP($A196,'SegEnds_NonXtal_Prot#'!$A:$AL,22,FALSE)+10,1)</f>
        <v>P</v>
      </c>
      <c r="AG196" s="28" t="str">
        <f>MID(VLOOKUP($A196,Seqs!$A:$B,2,FALSE),VLOOKUP($A196,'SegEnds_NonXtal_Prot#'!$A:$AL,28,FALSE)-4,1)</f>
        <v>G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214</v>
      </c>
      <c r="B197" s="2" t="str">
        <f>LOWER(VLOOKUP(A197,Xtal_Templ!A:B,2,FALSE))</f>
        <v>mtr1a_human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2" t="s">
        <v>5</v>
      </c>
      <c r="H197" s="4"/>
      <c r="N197" s="2" t="s">
        <v>14</v>
      </c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L</v>
      </c>
      <c r="X197" s="49" t="str">
        <f>MID(VLOOKUP($A197,Seqs!$A:$B,2,FALSE),VLOOKUP($A197,'SegEnds_NonXtal_Prot#'!A:AL,10,FALSE)+7,1)</f>
        <v>C</v>
      </c>
      <c r="Y197" s="49" t="str">
        <f>MID(VLOOKUP($A197,Seqs!$A:$B,2,FALSE),VLOOKUP($A197,'SegEnds_NonXtal_Prot#'!A:AL,10,FALSE)+8,1)</f>
        <v>L</v>
      </c>
      <c r="Z197" s="49" t="str">
        <f>MID(VLOOKUP($A197,Seqs!$A:$B,2,FALSE),VLOOKUP($A197,'SegEnds_NonXtal_Prot#'!A:AL,10,FALSE)+9,1)</f>
        <v>P</v>
      </c>
      <c r="AA197" s="49" t="str">
        <f>MID(VLOOKUP($A197,Seqs!$A:$B,2,FALSE),VLOOKUP($A197,'SegEnds_NonXtal_Prot#'!A:AL,10,FALSE)+10,1)</f>
        <v>A</v>
      </c>
      <c r="AB197" s="28" t="str">
        <f>MID(VLOOKUP($A197,Seqs!$A:$B,2,FALSE),VLOOKUP($A197,'SegEnds_NonXtal_Prot#'!$A:$AL,22,FALSE)+6,1)</f>
        <v>F</v>
      </c>
      <c r="AC197" s="49" t="str">
        <f>MID(VLOOKUP($A197,Seqs!$A:$B,2,FALSE),VLOOKUP($A197,'SegEnds_NonXtal_Prot#'!$A:$AL,22,FALSE)+7,1)</f>
        <v>S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W</v>
      </c>
      <c r="AG197" s="28" t="str">
        <f>MID(VLOOKUP($A197,Seqs!$A:$B,2,FALSE),VLOOKUP($A197,'SegEnds_NonXtal_Prot#'!$A:$AL,28,FALSE)-4,1)</f>
        <v>C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221</v>
      </c>
      <c r="B198" s="2" t="str">
        <f>LOWER(VLOOKUP(A198,Xtal_Templ!A:B,2,FALSE))</f>
        <v>drd4_mouse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H198" s="4"/>
      <c r="R198" s="2" t="s">
        <v>9</v>
      </c>
      <c r="T198" s="4" t="s">
        <v>12</v>
      </c>
      <c r="V198" s="28" t="str">
        <f>MID(VLOOKUP($A198,Seqs!$A:$B,2,FALSE),VLOOKUP($A198,'SegEnds_NonXtal_Prot#'!A:AL,10,FALSE),1)</f>
        <v>D</v>
      </c>
      <c r="W198" s="49" t="str">
        <f>MID(VLOOKUP($A198,Seqs!$A:$B,2,FALSE),VLOOKUP($A198,'SegEnds_NonXtal_Prot#'!A:AL,10,FALSE)+6,1)</f>
        <v>G</v>
      </c>
      <c r="X198" s="49" t="str">
        <f>MID(VLOOKUP($A198,Seqs!$A:$B,2,FALSE),VLOOKUP($A198,'SegEnds_NonXtal_Prot#'!A:AL,10,FALSE)+7,1)</f>
        <v>T</v>
      </c>
      <c r="Y198" s="49" t="str">
        <f>MID(VLOOKUP($A198,Seqs!$A:$B,2,FALSE),VLOOKUP($A198,'SegEnds_NonXtal_Prot#'!A:AL,10,FALSE)+8,1)</f>
        <v>A</v>
      </c>
      <c r="Z198" s="49" t="str">
        <f>MID(VLOOKUP($A198,Seqs!$A:$B,2,FALSE),VLOOKUP($A198,'SegEnds_NonXtal_Prot#'!A:AL,10,FALSE)+9,1)</f>
        <v>L</v>
      </c>
      <c r="AA198" s="49" t="str">
        <f>MID(VLOOKUP($A198,Seqs!$A:$B,2,FALSE),VLOOKUP($A198,'SegEnds_NonXtal_Prot#'!A:AL,10,FALSE)+10,1)</f>
        <v>S</v>
      </c>
      <c r="AB198" s="28" t="str">
        <f>MID(VLOOKUP($A198,Seqs!$A:$B,2,FALSE),VLOOKUP($A198,'SegEnds_NonXtal_Prot#'!$A:$AL,22,FALSE)+6,1)</f>
        <v>L</v>
      </c>
      <c r="AC198" s="49" t="str">
        <f>MID(VLOOKUP($A198,Seqs!$A:$B,2,FALSE),VLOOKUP($A198,'SegEnds_NonXtal_Prot#'!$A:$AL,22,FALSE)+7,1)</f>
        <v>A</v>
      </c>
      <c r="AD198" s="49" t="str">
        <f>MID(VLOOKUP($A198,Seqs!$A:$B,2,FALSE),VLOOKUP($A198,'SegEnds_NonXtal_Prot#'!$A:$AL,22,FALSE)+8,1)</f>
        <v>L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P</v>
      </c>
      <c r="AG198" s="28" t="str">
        <f>MID(VLOOKUP($A198,Seqs!$A:$B,2,FALSE),VLOOKUP($A198,'SegEnds_NonXtal_Prot#'!$A:$AL,28,FALSE)-4,1)</f>
        <v>G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231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N199" s="2" t="s">
        <v>14</v>
      </c>
      <c r="R199" s="2" t="s">
        <v>9</v>
      </c>
      <c r="T199" s="4" t="s">
        <v>12</v>
      </c>
      <c r="V199" s="28" t="str">
        <f>MID(VLOOKUP($A199,Seqs!$A:$B,2,FALSE),VLOOKUP($A199,'SegEnds_NonXtal_Prot#'!A:AL,10,FALSE),1)</f>
        <v>G</v>
      </c>
      <c r="W199" s="49" t="str">
        <f>MID(VLOOKUP($A199,Seqs!$A:$B,2,FALSE),VLOOKUP($A199,'SegEnds_NonXtal_Prot#'!A:AL,10,FALSE)+6,1)</f>
        <v>V</v>
      </c>
      <c r="X199" s="49" t="str">
        <f>MID(VLOOKUP($A199,Seqs!$A:$B,2,FALSE),VLOOKUP($A199,'SegEnds_NonXtal_Prot#'!A:AL,10,FALSE)+7,1)</f>
        <v>C</v>
      </c>
      <c r="Y199" s="49" t="str">
        <f>MID(VLOOKUP($A199,Seqs!$A:$B,2,FALSE),VLOOKUP($A199,'SegEnds_NonXtal_Prot#'!A:AL,10,FALSE)+8,1)</f>
        <v>V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A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V</v>
      </c>
      <c r="AE199" s="49" t="str">
        <f>MID(VLOOKUP($A199,Seqs!$A:$B,2,FALSE),VLOOKUP($A199,'SegEnds_NonXtal_Prot#'!$A:$AL,22,FALSE)+9,1)</f>
        <v>P</v>
      </c>
      <c r="AF199" s="49" t="str">
        <f>MID(VLOOKUP($A199,Seqs!$A:$B,2,FALSE),VLOOKUP($A199,'SegEnds_NonXtal_Prot#'!$A:$AL,22,FALSE)+10,1)</f>
        <v>V</v>
      </c>
      <c r="AG199" s="28" t="str">
        <f>MID(VLOOKUP($A199,Seqs!$A:$B,2,FALSE),VLOOKUP($A199,'SegEnds_NonXtal_Prot#'!$A:$AL,28,FALSE)-4,1)</f>
        <v>T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266</v>
      </c>
      <c r="B200" s="2" t="str">
        <f>LOWER(VLOOKUP(A200,Xtal_Templ!A:B,2,FALSE))</f>
        <v>drd2_human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R200" s="2" t="s">
        <v>9</v>
      </c>
      <c r="T200" s="4" t="s">
        <v>12</v>
      </c>
      <c r="V200" s="28" t="str">
        <f>MID(VLOOKUP($A200,Seqs!$A:$B,2,FALSE),VLOOKUP($A200,'SegEnds_NonXtal_Prot#'!A:AL,10,FALSE),1)</f>
        <v>H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D</v>
      </c>
      <c r="Y200" s="49" t="str">
        <f>MID(VLOOKUP($A200,Seqs!$A:$B,2,FALSE),VLOOKUP($A200,'SegEnds_NonXtal_Prot#'!A:AL,10,FALSE)+8,1)</f>
        <v>M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F</v>
      </c>
      <c r="AC200" s="49" t="str">
        <f>MID(VLOOKUP($A200,Seqs!$A:$B,2,FALSE),VLOOKUP($A200,'SegEnds_NonXtal_Prot#'!$A:$AL,22,FALSE)+7,1)</f>
        <v>S</v>
      </c>
      <c r="AD200" s="49" t="str">
        <f>MID(VLOOKUP($A200,Seqs!$A:$B,2,FALSE),VLOOKUP($A200,'SegEnds_NonXtal_Prot#'!$A:$AL,22,FALSE)+8,1)</f>
        <v>G</v>
      </c>
      <c r="AE200" s="49" t="str">
        <f>MID(VLOOKUP($A200,Seqs!$A:$B,2,FALSE),VLOOKUP($A200,'SegEnds_NonXtal_Prot#'!$A:$AL,22,FALSE)+9,1)</f>
        <v>A</v>
      </c>
      <c r="AF200" s="49" t="str">
        <f>MID(VLOOKUP($A200,Seqs!$A:$B,2,FALSE),VLOOKUP($A200,'SegEnds_NonXtal_Prot#'!$A:$AL,22,FALSE)+10,1)</f>
        <v>A</v>
      </c>
      <c r="AG200" s="28" t="str">
        <f>MID(VLOOKUP($A200,Seqs!$A:$B,2,FALSE),VLOOKUP($A200,'SegEnds_NonXtal_Prot#'!$A:$AL,28,FALSE)-4,1)</f>
        <v>G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269</v>
      </c>
      <c r="B201" s="2" t="str">
        <f>LOWER(VLOOKUP(A201,Xtal_Templ!A:B,2,FALSE))</f>
        <v>5ht2a_human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2" t="s">
        <v>5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L</v>
      </c>
      <c r="X201" s="49" t="str">
        <f>MID(VLOOKUP($A201,Seqs!$A:$B,2,FALSE),VLOOKUP($A201,'SegEnds_NonXtal_Prot#'!A:AL,10,FALSE)+7,1)</f>
        <v>L</v>
      </c>
      <c r="Y201" s="49" t="str">
        <f>MID(VLOOKUP($A201,Seqs!$A:$B,2,FALSE),VLOOKUP($A201,'SegEnds_NonXtal_Prot#'!A:AL,10,FALSE)+8,1)</f>
        <v>Q</v>
      </c>
      <c r="Z201" s="49" t="str">
        <f>MID(VLOOKUP($A201,Seqs!$A:$B,2,FALSE),VLOOKUP($A201,'SegEnds_NonXtal_Prot#'!A:AL,10,FALSE)+9,1)</f>
        <v>P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S</v>
      </c>
      <c r="AC201" s="49" t="str">
        <f>MID(VLOOKUP($A201,Seqs!$A:$B,2,FALSE),VLOOKUP($A201,'SegEnds_NonXtal_Prot#'!$A:$AL,22,FALSE)+7,1)</f>
        <v>F</v>
      </c>
      <c r="AD201" s="49" t="str">
        <f>MID(VLOOKUP($A201,Seqs!$A:$B,2,FALSE),VLOOKUP($A201,'SegEnds_NonXtal_Prot#'!$A:$AL,22,FALSE)+8,1)</f>
        <v>A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L</v>
      </c>
      <c r="AG201" s="28" t="str">
        <f>MID(VLOOKUP($A201,Seqs!$A:$B,2,FALSE),VLOOKUP($A201,'SegEnds_NonXtal_Prot#'!$A:$AL,28,FALSE)-4,1)</f>
        <v>D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314</v>
      </c>
      <c r="B202" s="2" t="str">
        <f>LOWER(VLOOKUP(A202,Xtal_Templ!A:B,2,FALSE))</f>
        <v>nk1r_human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N</v>
      </c>
      <c r="Y202" s="49" t="str">
        <f>MID(VLOOKUP($A202,Seqs!$A:$B,2,FALSE),VLOOKUP($A202,'SegEnds_NonXtal_Prot#'!A:AL,10,FALSE)+8,1)</f>
        <v>A</v>
      </c>
      <c r="Z202" s="49" t="str">
        <f>MID(VLOOKUP($A202,Seqs!$A:$B,2,FALSE),VLOOKUP($A202,'SegEnds_NonXtal_Prot#'!A:AL,10,FALSE)+9,1)</f>
        <v>A</v>
      </c>
      <c r="AA202" s="49" t="str">
        <f>MID(VLOOKUP($A202,Seqs!$A:$B,2,FALSE),VLOOKUP($A202,'SegEnds_NonXtal_Prot#'!A:AL,10,FALSE)+10,1)</f>
        <v>F</v>
      </c>
      <c r="AB202" s="28" t="str">
        <f>MID(VLOOKUP($A202,Seqs!$A:$B,2,FALSE),VLOOKUP($A202,'SegEnds_NonXtal_Prot#'!$A:$AL,22,FALSE)+6,1)</f>
        <v>L</v>
      </c>
      <c r="AC202" s="49" t="str">
        <f>MID(VLOOKUP($A202,Seqs!$A:$B,2,FALSE),VLOOKUP($A202,'SegEnds_NonXtal_Prot#'!$A:$AL,22,FALSE)+7,1)</f>
        <v>A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Q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322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F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M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I</v>
      </c>
      <c r="AB203" s="28" t="str">
        <f>MID(VLOOKUP($A203,Seqs!$A:$B,2,FALSE),VLOOKUP($A203,'SegEnds_NonXtal_Prot#'!$A:$AL,22,FALSE)+6,1)</f>
        <v>I</v>
      </c>
      <c r="AC203" s="49" t="str">
        <f>MID(VLOOKUP($A203,Seqs!$A:$B,2,FALSE),VLOOKUP($A203,'SegEnds_NonXtal_Prot#'!$A:$AL,22,FALSE)+7,1)</f>
        <v>M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S</v>
      </c>
      <c r="AG203" s="28" t="str">
        <f>MID(VLOOKUP($A203,Seqs!$A:$B,2,FALSE),VLOOKUP($A203,'SegEnds_NonXtal_Prot#'!$A:$AL,28,FALSE)-4,1)</f>
        <v>I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325</v>
      </c>
      <c r="B204" s="2" t="str">
        <f>LOWER(VLOOKUP(A204,Xtal_Templ!A:B,2,FALSE))</f>
        <v>npy1r_human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L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F</v>
      </c>
      <c r="AB204" s="28" t="str">
        <f>MID(VLOOKUP($A204,Seqs!$A:$B,2,FALSE),VLOOKUP($A204,'SegEnds_NonXtal_Prot#'!$A:$AL,22,FALSE)+6,1)</f>
        <v>L</v>
      </c>
      <c r="AC204" s="49" t="str">
        <f>MID(VLOOKUP($A204,Seqs!$A:$B,2,FALSE),VLOOKUP($A204,'SegEnds_NonXtal_Prot#'!$A:$AL,22,FALSE)+7,1)</f>
        <v>A</v>
      </c>
      <c r="AD204" s="49" t="str">
        <f>MID(VLOOKUP($A204,Seqs!$A:$B,2,FALSE),VLOOKUP($A204,'SegEnds_NonXtal_Prot#'!$A:$AL,22,FALSE)+8,1)</f>
        <v>S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L</v>
      </c>
      <c r="AG204" s="28" t="str">
        <f>MID(VLOOKUP($A204,Seqs!$A:$B,2,FALSE),VLOOKUP($A204,'SegEnds_NonXtal_Prot#'!$A:$AL,28,FALSE)-4,1)</f>
        <v>L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1170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Xtal</v>
      </c>
      <c r="G205" s="2" t="s">
        <v>5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I</v>
      </c>
      <c r="X205" s="49" t="str">
        <f>MID(VLOOKUP($A205,Seqs!$A:$B,2,FALSE),VLOOKUP($A205,'SegEnds_NonXtal_Prot#'!A:AL,10,FALSE)+7,1)</f>
        <v>C</v>
      </c>
      <c r="Y205" s="49" t="str">
        <f>MID(VLOOKUP($A205,Seqs!$A:$B,2,FALSE),VLOOKUP($A205,'SegEnds_NonXtal_Prot#'!A:AL,10,FALSE)+8,1)</f>
        <v>L</v>
      </c>
      <c r="Z205" s="49" t="str">
        <f>MID(VLOOKUP($A205,Seqs!$A:$B,2,FALSE),VLOOKUP($A205,'SegEnds_NonXtal_Prot#'!A:AL,10,FALSE)+9,1)</f>
        <v>P</v>
      </c>
      <c r="AA205" s="49" t="str">
        <f>MID(VLOOKUP($A205,Seqs!$A:$B,2,FALSE),VLOOKUP($A205,'SegEnds_NonXtal_Prot#'!A:AL,10,FALSE)+10,1)</f>
        <v>A</v>
      </c>
      <c r="AB205" s="28" t="str">
        <f>MID(VLOOKUP($A205,Seqs!$A:$B,2,FALSE),VLOOKUP($A205,'SegEnds_NonXtal_Prot#'!$A:$AL,22,FALSE)+6,1)</f>
        <v>I</v>
      </c>
      <c r="AC205" s="49" t="str">
        <f>MID(VLOOKUP($A205,Seqs!$A:$B,2,FALSE),VLOOKUP($A205,'SegEnds_NonXtal_Prot#'!$A:$AL,22,FALSE)+7,1)</f>
        <v>M</v>
      </c>
      <c r="AD205" s="49" t="str">
        <f>MID(VLOOKUP($A205,Seqs!$A:$B,2,FALSE),VLOOKUP($A205,'SegEnds_NonXtal_Prot#'!$A:$AL,22,FALSE)+8,1)</f>
        <v>V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T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343</v>
      </c>
      <c r="B206" s="2" t="str">
        <f>LOWER(VLOOKUP(A206,Xtal_Templ!A:B,2,FALSE))</f>
        <v>ox1r_human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H206" s="4"/>
      <c r="N206" s="2" t="s">
        <v>14</v>
      </c>
      <c r="R206" s="2" t="s">
        <v>9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F</v>
      </c>
      <c r="X206" s="49" t="str">
        <f>MID(VLOOKUP($A206,Seqs!$A:$B,2,FALSE),VLOOKUP($A206,'SegEnds_NonXtal_Prot#'!A:AL,10,FALSE)+7,1)</f>
        <v>Q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L</v>
      </c>
      <c r="AA206" s="49" t="str">
        <f>MID(VLOOKUP($A206,Seqs!$A:$B,2,FALSE),VLOOKUP($A206,'SegEnds_NonXtal_Prot#'!A:AL,10,FALSE)+10,1)</f>
        <v>P</v>
      </c>
      <c r="AB206" s="28" t="str">
        <f>MID(VLOOKUP($A206,Seqs!$A:$B,2,FALSE),VLOOKUP($A206,'SegEnds_NonXtal_Prot#'!$A:$AL,22,FALSE)+6,1)</f>
        <v>A</v>
      </c>
      <c r="AC206" s="49" t="str">
        <f>MID(VLOOKUP($A206,Seqs!$A:$B,2,FALSE),VLOOKUP($A206,'SegEnds_NonXtal_Prot#'!$A:$AL,22,FALSE)+7,1)</f>
        <v>S</v>
      </c>
      <c r="AD206" s="49" t="str">
        <f>MID(VLOOKUP($A206,Seqs!$A:$B,2,FALSE),VLOOKUP($A206,'SegEnds_NonXtal_Prot#'!$A:$AL,22,FALSE)+8,1)</f>
        <v>A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Q</v>
      </c>
      <c r="AG206" s="28" t="str">
        <f>MID(VLOOKUP($A206,Seqs!$A:$B,2,FALSE),VLOOKUP($A206,'SegEnds_NonXtal_Prot#'!$A:$AL,28,FALSE)-4,1)</f>
        <v>V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163</v>
      </c>
      <c r="B207" s="2" t="str">
        <f>LOWER(VLOOKUP(A207,Xtal_Templ!A:B,2,FALSE))</f>
        <v>ednrb_human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T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V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V</v>
      </c>
      <c r="AB207" s="28" t="str">
        <f>MID(VLOOKUP($A207,Seqs!$A:$B,2,FALSE),VLOOKUP($A207,'SegEnds_NonXtal_Prot#'!$A:$AL,22,FALSE)+6,1)</f>
        <v>F</v>
      </c>
      <c r="AC207" s="49" t="str">
        <f>MID(VLOOKUP($A207,Seqs!$A:$B,2,FALSE),VLOOKUP($A207,'SegEnds_NonXtal_Prot#'!$A:$AL,22,FALSE)+7,1)</f>
        <v>A</v>
      </c>
      <c r="AD207" s="49" t="str">
        <f>MID(VLOOKUP($A207,Seqs!$A:$B,2,FALSE),VLOOKUP($A207,'SegEnds_NonXtal_Prot#'!$A:$AL,22,FALSE)+8,1)</f>
        <v>L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E</v>
      </c>
      <c r="AG207" s="28" t="str">
        <f>MID(VLOOKUP($A207,Seqs!$A:$B,2,FALSE),VLOOKUP($A207,'SegEnds_NonXtal_Prot#'!$A:$AL,28,FALSE)-4,1)</f>
        <v>F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167</v>
      </c>
      <c r="B208" s="2" t="str">
        <f>LOWER(VLOOKUP(A208,Xtal_Templ!A:B,2,FALSE))</f>
        <v>ox1r_human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F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I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T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207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A</v>
      </c>
      <c r="X209" s="49" t="str">
        <f>MID(VLOOKUP($A209,Seqs!$A:$B,2,FALSE),VLOOKUP($A209,'SegEnds_NonXtal_Prot#'!A:AL,10,FALSE)+7,1)</f>
        <v>C</v>
      </c>
      <c r="Y209" s="49" t="str">
        <f>MID(VLOOKUP($A209,Seqs!$A:$B,2,FALSE),VLOOKUP($A209,'SegEnds_NonXtal_Prot#'!A:AL,10,FALSE)+8,1)</f>
        <v>M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F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M</v>
      </c>
      <c r="AD209" s="49" t="str">
        <f>MID(VLOOKUP($A209,Seqs!$A:$B,2,FALSE),VLOOKUP($A209,'SegEnds_NonXtal_Prot#'!$A:$AL,22,FALSE)+8,1)</f>
        <v>V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Y</v>
      </c>
      <c r="AG209" s="28" t="str">
        <f>MID(VLOOKUP($A209,Seqs!$A:$B,2,FALSE),VLOOKUP($A209,'SegEnds_NonXtal_Prot#'!$A:$AL,28,FALSE)-4,1)</f>
        <v>L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222</v>
      </c>
      <c r="B210" s="2" t="str">
        <f>LOWER(VLOOKUP(A210,Xtal_Templ!A:B,2,FALSE))</f>
        <v>agtr2_human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2" t="s">
        <v>5</v>
      </c>
      <c r="H210" s="4"/>
      <c r="N210" s="2" t="s">
        <v>14</v>
      </c>
      <c r="R210" s="2" t="s">
        <v>9</v>
      </c>
      <c r="T210" s="4" t="s">
        <v>12</v>
      </c>
      <c r="V210" s="28" t="str">
        <f>MID(VLOOKUP($A210,Seqs!$A:$B,2,FALSE),VLOOKUP($A210,'SegEnds_NonXtal_Prot#'!A:AL,10,FALSE),1)</f>
        <v>D</v>
      </c>
      <c r="W210" s="49" t="str">
        <f>MID(VLOOKUP($A210,Seqs!$A:$B,2,FALSE),VLOOKUP($A210,'SegEnds_NonXtal_Prot#'!A:AL,10,FALSE)+6,1)</f>
        <v>F</v>
      </c>
      <c r="X210" s="49" t="str">
        <f>MID(VLOOKUP($A210,Seqs!$A:$B,2,FALSE),VLOOKUP($A210,'SegEnds_NonXtal_Prot#'!A:AL,10,FALSE)+7,1)</f>
        <v>S</v>
      </c>
      <c r="Y210" s="49" t="str">
        <f>MID(VLOOKUP($A210,Seqs!$A:$B,2,FALSE),VLOOKUP($A210,'SegEnds_NonXtal_Prot#'!A:AL,10,FALSE)+8,1)</f>
        <v>A</v>
      </c>
      <c r="Z210" s="49" t="str">
        <f>MID(VLOOKUP($A210,Seqs!$A:$B,2,FALSE),VLOOKUP($A210,'SegEnds_NonXtal_Prot#'!A:AL,10,FALSE)+9,1)</f>
        <v>P</v>
      </c>
      <c r="AA210" s="49" t="str">
        <f>MID(VLOOKUP($A210,Seqs!$A:$B,2,FALSE),VLOOKUP($A210,'SegEnds_NonXtal_Prot#'!A:AL,10,FALSE)+10,1)</f>
        <v>I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P</v>
      </c>
      <c r="AD210" s="49" t="str">
        <f>MID(VLOOKUP($A210,Seqs!$A:$B,2,FALSE),VLOOKUP($A210,'SegEnds_NonXtal_Prot#'!$A:$AL,22,FALSE)+8,1)</f>
        <v>L</v>
      </c>
      <c r="AE210" s="49" t="str">
        <f>MID(VLOOKUP($A210,Seqs!$A:$B,2,FALSE),VLOOKUP($A210,'SegEnds_NonXtal_Prot#'!$A:$AL,22,FALSE)+9,1)</f>
        <v>P</v>
      </c>
      <c r="AF210" s="49" t="str">
        <f>MID(VLOOKUP($A210,Seqs!$A:$B,2,FALSE),VLOOKUP($A210,'SegEnds_NonXtal_Prot#'!$A:$AL,22,FALSE)+10,1)</f>
        <v>E</v>
      </c>
      <c r="AG210" s="28" t="str">
        <f>MID(VLOOKUP($A210,Seqs!$A:$B,2,FALSE),VLOOKUP($A210,'SegEnds_NonXtal_Prot#'!$A:$AL,28,FALSE)-4,1)</f>
        <v>A</v>
      </c>
      <c r="AH210" s="49" t="str">
        <f>MID(VLOOKUP($A210,Seqs!$A:$B,2,FALSE),VLOOKUP($A210,'SegEnds_NonXtal_Prot#'!$A:$AL,28,FALSE),1)</f>
        <v>P</v>
      </c>
    </row>
    <row r="211" spans="1:34" s="2" customFormat="1" x14ac:dyDescent="0.2">
      <c r="A211" s="2" t="s">
        <v>224</v>
      </c>
      <c r="B211" s="2" t="str">
        <f>LOWER(VLOOKUP(A211,Xtal_Templ!A:B,2,FALSE))</f>
        <v>drd4_mouse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H211" s="4"/>
      <c r="T211" s="4" t="s">
        <v>12</v>
      </c>
      <c r="V211" s="28" t="str">
        <f>MID(VLOOKUP($A211,Seqs!$A:$B,2,FALSE),VLOOKUP($A211,'SegEnds_NonXtal_Prot#'!A:AL,10,FALSE),1)</f>
        <v>T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V</v>
      </c>
      <c r="Y211" s="49" t="str">
        <f>MID(VLOOKUP($A211,Seqs!$A:$B,2,FALSE),VLOOKUP($A211,'SegEnds_NonXtal_Prot#'!A:AL,10,FALSE)+8,1)</f>
        <v>P</v>
      </c>
      <c r="Z211" s="49" t="str">
        <f>MID(VLOOKUP($A211,Seqs!$A:$B,2,FALSE),VLOOKUP($A211,'SegEnds_NonXtal_Prot#'!A:AL,10,FALSE)+9,1)</f>
        <v>I</v>
      </c>
      <c r="AA211" s="49" t="str">
        <f>MID(VLOOKUP($A211,Seqs!$A:$B,2,FALSE),VLOOKUP($A211,'SegEnds_NonXtal_Prot#'!A:AL,10,FALSE)+10,1)</f>
        <v>A</v>
      </c>
      <c r="AB211" s="28" t="str">
        <f>MID(VLOOKUP($A211,Seqs!$A:$B,2,FALSE),VLOOKUP($A211,'SegEnds_NonXtal_Prot#'!$A:$AL,22,FALSE)+6,1)</f>
        <v>L</v>
      </c>
      <c r="AC211" s="49" t="str">
        <f>MID(VLOOKUP($A211,Seqs!$A:$B,2,FALSE),VLOOKUP($A211,'SegEnds_NonXtal_Prot#'!$A:$AL,22,FALSE)+7,1)</f>
        <v>S</v>
      </c>
      <c r="AD211" s="49" t="str">
        <f>MID(VLOOKUP($A211,Seqs!$A:$B,2,FALSE),VLOOKUP($A211,'SegEnds_NonXtal_Prot#'!$A:$AL,22,FALSE)+8,1)</f>
        <v>A</v>
      </c>
      <c r="AE211" s="49" t="str">
        <f>MID(VLOOKUP($A211,Seqs!$A:$B,2,FALSE),VLOOKUP($A211,'SegEnds_NonXtal_Prot#'!$A:$AL,22,FALSE)+9,1)</f>
        <v>L</v>
      </c>
      <c r="AF211" s="49" t="str">
        <f>MID(VLOOKUP($A211,Seqs!$A:$B,2,FALSE),VLOOKUP($A211,'SegEnds_NonXtal_Prot#'!$A:$AL,22,FALSE)+10,1)</f>
        <v>P</v>
      </c>
      <c r="AG211" s="28" t="str">
        <f>MID(VLOOKUP($A211,Seqs!$A:$B,2,FALSE),VLOOKUP($A211,'SegEnds_NonXtal_Prot#'!$A:$AL,28,FALSE)-4,1)</f>
        <v>V</v>
      </c>
      <c r="AH211" s="49" t="str">
        <f>MID(VLOOKUP($A211,Seqs!$A:$B,2,FALSE),VLOOKUP($A211,'SegEnds_NonXtal_Prot#'!$A:$AL,28,FALSE),1)</f>
        <v>V</v>
      </c>
    </row>
    <row r="212" spans="1:34" s="2" customFormat="1" x14ac:dyDescent="0.2">
      <c r="A212" s="2" t="s">
        <v>241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2" t="s">
        <v>5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A</v>
      </c>
      <c r="X212" s="49" t="str">
        <f>MID(VLOOKUP($A212,Seqs!$A:$B,2,FALSE),VLOOKUP($A212,'SegEnds_NonXtal_Prot#'!A:AL,10,FALSE)+7,1)</f>
        <v>S</v>
      </c>
      <c r="Y212" s="49" t="str">
        <f>MID(VLOOKUP($A212,Seqs!$A:$B,2,FALSE),VLOOKUP($A212,'SegEnds_NonXtal_Prot#'!A:AL,10,FALSE)+8,1)</f>
        <v>T</v>
      </c>
      <c r="Z212" s="49" t="str">
        <f>MID(VLOOKUP($A212,Seqs!$A:$B,2,FALSE),VLOOKUP($A212,'SegEnds_NonXtal_Prot#'!A:AL,10,FALSE)+9,1)</f>
        <v>P</v>
      </c>
      <c r="AA212" s="49" t="str">
        <f>MID(VLOOKUP($A212,Seqs!$A:$B,2,FALSE),VLOOKUP($A212,'SegEnds_NonXtal_Prot#'!A:AL,10,FALSE)+10,1)</f>
        <v>F</v>
      </c>
      <c r="AB212" s="28" t="str">
        <f>MID(VLOOKUP($A212,Seqs!$A:$B,2,FALSE),VLOOKUP($A212,'SegEnds_NonXtal_Prot#'!$A:$AL,22,FALSE)+6,1)</f>
        <v>F</v>
      </c>
      <c r="AC212" s="49" t="str">
        <f>MID(VLOOKUP($A212,Seqs!$A:$B,2,FALSE),VLOOKUP($A212,'SegEnds_NonXtal_Prot#'!$A:$AL,22,FALSE)+7,1)</f>
        <v>V</v>
      </c>
      <c r="AD212" s="49" t="str">
        <f>MID(VLOOKUP($A212,Seqs!$A:$B,2,FALSE),VLOOKUP($A212,'SegEnds_NonXtal_Prot#'!$A:$AL,22,FALSE)+8,1)</f>
        <v>T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V</v>
      </c>
      <c r="AG212" s="28" t="str">
        <f>MID(VLOOKUP($A212,Seqs!$A:$B,2,FALSE),VLOOKUP($A212,'SegEnds_NonXtal_Prot#'!$A:$AL,28,FALSE)-4,1)</f>
        <v>G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243</v>
      </c>
      <c r="B213" s="2" t="str">
        <f>LOWER(VLOOKUP(A213,Xtal_Templ!A:B,2,FALSE))</f>
        <v>gpr52_human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H213" s="4"/>
      <c r="N213" s="2" t="s">
        <v>14</v>
      </c>
      <c r="R213" s="2" t="s">
        <v>9</v>
      </c>
      <c r="T213" s="4" t="s">
        <v>12</v>
      </c>
      <c r="V213" s="28" t="str">
        <f>MID(VLOOKUP($A213,Seqs!$A:$B,2,FALSE),VLOOKUP($A213,'SegEnds_NonXtal_Prot#'!A:AL,10,FALSE),1)</f>
        <v>D</v>
      </c>
      <c r="W213" s="49" t="str">
        <f>MID(VLOOKUP($A213,Seqs!$A:$B,2,FALSE),VLOOKUP($A213,'SegEnds_NonXtal_Prot#'!A:AL,10,FALSE)+6,1)</f>
        <v>S</v>
      </c>
      <c r="X213" s="49" t="str">
        <f>MID(VLOOKUP($A213,Seqs!$A:$B,2,FALSE),VLOOKUP($A213,'SegEnds_NonXtal_Prot#'!A:AL,10,FALSE)+7,1)</f>
        <v>C</v>
      </c>
      <c r="Y213" s="49" t="str">
        <f>MID(VLOOKUP($A213,Seqs!$A:$B,2,FALSE),VLOOKUP($A213,'SegEnds_NonXtal_Prot#'!A:AL,10,FALSE)+8,1)</f>
        <v>V</v>
      </c>
      <c r="Z213" s="49" t="str">
        <f>MID(VLOOKUP($A213,Seqs!$A:$B,2,FALSE),VLOOKUP($A213,'SegEnds_NonXtal_Prot#'!A:AL,10,FALSE)+9,1)</f>
        <v>V</v>
      </c>
      <c r="AA213" s="49" t="str">
        <f>MID(VLOOKUP($A213,Seqs!$A:$B,2,FALSE),VLOOKUP($A213,'SegEnds_NonXtal_Prot#'!A:AL,10,FALSE)+10,1)</f>
        <v>P</v>
      </c>
      <c r="AB213" s="28" t="str">
        <f>MID(VLOOKUP($A213,Seqs!$A:$B,2,FALSE),VLOOKUP($A213,'SegEnds_NonXtal_Prot#'!$A:$AL,22,FALSE)+6,1)</f>
        <v>V</v>
      </c>
      <c r="AC213" s="49" t="str">
        <f>MID(VLOOKUP($A213,Seqs!$A:$B,2,FALSE),VLOOKUP($A213,'SegEnds_NonXtal_Prot#'!$A:$AL,22,FALSE)+7,1)</f>
        <v>F</v>
      </c>
      <c r="AD213" s="49" t="str">
        <f>MID(VLOOKUP($A213,Seqs!$A:$B,2,FALSE),VLOOKUP($A213,'SegEnds_NonXtal_Prot#'!$A:$AL,22,FALSE)+8,1)</f>
        <v>L</v>
      </c>
      <c r="AE213" s="49" t="str">
        <f>MID(VLOOKUP($A213,Seqs!$A:$B,2,FALSE),VLOOKUP($A213,'SegEnds_NonXtal_Prot#'!$A:$AL,22,FALSE)+9,1)</f>
        <v>P</v>
      </c>
      <c r="AF213" s="49" t="str">
        <f>MID(VLOOKUP($A213,Seqs!$A:$B,2,FALSE),VLOOKUP($A213,'SegEnds_NonXtal_Prot#'!$A:$AL,22,FALSE)+10,1)</f>
        <v>S</v>
      </c>
      <c r="AG213" s="28" t="str">
        <f>MID(VLOOKUP($A213,Seqs!$A:$B,2,FALSE),VLOOKUP($A213,'SegEnds_NonXtal_Prot#'!$A:$AL,28,FALSE)-4,1)</f>
        <v>M</v>
      </c>
      <c r="AH213" s="49" t="str">
        <f>MID(VLOOKUP($A213,Seqs!$A:$B,2,FALSE),VLOOKUP($A213,'SegEnds_NonXtal_Prot#'!$A:$AL,28,FALSE),1)</f>
        <v>P</v>
      </c>
    </row>
    <row r="214" spans="1:34" s="2" customFormat="1" x14ac:dyDescent="0.2">
      <c r="A214" s="2" t="s">
        <v>246</v>
      </c>
      <c r="B214" s="2" t="str">
        <f>LOWER(VLOOKUP(A214,Xtal_Templ!A:B,2,FALSE))</f>
        <v>drd2_human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2" t="s">
        <v>5</v>
      </c>
      <c r="H214" s="4"/>
      <c r="T214" s="4" t="s">
        <v>12</v>
      </c>
      <c r="V214" s="28" t="str">
        <f>MID(VLOOKUP($A214,Seqs!$A:$B,2,FALSE),VLOOKUP($A214,'SegEnds_NonXtal_Prot#'!A:AL,10,FALSE),1)</f>
        <v>N</v>
      </c>
      <c r="W214" s="49" t="str">
        <f>MID(VLOOKUP($A214,Seqs!$A:$B,2,FALSE),VLOOKUP($A214,'SegEnds_NonXtal_Prot#'!A:AL,10,FALSE)+6,1)</f>
        <v>V</v>
      </c>
      <c r="X214" s="49" t="str">
        <f>MID(VLOOKUP($A214,Seqs!$A:$B,2,FALSE),VLOOKUP($A214,'SegEnds_NonXtal_Prot#'!A:AL,10,FALSE)+7,1)</f>
        <v>N</v>
      </c>
      <c r="Y214" s="49" t="str">
        <f>MID(VLOOKUP($A214,Seqs!$A:$B,2,FALSE),VLOOKUP($A214,'SegEnds_NonXtal_Prot#'!A:AL,10,FALSE)+8,1)</f>
        <v>M</v>
      </c>
      <c r="Z214" s="49" t="str">
        <f>MID(VLOOKUP($A214,Seqs!$A:$B,2,FALSE),VLOOKUP($A214,'SegEnds_NonXtal_Prot#'!A:AL,10,FALSE)+9,1)</f>
        <v>P</v>
      </c>
      <c r="AA214" s="49" t="str">
        <f>MID(VLOOKUP($A214,Seqs!$A:$B,2,FALSE),VLOOKUP($A214,'SegEnds_NonXtal_Prot#'!A:AL,10,FALSE)+10,1)</f>
        <v>L</v>
      </c>
      <c r="AB214" s="28" t="str">
        <f>MID(VLOOKUP($A214,Seqs!$A:$B,2,FALSE),VLOOKUP($A214,'SegEnds_NonXtal_Prot#'!$A:$AL,22,FALSE)+6,1)</f>
        <v>F</v>
      </c>
      <c r="AC214" s="49" t="str">
        <f>MID(VLOOKUP($A214,Seqs!$A:$B,2,FALSE),VLOOKUP($A214,'SegEnds_NonXtal_Prot#'!$A:$AL,22,FALSE)+7,1)</f>
        <v>P</v>
      </c>
      <c r="AD214" s="49" t="str">
        <f>MID(VLOOKUP($A214,Seqs!$A:$B,2,FALSE),VLOOKUP($A214,'SegEnds_NonXtal_Prot#'!$A:$AL,22,FALSE)+8,1)</f>
        <v>A</v>
      </c>
      <c r="AE214" s="49" t="str">
        <f>MID(VLOOKUP($A214,Seqs!$A:$B,2,FALSE),VLOOKUP($A214,'SegEnds_NonXtal_Prot#'!$A:$AL,22,FALSE)+9,1)</f>
        <v>A</v>
      </c>
      <c r="AF214" s="49" t="str">
        <f>MID(VLOOKUP($A214,Seqs!$A:$B,2,FALSE),VLOOKUP($A214,'SegEnds_NonXtal_Prot#'!$A:$AL,22,FALSE)+10,1)</f>
        <v>A</v>
      </c>
      <c r="AG214" s="28" t="str">
        <f>MID(VLOOKUP($A214,Seqs!$A:$B,2,FALSE),VLOOKUP($A214,'SegEnds_NonXtal_Prot#'!$A:$AL,28,FALSE)-4,1)</f>
        <v>S</v>
      </c>
      <c r="AH214" s="49" t="str">
        <f>MID(VLOOKUP($A214,Seqs!$A:$B,2,FALSE),VLOOKUP($A214,'SegEnds_NonXtal_Prot#'!$A:$AL,28,FALSE),1)</f>
        <v>S</v>
      </c>
    </row>
    <row r="215" spans="1:34" s="2" customFormat="1" x14ac:dyDescent="0.2">
      <c r="A215" s="2" t="s">
        <v>259</v>
      </c>
      <c r="B215" s="2" t="str">
        <f>LOWER(VLOOKUP(A215,Xtal_Templ!A:B,2,FALSE))</f>
        <v>gpr52_human</v>
      </c>
      <c r="C215" s="2" t="str">
        <f>VLOOKUP(A215,Classification!A:D,2,FALSE)</f>
        <v>A</v>
      </c>
      <c r="D215" s="2" t="str">
        <f>IF(ISERROR(MATCH(A215,'SegEnds_Xtal_Prot#'!B:B, 0)), "NoXtal", "Xtal")</f>
        <v>Xtal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S</v>
      </c>
      <c r="X215" s="49" t="str">
        <f>MID(VLOOKUP($A215,Seqs!$A:$B,2,FALSE),VLOOKUP($A215,'SegEnds_NonXtal_Prot#'!A:AL,10,FALSE)+7,1)</f>
        <v>C</v>
      </c>
      <c r="Y215" s="49" t="str">
        <f>MID(VLOOKUP($A215,Seqs!$A:$B,2,FALSE),VLOOKUP($A215,'SegEnds_NonXtal_Prot#'!A:AL,10,FALSE)+8,1)</f>
        <v>L</v>
      </c>
      <c r="Z215" s="49" t="str">
        <f>MID(VLOOKUP($A215,Seqs!$A:$B,2,FALSE),VLOOKUP($A215,'SegEnds_NonXtal_Prot#'!A:AL,10,FALSE)+9,1)</f>
        <v>V</v>
      </c>
      <c r="AA215" s="49" t="str">
        <f>MID(VLOOKUP($A215,Seqs!$A:$B,2,FALSE),VLOOKUP($A215,'SegEnds_NonXtal_Prot#'!A:AL,10,FALSE)+10,1)</f>
        <v>P</v>
      </c>
      <c r="AB215" s="28" t="str">
        <f>MID(VLOOKUP($A215,Seqs!$A:$B,2,FALSE),VLOOKUP($A215,'SegEnds_NonXtal_Prot#'!$A:$AL,22,FALSE)+6,1)</f>
        <v>I</v>
      </c>
      <c r="AC215" s="49" t="str">
        <f>MID(VLOOKUP($A215,Seqs!$A:$B,2,FALSE),VLOOKUP($A215,'SegEnds_NonXtal_Prot#'!$A:$AL,22,FALSE)+7,1)</f>
        <v>F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S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268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L</v>
      </c>
      <c r="X216" s="49" t="str">
        <f>MID(VLOOKUP($A216,Seqs!$A:$B,2,FALSE),VLOOKUP($A216,'SegEnds_NonXtal_Prot#'!A:AL,10,FALSE)+7,1)</f>
        <v>N</v>
      </c>
      <c r="Y216" s="49" t="str">
        <f>MID(VLOOKUP($A216,Seqs!$A:$B,2,FALSE),VLOOKUP($A216,'SegEnds_NonXtal_Prot#'!A:AL,10,FALSE)+8,1)</f>
        <v>T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F</v>
      </c>
      <c r="AB216" s="28" t="str">
        <f>MID(VLOOKUP($A216,Seqs!$A:$B,2,FALSE),VLOOKUP($A216,'SegEnds_NonXtal_Prot#'!$A:$AL,22,FALSE)+6,1)</f>
        <v>F</v>
      </c>
      <c r="AC216" s="49" t="str">
        <f>MID(VLOOKUP($A216,Seqs!$A:$B,2,FALSE),VLOOKUP($A216,'SegEnds_NonXtal_Prot#'!$A:$AL,22,FALSE)+7,1)</f>
        <v>S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H</v>
      </c>
      <c r="AG216" s="28" t="str">
        <f>MID(VLOOKUP($A216,Seqs!$A:$B,2,FALSE),VLOOKUP($A216,'SegEnds_NonXtal_Prot#'!$A:$AL,28,FALSE)-4,1)</f>
        <v>L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311</v>
      </c>
      <c r="B217" s="2" t="str">
        <f>LOWER(VLOOKUP(A217,Xtal_Templ!A:B,2,FALSE))</f>
        <v>mtr1b_human</v>
      </c>
      <c r="C217" s="2" t="str">
        <f>VLOOKUP(A217,Classification!A:D,2,FALSE)</f>
        <v>A</v>
      </c>
      <c r="D217" s="2" t="str">
        <f>IF(ISERROR(MATCH(A217,'SegEnds_Xtal_Prot#'!B:B, 0)), "NoXtal", "Xtal")</f>
        <v>Xtal</v>
      </c>
      <c r="G217" s="2" t="s">
        <v>5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L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312</v>
      </c>
      <c r="B218" s="2" t="str">
        <f>LOWER(VLOOKUP(A218,Xtal_Templ!A:B,2,FALSE))</f>
        <v>mtr1a_human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H218" s="4"/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D</v>
      </c>
      <c r="W218" s="49" t="str">
        <f>MID(VLOOKUP($A218,Seqs!$A:$B,2,FALSE),VLOOKUP($A218,'SegEnds_NonXtal_Prot#'!A:AL,10,FALSE)+6,1)</f>
        <v>Y</v>
      </c>
      <c r="X218" s="49" t="str">
        <f>MID(VLOOKUP($A218,Seqs!$A:$B,2,FALSE),VLOOKUP($A218,'SegEnds_NonXtal_Prot#'!A:AL,10,FALSE)+7,1)</f>
        <v>P</v>
      </c>
      <c r="Y218" s="49" t="str">
        <f>MID(VLOOKUP($A218,Seqs!$A:$B,2,FALSE),VLOOKUP($A218,'SegEnds_NonXtal_Prot#'!A:AL,10,FALSE)+8,1)</f>
        <v>Y</v>
      </c>
      <c r="Z218" s="49" t="str">
        <f>MID(VLOOKUP($A218,Seqs!$A:$B,2,FALSE),VLOOKUP($A218,'SegEnds_NonXtal_Prot#'!A:AL,10,FALSE)+9,1)</f>
        <v>P</v>
      </c>
      <c r="AA218" s="49" t="str">
        <f>MID(VLOOKUP($A218,Seqs!$A:$B,2,FALSE),VLOOKUP($A218,'SegEnds_NonXtal_Prot#'!A:AL,10,FALSE)+10,1)</f>
        <v>L</v>
      </c>
      <c r="AB218" s="28" t="str">
        <f>MID(VLOOKUP($A218,Seqs!$A:$B,2,FALSE),VLOOKUP($A218,'SegEnds_NonXtal_Prot#'!$A:$AL,22,FALSE)+6,1)</f>
        <v>A</v>
      </c>
      <c r="AC218" s="49" t="str">
        <f>MID(VLOOKUP($A218,Seqs!$A:$B,2,FALSE),VLOOKUP($A218,'SegEnds_NonXtal_Prot#'!$A:$AL,22,FALSE)+7,1)</f>
        <v>V</v>
      </c>
      <c r="AD218" s="49" t="str">
        <f>MID(VLOOKUP($A218,Seqs!$A:$B,2,FALSE),VLOOKUP($A218,'SegEnds_NonXtal_Prot#'!$A:$AL,22,FALSE)+8,1)</f>
        <v>L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N</v>
      </c>
      <c r="AG218" s="28" t="str">
        <f>MID(VLOOKUP($A218,Seqs!$A:$B,2,FALSE),VLOOKUP($A218,'SegEnds_NonXtal_Prot#'!$A:$AL,28,FALSE)-4,1)</f>
        <v>H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313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Xtal</v>
      </c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E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V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I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315</v>
      </c>
      <c r="B220" s="2" t="str">
        <f>LOWER(VLOOKUP(A220,Xtal_Templ!A:B,2,FALSE))</f>
        <v>nk1r_human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N</v>
      </c>
      <c r="Y220" s="49" t="str">
        <f>MID(VLOOKUP($A220,Seqs!$A:$B,2,FALSE),VLOOKUP($A220,'SegEnds_NonXtal_Prot#'!A:AL,10,FALSE)+8,1)</f>
        <v>T</v>
      </c>
      <c r="Z220" s="49" t="str">
        <f>MID(VLOOKUP($A220,Seqs!$A:$B,2,FALSE),VLOOKUP($A220,'SegEnds_NonXtal_Prot#'!A:AL,10,FALSE)+9,1)</f>
        <v>L</v>
      </c>
      <c r="AA220" s="49" t="str">
        <f>MID(VLOOKUP($A220,Seqs!$A:$B,2,FALSE),VLOOKUP($A220,'SegEnds_NonXtal_Prot#'!A:AL,10,FALSE)+10,1)</f>
        <v>V</v>
      </c>
      <c r="AB220" s="28" t="str">
        <f>MID(VLOOKUP($A220,Seqs!$A:$B,2,FALSE),VLOOKUP($A220,'SegEnds_NonXtal_Prot#'!$A:$AL,22,FALSE)+6,1)</f>
        <v>L</v>
      </c>
      <c r="AC220" s="49" t="str">
        <f>MID(VLOOKUP($A220,Seqs!$A:$B,2,FALSE),VLOOKUP($A220,'SegEnds_NonXtal_Prot#'!$A:$AL,22,FALSE)+7,1)</f>
        <v>A</v>
      </c>
      <c r="AD220" s="49" t="str">
        <f>MID(VLOOKUP($A220,Seqs!$A:$B,2,FALSE),VLOOKUP($A220,'SegEnds_NonXtal_Prot#'!$A:$AL,22,FALSE)+8,1)</f>
        <v>F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Q</v>
      </c>
      <c r="AG220" s="28" t="str">
        <f>MID(VLOOKUP($A220,Seqs!$A:$B,2,FALSE),VLOOKUP($A220,'SegEnds_NonXtal_Prot#'!$A:$AL,28,FALSE)-4,1)</f>
        <v>V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321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2" t="s">
        <v>5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F</v>
      </c>
      <c r="X221" s="49" t="str">
        <f>MID(VLOOKUP($A221,Seqs!$A:$B,2,FALSE),VLOOKUP($A221,'SegEnds_NonXtal_Prot#'!A:AL,10,FALSE)+7,1)</f>
        <v>C</v>
      </c>
      <c r="Y221" s="49" t="str">
        <f>MID(VLOOKUP($A221,Seqs!$A:$B,2,FALSE),VLOOKUP($A221,'SegEnds_NonXtal_Prot#'!A:AL,10,FALSE)+8,1)</f>
        <v>M</v>
      </c>
      <c r="Z221" s="49" t="str">
        <f>MID(VLOOKUP($A221,Seqs!$A:$B,2,FALSE),VLOOKUP($A221,'SegEnds_NonXtal_Prot#'!A:AL,10,FALSE)+9,1)</f>
        <v>P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I</v>
      </c>
      <c r="AC221" s="49" t="str">
        <f>MID(VLOOKUP($A221,Seqs!$A:$B,2,FALSE),VLOOKUP($A221,'SegEnds_NonXtal_Prot#'!$A:$AL,22,FALSE)+7,1)</f>
        <v>M</v>
      </c>
      <c r="AD221" s="49" t="str">
        <f>MID(VLOOKUP($A221,Seqs!$A:$B,2,FALSE),VLOOKUP($A221,'SegEnds_NonXtal_Prot#'!$A:$AL,22,FALSE)+8,1)</f>
        <v>C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S</v>
      </c>
      <c r="AG221" s="28" t="str">
        <f>MID(VLOOKUP($A221,Seqs!$A:$B,2,FALSE),VLOOKUP($A221,'SegEnds_NonXtal_Prot#'!$A:$AL,28,FALSE)-4,1)</f>
        <v>I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323</v>
      </c>
      <c r="B222" s="2" t="str">
        <f>LOWER(VLOOKUP(A222,Xtal_Templ!A:B,2,FALSE))</f>
        <v>5ht2c_human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V</v>
      </c>
      <c r="X222" s="49" t="str">
        <f>MID(VLOOKUP($A222,Seqs!$A:$B,2,FALSE),VLOOKUP($A222,'SegEnds_NonXtal_Prot#'!A:AL,10,FALSE)+7,1)</f>
        <v>N</v>
      </c>
      <c r="Y222" s="49" t="str">
        <f>MID(VLOOKUP($A222,Seqs!$A:$B,2,FALSE),VLOOKUP($A222,'SegEnds_NonXtal_Prot#'!A:AL,10,FALSE)+8,1)</f>
        <v>I</v>
      </c>
      <c r="Z222" s="49" t="str">
        <f>MID(VLOOKUP($A222,Seqs!$A:$B,2,FALSE),VLOOKUP($A222,'SegEnds_NonXtal_Prot#'!A:AL,10,FALSE)+9,1)</f>
        <v>L</v>
      </c>
      <c r="AA222" s="49" t="str">
        <f>MID(VLOOKUP($A222,Seqs!$A:$B,2,FALSE),VLOOKUP($A222,'SegEnds_NonXtal_Prot#'!A:AL,10,FALSE)+10,1)</f>
        <v>T</v>
      </c>
      <c r="AB222" s="28" t="str">
        <f>MID(VLOOKUP($A222,Seqs!$A:$B,2,FALSE),VLOOKUP($A222,'SegEnds_NonXtal_Prot#'!$A:$AL,22,FALSE)+6,1)</f>
        <v>F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I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T</v>
      </c>
      <c r="AG222" s="28" t="str">
        <f>MID(VLOOKUP($A222,Seqs!$A:$B,2,FALSE),VLOOKUP($A222,'SegEnds_NonXtal_Prot#'!$A:$AL,28,FALSE)-4,1)</f>
        <v>V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324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M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L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F</v>
      </c>
      <c r="AB223" s="28" t="str">
        <f>MID(VLOOKUP($A223,Seqs!$A:$B,2,FALSE),VLOOKUP($A223,'SegEnds_NonXtal_Prot#'!$A:$AL,22,FALSE)+6,1)</f>
        <v>S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326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L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Q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L</v>
      </c>
      <c r="AB224" s="28" t="str">
        <f>MID(VLOOKUP($A224,Seqs!$A:$B,2,FALSE),VLOOKUP($A224,'SegEnds_NonXtal_Prot#'!$A:$AL,22,FALSE)+6,1)</f>
        <v>L</v>
      </c>
      <c r="AC224" s="49" t="str">
        <f>MID(VLOOKUP($A224,Seqs!$A:$B,2,FALSE),VLOOKUP($A224,'SegEnds_NonXtal_Prot#'!$A:$AL,22,FALSE)+7,1)</f>
        <v>S</v>
      </c>
      <c r="AD224" s="49" t="str">
        <f>MID(VLOOKUP($A224,Seqs!$A:$B,2,FALSE),VLOOKUP($A224,'SegEnds_NonXtal_Prot#'!$A:$AL,22,FALSE)+8,1)</f>
        <v>L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F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327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2" t="s">
        <v>5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F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S</v>
      </c>
      <c r="Z225" s="49" t="str">
        <f>MID(VLOOKUP($A225,Seqs!$A:$B,2,FALSE),VLOOKUP($A225,'SegEnds_NonXtal_Prot#'!A:AL,10,FALSE)+9,1)</f>
        <v>P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I</v>
      </c>
      <c r="AC225" s="49" t="str">
        <f>MID(VLOOKUP($A225,Seqs!$A:$B,2,FALSE),VLOOKUP($A225,'SegEnds_NonXtal_Prot#'!$A:$AL,22,FALSE)+7,1)</f>
        <v>C</v>
      </c>
      <c r="AD225" s="49" t="str">
        <f>MID(VLOOKUP($A225,Seqs!$A:$B,2,FALSE),VLOOKUP($A225,'SegEnds_NonXtal_Prot#'!$A:$AL,22,FALSE)+8,1)</f>
        <v>S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L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328</v>
      </c>
      <c r="B226" s="2" t="str">
        <f>LOWER(VLOOKUP(A226,Xtal_Templ!A:B,2,FALSE))</f>
        <v>npy1r_human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M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I</v>
      </c>
      <c r="Z226" s="49" t="str">
        <f>MID(VLOOKUP($A226,Seqs!$A:$B,2,FALSE),VLOOKUP($A226,'SegEnds_NonXtal_Prot#'!A:AL,10,FALSE)+9,1)</f>
        <v>H</v>
      </c>
      <c r="AA226" s="49" t="str">
        <f>MID(VLOOKUP($A226,Seqs!$A:$B,2,FALSE),VLOOKUP($A226,'SegEnds_NonXtal_Prot#'!A:AL,10,FALSE)+10,1)</f>
        <v>F</v>
      </c>
      <c r="AB226" s="28" t="str">
        <f>MID(VLOOKUP($A226,Seqs!$A:$B,2,FALSE),VLOOKUP($A226,'SegEnds_NonXtal_Prot#'!$A:$AL,22,FALSE)+6,1)</f>
        <v>L</v>
      </c>
      <c r="AC226" s="49" t="str">
        <f>MID(VLOOKUP($A226,Seqs!$A:$B,2,FALSE),VLOOKUP($A226,'SegEnds_NonXtal_Prot#'!$A:$AL,22,FALSE)+7,1)</f>
        <v>S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F</v>
      </c>
      <c r="AG226" s="28" t="str">
        <f>MID(VLOOKUP($A226,Seqs!$A:$B,2,FALSE),VLOOKUP($A226,'SegEnds_NonXtal_Prot#'!$A:$AL,28,FALSE)-4,1)</f>
        <v>Q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1171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Xtal</v>
      </c>
      <c r="G227" s="2" t="s">
        <v>5</v>
      </c>
      <c r="H227" s="4"/>
      <c r="N227" s="2" t="s">
        <v>14</v>
      </c>
      <c r="R227" s="2" t="s">
        <v>9</v>
      </c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T</v>
      </c>
      <c r="X227" s="49" t="str">
        <f>MID(VLOOKUP($A227,Seqs!$A:$B,2,FALSE),VLOOKUP($A227,'SegEnds_NonXtal_Prot#'!A:AL,10,FALSE)+7,1)</f>
        <v>C</v>
      </c>
      <c r="Y227" s="49" t="str">
        <f>MID(VLOOKUP($A227,Seqs!$A:$B,2,FALSE),VLOOKUP($A227,'SegEnds_NonXtal_Prot#'!A:AL,10,FALSE)+8,1)</f>
        <v>L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A</v>
      </c>
      <c r="AB227" s="28" t="str">
        <f>MID(VLOOKUP($A227,Seqs!$A:$B,2,FALSE),VLOOKUP($A227,'SegEnds_NonXtal_Prot#'!$A:$AL,22,FALSE)+6,1)</f>
        <v>I</v>
      </c>
      <c r="AC227" s="49" t="str">
        <f>MID(VLOOKUP($A227,Seqs!$A:$B,2,FALSE),VLOOKUP($A227,'SegEnds_NonXtal_Prot#'!$A:$AL,22,FALSE)+7,1)</f>
        <v>M</v>
      </c>
      <c r="AD227" s="49" t="str">
        <f>MID(VLOOKUP($A227,Seqs!$A:$B,2,FALSE),VLOOKUP($A227,'SegEnds_NonXtal_Prot#'!$A:$AL,22,FALSE)+8,1)</f>
        <v>I</v>
      </c>
      <c r="AE227" s="49" t="str">
        <f>MID(VLOOKUP($A227,Seqs!$A:$B,2,FALSE),VLOOKUP($A227,'SegEnds_NonXtal_Prot#'!$A:$AL,22,FALSE)+9,1)</f>
        <v>P</v>
      </c>
      <c r="AF227" s="49" t="str">
        <f>MID(VLOOKUP($A227,Seqs!$A:$B,2,FALSE),VLOOKUP($A227,'SegEnds_NonXtal_Prot#'!$A:$AL,22,FALSE)+10,1)</f>
        <v>Q</v>
      </c>
      <c r="AG227" s="28" t="str">
        <f>MID(VLOOKUP($A227,Seqs!$A:$B,2,FALSE),VLOOKUP($A227,'SegEnds_NonXtal_Prot#'!$A:$AL,28,FALSE)-4,1)</f>
        <v>T</v>
      </c>
      <c r="AH227" s="49" t="str">
        <f>MID(VLOOKUP($A227,Seqs!$A:$B,2,FALSE),VLOOKUP($A227,'SegEnds_NonXtal_Prot#'!$A:$AL,28,FALSE),1)</f>
        <v>P</v>
      </c>
    </row>
    <row r="228" spans="1:34" s="2" customFormat="1" x14ac:dyDescent="0.2">
      <c r="A228" s="2" t="s">
        <v>358</v>
      </c>
      <c r="B228" s="2" t="str">
        <f>LOWER(VLOOKUP(A228,Xtal_Templ!A:B,2,FALSE))</f>
        <v>pe2r4_human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L</v>
      </c>
      <c r="X228" s="49" t="str">
        <f>MID(VLOOKUP($A228,Seqs!$A:$B,2,FALSE),VLOOKUP($A228,'SegEnds_NonXtal_Prot#'!A:AL,10,FALSE)+7,1)</f>
        <v>L</v>
      </c>
      <c r="Y228" s="49" t="str">
        <f>MID(VLOOKUP($A228,Seqs!$A:$B,2,FALSE),VLOOKUP($A228,'SegEnds_NonXtal_Prot#'!A:AL,10,FALSE)+8,1)</f>
        <v>S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V</v>
      </c>
      <c r="AB228" s="28" t="str">
        <f>MID(VLOOKUP($A228,Seqs!$A:$B,2,FALSE),VLOOKUP($A228,'SegEnds_NonXtal_Prot#'!$A:$AL,22,FALSE)+6,1)</f>
        <v>F</v>
      </c>
      <c r="AC228" s="49" t="str">
        <f>MID(VLOOKUP($A228,Seqs!$A:$B,2,FALSE),VLOOKUP($A228,'SegEnds_NonXtal_Prot#'!$A:$AL,22,FALSE)+7,1)</f>
        <v>C</v>
      </c>
      <c r="AD228" s="49" t="str">
        <f>MID(VLOOKUP($A228,Seqs!$A:$B,2,FALSE),VLOOKUP($A228,'SegEnds_NonXtal_Prot#'!$A:$AL,22,FALSE)+8,1)</f>
        <v>A</v>
      </c>
      <c r="AE228" s="49" t="str">
        <f>MID(VLOOKUP($A228,Seqs!$A:$B,2,FALSE),VLOOKUP($A228,'SegEnds_NonXtal_Prot#'!$A:$AL,22,FALSE)+9,1)</f>
        <v>L</v>
      </c>
      <c r="AF228" s="49" t="str">
        <f>MID(VLOOKUP($A228,Seqs!$A:$B,2,FALSE),VLOOKUP($A228,'SegEnds_NonXtal_Prot#'!$A:$AL,22,FALSE)+10,1)</f>
        <v>P</v>
      </c>
      <c r="AG228" s="28" t="str">
        <f>MID(VLOOKUP($A228,Seqs!$A:$B,2,FALSE),VLOOKUP($A228,'SegEnds_NonXtal_Prot#'!$A:$AL,28,FALSE)-4,1)</f>
        <v>A</v>
      </c>
      <c r="AH228" s="49" t="str">
        <f>MID(VLOOKUP($A228,Seqs!$A:$B,2,FALSE),VLOOKUP($A228,'SegEnds_NonXtal_Prot#'!$A:$AL,28,FALSE),1)</f>
        <v>L</v>
      </c>
    </row>
    <row r="229" spans="1:34" s="2" customFormat="1" x14ac:dyDescent="0.2">
      <c r="A229" s="2" t="s">
        <v>366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V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367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I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C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F</v>
      </c>
      <c r="AB230" s="28" t="str">
        <f>MID(VLOOKUP($A230,Seqs!$A:$B,2,FALSE),VLOOKUP($A230,'SegEnds_NonXtal_Prot#'!$A:$AL,22,FALSE)+6,1)</f>
        <v>I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I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S</v>
      </c>
      <c r="AG230" s="28" t="str">
        <f>MID(VLOOKUP($A230,Seqs!$A:$B,2,FALSE),VLOOKUP($A230,'SegEnds_NonXtal_Prot#'!$A:$AL,28,FALSE)-4,1)</f>
        <v>E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368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N231" s="2" t="s">
        <v>14</v>
      </c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A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V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L</v>
      </c>
      <c r="AB231" s="28" t="str">
        <f>MID(VLOOKUP($A231,Seqs!$A:$B,2,FALSE),VLOOKUP($A231,'SegEnds_NonXtal_Prot#'!$A:$AL,22,FALSE)+6,1)</f>
        <v>L</v>
      </c>
      <c r="AC231" s="49" t="str">
        <f>MID(VLOOKUP($A231,Seqs!$A:$B,2,FALSE),VLOOKUP($A231,'SegEnds_NonXtal_Prot#'!$A:$AL,22,FALSE)+7,1)</f>
        <v>A</v>
      </c>
      <c r="AD231" s="49" t="str">
        <f>MID(VLOOKUP($A231,Seqs!$A:$B,2,FALSE),VLOOKUP($A231,'SegEnds_NonXtal_Prot#'!$A:$AL,22,FALSE)+8,1)</f>
        <v>L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A</v>
      </c>
      <c r="AG231" s="28" t="str">
        <f>MID(VLOOKUP($A231,Seqs!$A:$B,2,FALSE),VLOOKUP($A231,'SegEnds_NonXtal_Prot#'!$A:$AL,28,FALSE)-4,1)</f>
        <v>T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371</v>
      </c>
      <c r="B232" s="2" t="str">
        <f>LOWER(VLOOKUP(A232,Xtal_Templ!A:B,2,FALSE))</f>
        <v>ox2r_human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2" t="s">
        <v>5</v>
      </c>
      <c r="H232" s="4"/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F</v>
      </c>
      <c r="X232" s="49" t="str">
        <f>MID(VLOOKUP($A232,Seqs!$A:$B,2,FALSE),VLOOKUP($A232,'SegEnds_NonXtal_Prot#'!A:AL,10,FALSE)+7,1)</f>
        <v>C</v>
      </c>
      <c r="Y232" s="49" t="str">
        <f>MID(VLOOKUP($A232,Seqs!$A:$B,2,FALSE),VLOOKUP($A232,'SegEnds_NonXtal_Prot#'!A:AL,10,FALSE)+8,1)</f>
        <v>I</v>
      </c>
      <c r="Z232" s="49" t="str">
        <f>MID(VLOOKUP($A232,Seqs!$A:$B,2,FALSE),VLOOKUP($A232,'SegEnds_NonXtal_Prot#'!A:AL,10,FALSE)+9,1)</f>
        <v>P</v>
      </c>
      <c r="AA232" s="49" t="str">
        <f>MID(VLOOKUP($A232,Seqs!$A:$B,2,FALSE),VLOOKUP($A232,'SegEnds_NonXtal_Prot#'!A:AL,10,FALSE)+10,1)</f>
        <v>V</v>
      </c>
      <c r="AB232" s="28" t="str">
        <f>MID(VLOOKUP($A232,Seqs!$A:$B,2,FALSE),VLOOKUP($A232,'SegEnds_NonXtal_Prot#'!$A:$AL,22,FALSE)+6,1)</f>
        <v>V</v>
      </c>
      <c r="AC232" s="49" t="str">
        <f>MID(VLOOKUP($A232,Seqs!$A:$B,2,FALSE),VLOOKUP($A232,'SegEnds_NonXtal_Prot#'!$A:$AL,22,FALSE)+7,1)</f>
        <v>G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M</v>
      </c>
      <c r="AG232" s="28" t="str">
        <f>MID(VLOOKUP($A232,Seqs!$A:$B,2,FALSE),VLOOKUP($A232,'SegEnds_NonXtal_Prot#'!$A:$AL,28,FALSE)-4,1)</f>
        <v>L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179</v>
      </c>
      <c r="B233" s="2" t="str">
        <f>LOWER(VLOOKUP(A233,Xtal_Templ!A:B,2,FALSE))</f>
        <v>cltr1_human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1318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L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T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S</v>
      </c>
      <c r="AE233" s="49" t="str">
        <f>MID(VLOOKUP($A233,Seqs!$A:$B,2,FALSE),VLOOKUP($A233,'SegEnds_NonXtal_Prot#'!$A:$AL,22,FALSE)+9,1)</f>
        <v>P</v>
      </c>
      <c r="AF233" s="49" t="str">
        <f>MID(VLOOKUP($A233,Seqs!$A:$B,2,FALSE),VLOOKUP($A233,'SegEnds_NonXtal_Prot#'!$A:$AL,22,FALSE)+10,1)</f>
        <v>F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180</v>
      </c>
      <c r="B234" s="2" t="str">
        <f>LOWER(VLOOKUP(A234,Xtal_Templ!A:B,2,FALSE))</f>
        <v>cltr2_human</v>
      </c>
      <c r="C234" s="2" t="str">
        <f>VLOOKUP(A234,Classification!A:D,2,FALSE)</f>
        <v>A</v>
      </c>
      <c r="D234" s="2" t="str">
        <f>IF(ISERROR(MATCH(A234,'SegEnds_Xtal_Prot#'!B:B, 0)), "NoXtal", "Xtal")</f>
        <v>Xtal</v>
      </c>
      <c r="H234" s="4"/>
      <c r="N234" s="2" t="s">
        <v>14</v>
      </c>
      <c r="R234" s="2" t="s">
        <v>9</v>
      </c>
      <c r="S234" s="2" t="s">
        <v>1318</v>
      </c>
      <c r="T234" s="4" t="s">
        <v>12</v>
      </c>
      <c r="V234" s="28" t="str">
        <f>MID(VLOOKUP($A234,Seqs!$A:$B,2,FALSE),VLOOKUP($A234,'SegEnds_NonXtal_Prot#'!A:AL,10,FALSE),1)</f>
        <v>D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F</v>
      </c>
      <c r="AA234" s="49" t="str">
        <f>MID(VLOOKUP($A234,Seqs!$A:$B,2,FALSE),VLOOKUP($A234,'SegEnds_NonXtal_Prot#'!A:AL,10,FALSE)+10,1)</f>
        <v>R</v>
      </c>
      <c r="AB234" s="28" t="str">
        <f>MID(VLOOKUP($A234,Seqs!$A:$B,2,FALSE),VLOOKUP($A234,'SegEnds_NonXtal_Prot#'!$A:$AL,22,FALSE)+6,1)</f>
        <v>S</v>
      </c>
      <c r="AC234" s="49" t="str">
        <f>MID(VLOOKUP($A234,Seqs!$A:$B,2,FALSE),VLOOKUP($A234,'SegEnds_NonXtal_Prot#'!$A:$AL,22,FALSE)+7,1)</f>
        <v>S</v>
      </c>
      <c r="AD234" s="49" t="str">
        <f>MID(VLOOKUP($A234,Seqs!$A:$B,2,FALSE),VLOOKUP($A234,'SegEnds_NonXtal_Prot#'!$A:$AL,22,FALSE)+8,1)</f>
        <v>I</v>
      </c>
      <c r="AE234" s="49" t="str">
        <f>MID(VLOOKUP($A234,Seqs!$A:$B,2,FALSE),VLOOKUP($A234,'SegEnds_NonXtal_Prot#'!$A:$AL,22,FALSE)+9,1)</f>
        <v>M</v>
      </c>
      <c r="AF234" s="49" t="str">
        <f>MID(VLOOKUP($A234,Seqs!$A:$B,2,FALSE),VLOOKUP($A234,'SegEnds_NonXtal_Prot#'!$A:$AL,22,FALSE)+10,1)</f>
        <v>L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213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N235" s="2" t="s">
        <v>14</v>
      </c>
      <c r="R235" s="2" t="s">
        <v>9</v>
      </c>
      <c r="T235" s="4" t="s">
        <v>12</v>
      </c>
      <c r="V235" s="28" t="str">
        <f>MID(VLOOKUP($A235,Seqs!$A:$B,2,FALSE),VLOOKUP($A235,'SegEnds_NonXtal_Prot#'!A:AL,10,FALSE),1)</f>
        <v>E</v>
      </c>
      <c r="W235" s="49" t="str">
        <f>MID(VLOOKUP($A235,Seqs!$A:$B,2,FALSE),VLOOKUP($A235,'SegEnds_NonXtal_Prot#'!A:AL,10,FALSE)+6,1)</f>
        <v>T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W</v>
      </c>
      <c r="AB235" s="28" t="str">
        <f>MID(VLOOKUP($A235,Seqs!$A:$B,2,FALSE),VLOOKUP($A235,'SegEnds_NonXtal_Prot#'!$A:$AL,22,FALSE)+6,1)</f>
        <v>V</v>
      </c>
      <c r="AC235" s="49" t="str">
        <f>MID(VLOOKUP($A235,Seqs!$A:$B,2,FALSE),VLOOKUP($A235,'SegEnds_NonXtal_Prot#'!$A:$AL,22,FALSE)+7,1)</f>
        <v>H</v>
      </c>
      <c r="AD235" s="49" t="str">
        <f>MID(VLOOKUP($A235,Seqs!$A:$B,2,FALSE),VLOOKUP($A235,'SegEnds_NonXtal_Prot#'!$A:$AL,22,FALSE)+8,1)</f>
        <v>Y</v>
      </c>
      <c r="AE235" s="49" t="str">
        <f>MID(VLOOKUP($A235,Seqs!$A:$B,2,FALSE),VLOOKUP($A235,'SegEnds_NonXtal_Prot#'!$A:$AL,22,FALSE)+9,1)</f>
        <v>P</v>
      </c>
      <c r="AF235" s="49" t="str">
        <f>MID(VLOOKUP($A235,Seqs!$A:$B,2,FALSE),VLOOKUP($A235,'SegEnds_NonXtal_Prot#'!$A:$AL,22,FALSE)+10,1)</f>
        <v>V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S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L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C</v>
      </c>
      <c r="AD236" s="49" t="str">
        <f>MID(VLOOKUP($A236,Seqs!$A:$B,2,FALSE),VLOOKUP($A236,'SegEnds_NonXtal_Prot#'!$A:$AL,22,FALSE)+8,1)</f>
        <v>V</v>
      </c>
      <c r="AE236" s="49" t="str">
        <f>MID(VLOOKUP($A236,Seqs!$A:$B,2,FALSE),VLOOKUP($A236,'SegEnds_NonXtal_Prot#'!$A:$AL,22,FALSE)+9,1)</f>
        <v>L</v>
      </c>
      <c r="AF236" s="49" t="str">
        <f>MID(VLOOKUP($A236,Seqs!$A:$B,2,FALSE),VLOOKUP($A236,'SegEnds_NonXtal_Prot#'!$A:$AL,22,FALSE)+10,1)</f>
        <v>F</v>
      </c>
      <c r="AG236" s="28" t="str">
        <f>MID(VLOOKUP($A236,Seqs!$A:$B,2,FALSE),VLOOKUP($A236,'SegEnds_NonXtal_Prot#'!$A:$AL,28,FALSE)-4,1)</f>
        <v>G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239</v>
      </c>
      <c r="B237" s="2" t="str">
        <f>LOWER(VLOOKUP(A237,Xtal_Templ!A:B,2,FALSE))</f>
        <v>cltr2_human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R237" s="2" t="s">
        <v>9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V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T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A</v>
      </c>
      <c r="AC237" s="49" t="str">
        <f>MID(VLOOKUP($A237,Seqs!$A:$B,2,FALSE),VLOOKUP($A237,'SegEnds_NonXtal_Prot#'!$A:$AL,22,FALSE)+7,1)</f>
        <v>M</v>
      </c>
      <c r="AD237" s="49" t="str">
        <f>MID(VLOOKUP($A237,Seqs!$A:$B,2,FALSE),VLOOKUP($A237,'SegEnds_NonXtal_Prot#'!$A:$AL,22,FALSE)+8,1)</f>
        <v>A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A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240</v>
      </c>
      <c r="B238" s="2" t="str">
        <f>LOWER(VLOOKUP(A238,Xtal_Templ!A:B,2,FALSE))</f>
        <v>ccr6_human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T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R</v>
      </c>
      <c r="AB238" s="28" t="str">
        <f>MID(VLOOKUP($A238,Seqs!$A:$B,2,FALSE),VLOOKUP($A238,'SegEnds_NonXtal_Prot#'!$A:$AL,22,FALSE)+6,1)</f>
        <v>T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T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L</v>
      </c>
      <c r="AG238" s="28" t="str">
        <f>MID(VLOOKUP($A238,Seqs!$A:$B,2,FALSE),VLOOKUP($A238,'SegEnds_NonXtal_Prot#'!$A:$AL,28,FALSE)-4,1)</f>
        <v>F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249</v>
      </c>
      <c r="B239" s="2" t="str">
        <f>LOWER(VLOOKUP(A239,Xtal_Templ!A:B,2,FALSE))</f>
        <v>oprd_human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N239" s="2" t="s">
        <v>14</v>
      </c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C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F</v>
      </c>
      <c r="AA239" s="49" t="str">
        <f>MID(VLOOKUP($A239,Seqs!$A:$B,2,FALSE),VLOOKUP($A239,'SegEnds_NonXtal_Prot#'!A:AL,10,FALSE)+10,1)</f>
        <v>L</v>
      </c>
      <c r="AB239" s="28" t="str">
        <f>MID(VLOOKUP($A239,Seqs!$A:$B,2,FALSE),VLOOKUP($A239,'SegEnds_NonXtal_Prot#'!$A:$AL,22,FALSE)+6,1)</f>
        <v>L</v>
      </c>
      <c r="AC239" s="49" t="str">
        <f>MID(VLOOKUP($A239,Seqs!$A:$B,2,FALSE),VLOOKUP($A239,'SegEnds_NonXtal_Prot#'!$A:$AL,22,FALSE)+7,1)</f>
        <v>T</v>
      </c>
      <c r="AD239" s="49" t="str">
        <f>MID(VLOOKUP($A239,Seqs!$A:$B,2,FALSE),VLOOKUP($A239,'SegEnds_NonXtal_Prot#'!$A:$AL,22,FALSE)+8,1)</f>
        <v>C</v>
      </c>
      <c r="AE239" s="49" t="str">
        <f>MID(VLOOKUP($A239,Seqs!$A:$B,2,FALSE),VLOOKUP($A239,'SegEnds_NonXtal_Prot#'!$A:$AL,22,FALSE)+9,1)</f>
        <v>P</v>
      </c>
      <c r="AF239" s="49" t="str">
        <f>MID(VLOOKUP($A239,Seqs!$A:$B,2,FALSE),VLOOKUP($A239,'SegEnds_NonXtal_Prot#'!$A:$AL,22,FALSE)+10,1)</f>
        <v>G</v>
      </c>
      <c r="AG239" s="28" t="str">
        <f>MID(VLOOKUP($A239,Seqs!$A:$B,2,FALSE),VLOOKUP($A239,'SegEnds_NonXtal_Prot#'!$A:$AL,28,FALSE)-4,1)</f>
        <v>Q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256</v>
      </c>
      <c r="B240" s="2" t="str">
        <f>LOWER(VLOOKUP(A240,Xtal_Templ!A:B,2,FALSE))</f>
        <v>ptafr_human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S240" s="106"/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T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L</v>
      </c>
      <c r="AA240" s="49" t="str">
        <f>MID(VLOOKUP($A240,Seqs!$A:$B,2,FALSE),VLOOKUP($A240,'SegEnds_NonXtal_Prot#'!A:AL,10,FALSE)+10,1)</f>
        <v>W</v>
      </c>
      <c r="AB240" s="28" t="str">
        <f>MID(VLOOKUP($A240,Seqs!$A:$B,2,FALSE),VLOOKUP($A240,'SegEnds_NonXtal_Prot#'!$A:$AL,22,FALSE)+6,1)</f>
        <v>A</v>
      </c>
      <c r="AC240" s="49" t="str">
        <f>MID(VLOOKUP($A240,Seqs!$A:$B,2,FALSE),VLOOKUP($A240,'SegEnds_NonXtal_Prot#'!$A:$AL,22,FALSE)+7,1)</f>
        <v>N</v>
      </c>
      <c r="AD240" s="49" t="str">
        <f>MID(VLOOKUP($A240,Seqs!$A:$B,2,FALSE),VLOOKUP($A240,'SegEnds_NonXtal_Prot#'!$A:$AL,22,FALSE)+8,1)</f>
        <v>S</v>
      </c>
      <c r="AE240" s="49" t="str">
        <f>MID(VLOOKUP($A240,Seqs!$A:$B,2,FALSE),VLOOKUP($A240,'SegEnds_NonXtal_Prot#'!$A:$AL,22,FALSE)+9,1)</f>
        <v>A</v>
      </c>
      <c r="AF240" s="49" t="str">
        <f>MID(VLOOKUP($A240,Seqs!$A:$B,2,FALSE),VLOOKUP($A240,'SegEnds_NonXtal_Prot#'!$A:$AL,22,FALSE)+10,1)</f>
        <v>P</v>
      </c>
      <c r="AG240" s="28" t="str">
        <f>MID(VLOOKUP($A240,Seqs!$A:$B,2,FALSE),VLOOKUP($A240,'SegEnds_NonXtal_Prot#'!$A:$AL,28,FALSE)-4,1)</f>
        <v>G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274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R</v>
      </c>
      <c r="AB241" s="28" t="str">
        <f>MID(VLOOKUP($A241,Seqs!$A:$B,2,FALSE),VLOOKUP($A241,'SegEnds_NonXtal_Prot#'!$A:$AL,22,FALSE)+6,1)</f>
        <v>G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Y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275</v>
      </c>
      <c r="B242" s="2" t="str">
        <f>LOWER(VLOOKUP(A242,Xtal_Templ!A:B,2,FALSE))</f>
        <v>cltr2_human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L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276</v>
      </c>
      <c r="B243" s="2" t="str">
        <f>LOWER(VLOOKUP(A243,Xtal_Templ!A:B,2,FALSE))</f>
        <v>p2ry1_human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C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V</v>
      </c>
      <c r="AB243" s="28" t="str">
        <f>MID(VLOOKUP($A243,Seqs!$A:$B,2,FALSE),VLOOKUP($A243,'SegEnds_NonXtal_Prot#'!$A:$AL,22,FALSE)+6,1)</f>
        <v>L</v>
      </c>
      <c r="AC243" s="49" t="str">
        <f>MID(VLOOKUP($A243,Seqs!$A:$B,2,FALSE),VLOOKUP($A243,'SegEnds_NonXtal_Prot#'!$A:$AL,22,FALSE)+7,1)</f>
        <v>T</v>
      </c>
      <c r="AD243" s="49" t="str">
        <f>MID(VLOOKUP($A243,Seqs!$A:$B,2,FALSE),VLOOKUP($A243,'SegEnds_NonXtal_Prot#'!$A:$AL,22,FALSE)+8,1)</f>
        <v>V</v>
      </c>
      <c r="AE243" s="49" t="str">
        <f>MID(VLOOKUP($A243,Seqs!$A:$B,2,FALSE),VLOOKUP($A243,'SegEnds_NonXtal_Prot#'!$A:$AL,22,FALSE)+9,1)</f>
        <v>H</v>
      </c>
      <c r="AF243" s="49" t="str">
        <f>MID(VLOOKUP($A243,Seqs!$A:$B,2,FALSE),VLOOKUP($A243,'SegEnds_NonXtal_Prot#'!$A:$AL,22,FALSE)+10,1)</f>
        <v>L</v>
      </c>
      <c r="AG243" s="28" t="str">
        <f>MID(VLOOKUP($A243,Seqs!$A:$B,2,FALSE),VLOOKUP($A243,'SegEnds_NonXtal_Prot#'!$A:$AL,28,FALSE)-4,1)</f>
        <v>E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287</v>
      </c>
      <c r="B244" s="2" t="str">
        <f>LOWER(VLOOKUP(A244,Xtal_Templ!A:B,2,FALSE))</f>
        <v>oprk_human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T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F</v>
      </c>
      <c r="AA244" s="49" t="str">
        <f>MID(VLOOKUP($A244,Seqs!$A:$B,2,FALSE),VLOOKUP($A244,'SegEnds_NonXtal_Prot#'!A:AL,10,FALSE)+10,1)</f>
        <v>K</v>
      </c>
      <c r="AB244" s="28" t="str">
        <f>MID(VLOOKUP($A244,Seqs!$A:$B,2,FALSE),VLOOKUP($A244,'SegEnds_NonXtal_Prot#'!$A:$AL,22,FALSE)+6,1)</f>
        <v>G</v>
      </c>
      <c r="AC244" s="49" t="str">
        <f>MID(VLOOKUP($A244,Seqs!$A:$B,2,FALSE),VLOOKUP($A244,'SegEnds_NonXtal_Prot#'!$A:$AL,22,FALSE)+7,1)</f>
        <v>G</v>
      </c>
      <c r="AD244" s="49" t="str">
        <f>MID(VLOOKUP($A244,Seqs!$A:$B,2,FALSE),VLOOKUP($A244,'SegEnds_NonXtal_Prot#'!$A:$AL,22,FALSE)+8,1)</f>
        <v>I</v>
      </c>
      <c r="AE244" s="49" t="str">
        <f>MID(VLOOKUP($A244,Seqs!$A:$B,2,FALSE),VLOOKUP($A244,'SegEnds_NonXtal_Prot#'!$A:$AL,22,FALSE)+9,1)</f>
        <v>S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288</v>
      </c>
      <c r="B245" s="2" t="str">
        <f>LOWER(VLOOKUP(A245,Xtal_Templ!A:B,2,FALSE))</f>
        <v>cltr2_human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S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V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F</v>
      </c>
      <c r="AC245" s="49" t="str">
        <f>MID(VLOOKUP($A245,Seqs!$A:$B,2,FALSE),VLOOKUP($A245,'SegEnds_NonXtal_Prot#'!$A:$AL,22,FALSE)+7,1)</f>
        <v>A</v>
      </c>
      <c r="AD245" s="49" t="str">
        <f>MID(VLOOKUP($A245,Seqs!$A:$B,2,FALSE),VLOOKUP($A245,'SegEnds_NonXtal_Prot#'!$A:$AL,22,FALSE)+8,1)</f>
        <v>V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289</v>
      </c>
      <c r="B246" s="2" t="str">
        <f>LOWER(VLOOKUP(A246,Xtal_Templ!A:B,2,FALSE))</f>
        <v>cltr1_human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N246" s="2" t="s">
        <v>14</v>
      </c>
      <c r="R246" s="2" t="s">
        <v>9</v>
      </c>
      <c r="S246" s="106"/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T</v>
      </c>
      <c r="X246" s="49" t="str">
        <f>MID(VLOOKUP($A246,Seqs!$A:$B,2,FALSE),VLOOKUP($A246,'SegEnds_NonXtal_Prot#'!A:AL,10,FALSE)+7,1)</f>
        <v>L</v>
      </c>
      <c r="Y246" s="49" t="str">
        <f>MID(VLOOKUP($A246,Seqs!$A:$B,2,FALSE),VLOOKUP($A246,'SegEnds_NonXtal_Prot#'!A:AL,10,FALSE)+8,1)</f>
        <v>P</v>
      </c>
      <c r="Z246" s="49" t="str">
        <f>MID(VLOOKUP($A246,Seqs!$A:$B,2,FALSE),VLOOKUP($A246,'SegEnds_NonXtal_Prot#'!A:AL,10,FALSE)+9,1)</f>
        <v>F</v>
      </c>
      <c r="AA246" s="49" t="str">
        <f>MID(VLOOKUP($A246,Seqs!$A:$B,2,FALSE),VLOOKUP($A246,'SegEnds_NonXtal_Prot#'!A:AL,10,FALSE)+10,1)</f>
        <v>R</v>
      </c>
      <c r="AB246" s="28" t="str">
        <f>MID(VLOOKUP($A246,Seqs!$A:$B,2,FALSE),VLOOKUP($A246,'SegEnds_NonXtal_Prot#'!$A:$AL,22,FALSE)+6,1)</f>
        <v>G</v>
      </c>
      <c r="AC246" s="49" t="str">
        <f>MID(VLOOKUP($A246,Seqs!$A:$B,2,FALSE),VLOOKUP($A246,'SegEnds_NonXtal_Prot#'!$A:$AL,22,FALSE)+7,1)</f>
        <v>S</v>
      </c>
      <c r="AD246" s="49" t="str">
        <f>MID(VLOOKUP($A246,Seqs!$A:$B,2,FALSE),VLOOKUP($A246,'SegEnds_NonXtal_Prot#'!$A:$AL,22,FALSE)+8,1)</f>
        <v>A</v>
      </c>
      <c r="AE246" s="49" t="str">
        <f>MID(VLOOKUP($A246,Seqs!$A:$B,2,FALSE),VLOOKUP($A246,'SegEnds_NonXtal_Prot#'!$A:$AL,22,FALSE)+9,1)</f>
        <v>P</v>
      </c>
      <c r="AF246" s="49" t="str">
        <f>MID(VLOOKUP($A246,Seqs!$A:$B,2,FALSE),VLOOKUP($A246,'SegEnds_NonXtal_Prot#'!$A:$AL,22,FALSE)+10,1)</f>
        <v>A</v>
      </c>
      <c r="AG246" s="28" t="str">
        <f>MID(VLOOKUP($A246,Seqs!$A:$B,2,FALSE),VLOOKUP($A246,'SegEnds_NonXtal_Prot#'!$A:$AL,28,FALSE)-4,1)</f>
        <v>G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293</v>
      </c>
      <c r="B247" s="2" t="str">
        <f>LOWER(VLOOKUP(A247,Xtal_Templ!A:B,2,FALSE))</f>
        <v>ccr6_human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R247" s="2" t="s">
        <v>9</v>
      </c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I</v>
      </c>
      <c r="Y247" s="49" t="str">
        <f>MID(VLOOKUP($A247,Seqs!$A:$B,2,FALSE),VLOOKUP($A247,'SegEnds_NonXtal_Prot#'!A:AL,10,FALSE)+8,1)</f>
        <v>F</v>
      </c>
      <c r="Z247" s="49" t="str">
        <f>MID(VLOOKUP($A247,Seqs!$A:$B,2,FALSE),VLOOKUP($A247,'SegEnds_NonXtal_Prot#'!A:AL,10,FALSE)+9,1)</f>
        <v>I</v>
      </c>
      <c r="AA247" s="49" t="str">
        <f>MID(VLOOKUP($A247,Seqs!$A:$B,2,FALSE),VLOOKUP($A247,'SegEnds_NonXtal_Prot#'!A:AL,10,FALSE)+10,1)</f>
        <v>L</v>
      </c>
      <c r="AB247" s="28" t="str">
        <f>MID(VLOOKUP($A247,Seqs!$A:$B,2,FALSE),VLOOKUP($A247,'SegEnds_NonXtal_Prot#'!$A:$AL,22,FALSE)+6,1)</f>
        <v>V</v>
      </c>
      <c r="AC247" s="49" t="str">
        <f>MID(VLOOKUP($A247,Seqs!$A:$B,2,FALSE),VLOOKUP($A247,'SegEnds_NonXtal_Prot#'!$A:$AL,22,FALSE)+7,1)</f>
        <v>T</v>
      </c>
      <c r="AD247" s="49" t="str">
        <f>MID(VLOOKUP($A247,Seqs!$A:$B,2,FALSE),VLOOKUP($A247,'SegEnds_NonXtal_Prot#'!$A:$AL,22,FALSE)+8,1)</f>
        <v>T</v>
      </c>
      <c r="AE247" s="49" t="str">
        <f>MID(VLOOKUP($A247,Seqs!$A:$B,2,FALSE),VLOOKUP($A247,'SegEnds_NonXtal_Prot#'!$A:$AL,22,FALSE)+9,1)</f>
        <v>M</v>
      </c>
      <c r="AF247" s="49" t="str">
        <f>MID(VLOOKUP($A247,Seqs!$A:$B,2,FALSE),VLOOKUP($A247,'SegEnds_NonXtal_Prot#'!$A:$AL,22,FALSE)+10,1)</f>
        <v>E</v>
      </c>
      <c r="AG247" s="28" t="str">
        <f>MID(VLOOKUP($A247,Seqs!$A:$B,2,FALSE),VLOOKUP($A247,'SegEnds_NonXtal_Prot#'!$A:$AL,28,FALSE)-4,1)</f>
        <v>L</v>
      </c>
      <c r="AH247" s="49" t="str">
        <f>MID(VLOOKUP($A247,Seqs!$A:$B,2,FALSE),VLOOKUP($A247,'SegEnds_NonXtal_Prot#'!$A:$AL,28,FALSE),1)</f>
        <v>P</v>
      </c>
    </row>
    <row r="248" spans="1:34" s="2" customFormat="1" x14ac:dyDescent="0.2">
      <c r="A248" s="2" t="s">
        <v>294</v>
      </c>
      <c r="B248" s="2" t="str">
        <f>LOWER(VLOOKUP(A248,Xtal_Templ!A:B,2,FALSE))</f>
        <v>ccr6_human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C</v>
      </c>
      <c r="X248" s="49" t="str">
        <f>MID(VLOOKUP($A248,Seqs!$A:$B,2,FALSE),VLOOKUP($A248,'SegEnds_NonXtal_Prot#'!A:AL,10,FALSE)+7,1)</f>
        <v>S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V</v>
      </c>
      <c r="AA248" s="49" t="str">
        <f>MID(VLOOKUP($A248,Seqs!$A:$B,2,FALSE),VLOOKUP($A248,'SegEnds_NonXtal_Prot#'!A:AL,10,FALSE)+10,1)</f>
        <v>G</v>
      </c>
      <c r="AB248" s="28" t="str">
        <f>MID(VLOOKUP($A248,Seqs!$A:$B,2,FALSE),VLOOKUP($A248,'SegEnds_NonXtal_Prot#'!$A:$AL,22,FALSE)+6,1)</f>
        <v>I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I</v>
      </c>
      <c r="AE248" s="49" t="str">
        <f>MID(VLOOKUP($A248,Seqs!$A:$B,2,FALSE),VLOOKUP($A248,'SegEnds_NonXtal_Prot#'!$A:$AL,22,FALSE)+9,1)</f>
        <v>V</v>
      </c>
      <c r="AF248" s="49" t="str">
        <f>MID(VLOOKUP($A248,Seqs!$A:$B,2,FALSE),VLOOKUP($A248,'SegEnds_NonXtal_Prot#'!$A:$AL,22,FALSE)+10,1)</f>
        <v>K</v>
      </c>
      <c r="AG248" s="28" t="str">
        <f>MID(VLOOKUP($A248,Seqs!$A:$B,2,FALSE),VLOOKUP($A248,'SegEnds_NonXtal_Prot#'!$A:$AL,28,FALSE)-4,1)</f>
        <v>A</v>
      </c>
      <c r="AH248" s="49" t="str">
        <f>MID(VLOOKUP($A248,Seqs!$A:$B,2,FALSE),VLOOKUP($A248,'SegEnds_NonXtal_Prot#'!$A:$AL,28,FALSE),1)</f>
        <v>L</v>
      </c>
    </row>
    <row r="249" spans="1:34" s="2" customFormat="1" x14ac:dyDescent="0.2">
      <c r="A249" s="2" t="s">
        <v>300</v>
      </c>
      <c r="B249" s="2" t="str">
        <f>LOWER(VLOOKUP(A249,Xtal_Templ!A:B,2,FALSE))</f>
        <v>ccr6_human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M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S</v>
      </c>
      <c r="AA249" s="49" t="str">
        <f>MID(VLOOKUP($A249,Seqs!$A:$B,2,FALSE),VLOOKUP($A249,'SegEnds_NonXtal_Prot#'!A:AL,10,FALSE)+10,1)</f>
        <v>T</v>
      </c>
      <c r="AB249" s="28" t="str">
        <f>MID(VLOOKUP($A249,Seqs!$A:$B,2,FALSE),VLOOKUP($A249,'SegEnds_NonXtal_Prot#'!$A:$AL,22,FALSE)+6,1)</f>
        <v>M</v>
      </c>
      <c r="AC249" s="49" t="str">
        <f>MID(VLOOKUP($A249,Seqs!$A:$B,2,FALSE),VLOOKUP($A249,'SegEnds_NonXtal_Prot#'!$A:$AL,22,FALSE)+7,1)</f>
        <v>N</v>
      </c>
      <c r="AD249" s="49" t="str">
        <f>MID(VLOOKUP($A249,Seqs!$A:$B,2,FALSE),VLOOKUP($A249,'SegEnds_NonXtal_Prot#'!$A:$AL,22,FALSE)+8,1)</f>
        <v>G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T</v>
      </c>
      <c r="AG249" s="28" t="str">
        <f>MID(VLOOKUP($A249,Seqs!$A:$B,2,FALSE),VLOOKUP($A249,'SegEnds_NonXtal_Prot#'!$A:$AL,28,FALSE)-4,1)</f>
        <v>G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302</v>
      </c>
      <c r="B250" s="2" t="str">
        <f>LOWER(VLOOKUP(A250,Xtal_Templ!A:B,2,FALSE))</f>
        <v>ccr6_human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R250" s="2" t="s">
        <v>9</v>
      </c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S</v>
      </c>
      <c r="X250" s="49" t="str">
        <f>MID(VLOOKUP($A250,Seqs!$A:$B,2,FALSE),VLOOKUP($A250,'SegEnds_NonXtal_Prot#'!A:AL,10,FALSE)+7,1)</f>
        <v>K</v>
      </c>
      <c r="Y250" s="49" t="str">
        <f>MID(VLOOKUP($A250,Seqs!$A:$B,2,FALSE),VLOOKUP($A250,'SegEnds_NonXtal_Prot#'!A:AL,10,FALSE)+8,1)</f>
        <v>A</v>
      </c>
      <c r="Z250" s="49" t="str">
        <f>MID(VLOOKUP($A250,Seqs!$A:$B,2,FALSE),VLOOKUP($A250,'SegEnds_NonXtal_Prot#'!A:AL,10,FALSE)+9,1)</f>
        <v>V</v>
      </c>
      <c r="AA250" s="49" t="str">
        <f>MID(VLOOKUP($A250,Seqs!$A:$B,2,FALSE),VLOOKUP($A250,'SegEnds_NonXtal_Prot#'!A:AL,10,FALSE)+10,1)</f>
        <v>F</v>
      </c>
      <c r="AB250" s="28" t="str">
        <f>MID(VLOOKUP($A250,Seqs!$A:$B,2,FALSE),VLOOKUP($A250,'SegEnds_NonXtal_Prot#'!$A:$AL,22,FALSE)+6,1)</f>
        <v>V</v>
      </c>
      <c r="AC250" s="49" t="str">
        <f>MID(VLOOKUP($A250,Seqs!$A:$B,2,FALSE),VLOOKUP($A250,'SegEnds_NonXtal_Prot#'!$A:$AL,22,FALSE)+7,1)</f>
        <v>T</v>
      </c>
      <c r="AD250" s="49" t="str">
        <f>MID(VLOOKUP($A250,Seqs!$A:$B,2,FALSE),VLOOKUP($A250,'SegEnds_NonXtal_Prot#'!$A:$AL,22,FALSE)+8,1)</f>
        <v>C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H</v>
      </c>
      <c r="AG250" s="28" t="str">
        <f>MID(VLOOKUP($A250,Seqs!$A:$B,2,FALSE),VLOOKUP($A250,'SegEnds_NonXtal_Prot#'!$A:$AL,28,FALSE)-4,1)</f>
        <v>L</v>
      </c>
      <c r="AH250" s="49" t="str">
        <f>MID(VLOOKUP($A250,Seqs!$A:$B,2,FALSE),VLOOKUP($A250,'SegEnds_NonXtal_Prot#'!$A:$AL,28,FALSE),1)</f>
        <v>P</v>
      </c>
    </row>
    <row r="251" spans="1:34" s="2" customFormat="1" x14ac:dyDescent="0.2">
      <c r="A251" s="2" t="s">
        <v>304</v>
      </c>
      <c r="B251" s="2" t="str">
        <f>LOWER(VLOOKUP(A251,Xtal_Templ!A:B,2,FALSE))</f>
        <v>agtr1_human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G</v>
      </c>
      <c r="X251" s="49" t="str">
        <f>MID(VLOOKUP($A251,Seqs!$A:$B,2,FALSE),VLOOKUP($A251,'SegEnds_NonXtal_Prot#'!A:AL,10,FALSE)+7,1)</f>
        <v>R</v>
      </c>
      <c r="Y251" s="49" t="str">
        <f>MID(VLOOKUP($A251,Seqs!$A:$B,2,FALSE),VLOOKUP($A251,'SegEnds_NonXtal_Prot#'!A:AL,10,FALSE)+8,1)</f>
        <v>L</v>
      </c>
      <c r="Z251" s="49" t="str">
        <f>MID(VLOOKUP($A251,Seqs!$A:$B,2,FALSE),VLOOKUP($A251,'SegEnds_NonXtal_Prot#'!A:AL,10,FALSE)+9,1)</f>
        <v>I</v>
      </c>
      <c r="AA251" s="49" t="str">
        <f>MID(VLOOKUP($A251,Seqs!$A:$B,2,FALSE),VLOOKUP($A251,'SegEnds_NonXtal_Prot#'!A:AL,10,FALSE)+10,1)</f>
        <v>Y</v>
      </c>
      <c r="AB251" s="28" t="str">
        <f>MID(VLOOKUP($A251,Seqs!$A:$B,2,FALSE),VLOOKUP($A251,'SegEnds_NonXtal_Prot#'!$A:$AL,22,FALSE)+6,1)</f>
        <v>R</v>
      </c>
      <c r="AC251" s="49" t="str">
        <f>MID(VLOOKUP($A251,Seqs!$A:$B,2,FALSE),VLOOKUP($A251,'SegEnds_NonXtal_Prot#'!$A:$AL,22,FALSE)+7,1)</f>
        <v>S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L</v>
      </c>
      <c r="AF251" s="49" t="str">
        <f>MID(VLOOKUP($A251,Seqs!$A:$B,2,FALSE),VLOOKUP($A251,'SegEnds_NonXtal_Prot#'!$A:$AL,22,FALSE)+10,1)</f>
        <v>E</v>
      </c>
      <c r="AG251" s="28" t="str">
        <f>MID(VLOOKUP($A251,Seqs!$A:$B,2,FALSE),VLOOKUP($A251,'SegEnds_NonXtal_Prot#'!$A:$AL,28,FALSE)-4,1)</f>
        <v>I</v>
      </c>
      <c r="AH251" s="49" t="str">
        <f>MID(VLOOKUP($A251,Seqs!$A:$B,2,FALSE),VLOOKUP($A251,'SegEnds_NonXtal_Prot#'!$A:$AL,28,FALSE),1)</f>
        <v>V</v>
      </c>
    </row>
    <row r="252" spans="1:34" s="2" customFormat="1" x14ac:dyDescent="0.2">
      <c r="A252" s="2" t="s">
        <v>342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H252" s="4"/>
      <c r="N252" s="2" t="s">
        <v>14</v>
      </c>
      <c r="R252" s="2" t="s">
        <v>9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S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F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V</v>
      </c>
      <c r="AD252" s="49" t="str">
        <f>MID(VLOOKUP($A252,Seqs!$A:$B,2,FALSE),VLOOKUP($A252,'SegEnds_NonXtal_Prot#'!$A:$AL,22,FALSE)+8,1)</f>
        <v>I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M</v>
      </c>
      <c r="AG252" s="28" t="str">
        <f>MID(VLOOKUP($A252,Seqs!$A:$B,2,FALSE),VLOOKUP($A252,'SegEnds_NonXtal_Prot#'!$A:$AL,28,FALSE)-4,1)</f>
        <v>T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344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Xtal</v>
      </c>
      <c r="H253" s="4"/>
      <c r="R253" s="2" t="s">
        <v>9</v>
      </c>
      <c r="S253" s="2" t="s">
        <v>1318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T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A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A</v>
      </c>
      <c r="AC253" s="49" t="str">
        <f>MID(VLOOKUP($A253,Seqs!$A:$B,2,FALSE),VLOOKUP($A253,'SegEnds_NonXtal_Prot#'!$A:$AL,22,FALSE)+7,1)</f>
        <v>I</v>
      </c>
      <c r="AD253" s="49" t="str">
        <f>MID(VLOOKUP($A253,Seqs!$A:$B,2,FALSE),VLOOKUP($A253,'SegEnds_NonXtal_Prot#'!$A:$AL,22,FALSE)+8,1)</f>
        <v>S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I</v>
      </c>
      <c r="AG253" s="28" t="str">
        <f>MID(VLOOKUP($A253,Seqs!$A:$B,2,FALSE),VLOOKUP($A253,'SegEnds_NonXtal_Prot#'!$A:$AL,28,FALSE)-4,1)</f>
        <v>M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345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L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Q</v>
      </c>
      <c r="AD254" s="49" t="str">
        <f>MID(VLOOKUP($A254,Seqs!$A:$B,2,FALSE),VLOOKUP($A254,'SegEnds_NonXtal_Prot#'!$A:$AL,22,FALSE)+8,1)</f>
        <v>A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V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346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T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C</v>
      </c>
      <c r="AC255" s="49" t="str">
        <f>MID(VLOOKUP($A255,Seqs!$A:$B,2,FALSE),VLOOKUP($A255,'SegEnds_NonXtal_Prot#'!$A:$AL,22,FALSE)+7,1)</f>
        <v>L</v>
      </c>
      <c r="AD255" s="49" t="str">
        <f>MID(VLOOKUP($A255,Seqs!$A:$B,2,FALSE),VLOOKUP($A255,'SegEnds_NonXtal_Prot#'!$A:$AL,22,FALSE)+8,1)</f>
        <v>V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N</v>
      </c>
      <c r="AG255" s="28" t="str">
        <f>MID(VLOOKUP($A255,Seqs!$A:$B,2,FALSE),VLOOKUP($A255,'SegEnds_NonXtal_Prot#'!$A:$AL,28,FALSE)-4,1)</f>
        <v>L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347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L</v>
      </c>
      <c r="AB256" s="28" t="str">
        <f>MID(VLOOKUP($A256,Seqs!$A:$B,2,FALSE),VLOOKUP($A256,'SegEnds_NonXtal_Prot#'!$A:$AL,22,FALSE)+6,1)</f>
        <v>Q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T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349</v>
      </c>
      <c r="B257" s="2" t="str">
        <f>LOWER(VLOOKUP(A257,Xtal_Templ!A:B,2,FALSE))</f>
        <v>ptafr_human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S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L</v>
      </c>
      <c r="AA257" s="49" t="str">
        <f>MID(VLOOKUP($A257,Seqs!$A:$B,2,FALSE),VLOOKUP($A257,'SegEnds_NonXtal_Prot#'!A:AL,10,FALSE)+10,1)</f>
        <v>R</v>
      </c>
      <c r="AB257" s="28" t="str">
        <f>MID(VLOOKUP($A257,Seqs!$A:$B,2,FALSE),VLOOKUP($A257,'SegEnds_NonXtal_Prot#'!$A:$AL,22,FALSE)+6,1)</f>
        <v>A</v>
      </c>
      <c r="AC257" s="49" t="str">
        <f>MID(VLOOKUP($A257,Seqs!$A:$B,2,FALSE),VLOOKUP($A257,'SegEnds_NonXtal_Prot#'!$A:$AL,22,FALSE)+7,1)</f>
        <v>C</v>
      </c>
      <c r="AD257" s="49" t="str">
        <f>MID(VLOOKUP($A257,Seqs!$A:$B,2,FALSE),VLOOKUP($A257,'SegEnds_NonXtal_Prot#'!$A:$AL,22,FALSE)+8,1)</f>
        <v>L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F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350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2" t="s">
        <v>1318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P</v>
      </c>
      <c r="AA258" s="49" t="str">
        <f>MID(VLOOKUP($A258,Seqs!$A:$B,2,FALSE),VLOOKUP($A258,'SegEnds_NonXtal_Prot#'!A:AL,10,FALSE)+10,1)</f>
        <v>L</v>
      </c>
      <c r="AB258" s="28" t="str">
        <f>MID(VLOOKUP($A258,Seqs!$A:$B,2,FALSE),VLOOKUP($A258,'SegEnds_NonXtal_Prot#'!$A:$AL,22,FALSE)+6,1)</f>
        <v>L</v>
      </c>
      <c r="AC258" s="49" t="str">
        <f>MID(VLOOKUP($A258,Seqs!$A:$B,2,FALSE),VLOOKUP($A258,'SegEnds_NonXtal_Prot#'!$A:$AL,22,FALSE)+7,1)</f>
        <v>A</v>
      </c>
      <c r="AD258" s="49" t="str">
        <f>MID(VLOOKUP($A258,Seqs!$A:$B,2,FALSE),VLOOKUP($A258,'SegEnds_NonXtal_Prot#'!$A:$AL,22,FALSE)+8,1)</f>
        <v>M</v>
      </c>
      <c r="AE258" s="49" t="str">
        <f>MID(VLOOKUP($A258,Seqs!$A:$B,2,FALSE),VLOOKUP($A258,'SegEnds_NonXtal_Prot#'!$A:$AL,22,FALSE)+9,1)</f>
        <v>P</v>
      </c>
      <c r="AF258" s="49" t="str">
        <f>MID(VLOOKUP($A258,Seqs!$A:$B,2,FALSE),VLOOKUP($A258,'SegEnds_NonXtal_Prot#'!$A:$AL,22,FALSE)+10,1)</f>
        <v>T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369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R259" s="2" t="s">
        <v>9</v>
      </c>
      <c r="S259" s="106"/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L</v>
      </c>
      <c r="AA259" s="49" t="str">
        <f>MID(VLOOKUP($A259,Seqs!$A:$B,2,FALSE),VLOOKUP($A259,'SegEnds_NonXtal_Prot#'!A:AL,10,FALSE)+10,1)</f>
        <v>W</v>
      </c>
      <c r="AB259" s="28" t="str">
        <f>MID(VLOOKUP($A259,Seqs!$A:$B,2,FALSE),VLOOKUP($A259,'SegEnds_NonXtal_Prot#'!$A:$AL,22,FALSE)+6,1)</f>
        <v>F</v>
      </c>
      <c r="AC259" s="49" t="str">
        <f>MID(VLOOKUP($A259,Seqs!$A:$B,2,FALSE),VLOOKUP($A259,'SegEnds_NonXtal_Prot#'!$A:$AL,22,FALSE)+7,1)</f>
        <v>N</v>
      </c>
      <c r="AD259" s="49" t="str">
        <f>MID(VLOOKUP($A259,Seqs!$A:$B,2,FALSE),VLOOKUP($A259,'SegEnds_NonXtal_Prot#'!$A:$AL,22,FALSE)+8,1)</f>
        <v>A</v>
      </c>
      <c r="AE259" s="49" t="str">
        <f>MID(VLOOKUP($A259,Seqs!$A:$B,2,FALSE),VLOOKUP($A259,'SegEnds_NonXtal_Prot#'!$A:$AL,22,FALSE)+9,1)</f>
        <v>V</v>
      </c>
      <c r="AF259" s="49" t="str">
        <f>MID(VLOOKUP($A259,Seqs!$A:$B,2,FALSE),VLOOKUP($A259,'SegEnds_NonXtal_Prot#'!$A:$AL,22,FALSE)+10,1)</f>
        <v>M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385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L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I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1593</v>
      </c>
      <c r="B261" s="2" t="str">
        <f>LOWER(VLOOKUP(A261,Xtal_Templ!A:B,2,FALSE))</f>
        <v>sucr1_rat</v>
      </c>
      <c r="C261" s="2" t="str">
        <f>VLOOKUP(A261,Classification!A:D,2,FALSE)</f>
        <v>A</v>
      </c>
      <c r="D261" s="2" t="str">
        <f>IF(ISERROR(MATCH(A261,'SegEnds_Xtal_Prot#'!B:B, 0)), "NoXtal", "Xtal")</f>
        <v>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T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M</v>
      </c>
      <c r="AA261" s="49" t="str">
        <f>MID(VLOOKUP($A261,Seqs!$A:$B,2,FALSE),VLOOKUP($A261,'SegEnds_NonXtal_Prot#'!A:AL,10,FALSE)+10,1)</f>
        <v>L</v>
      </c>
      <c r="AB261" s="28" t="str">
        <f>MID(VLOOKUP($A261,Seqs!$A:$B,2,FALSE),VLOOKUP($A261,'SegEnds_NonXtal_Prot#'!$A:$AL,22,FALSE)+6,1)</f>
        <v>E</v>
      </c>
      <c r="AC261" s="49" t="str">
        <f>MID(VLOOKUP($A261,Seqs!$A:$B,2,FALSE),VLOOKUP($A261,'SegEnds_NonXtal_Prot#'!$A:$AL,22,FALSE)+7,1)</f>
        <v>V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M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228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V</v>
      </c>
      <c r="AA262" s="49" t="str">
        <f>MID(VLOOKUP($A262,Seqs!$A:$B,2,FALSE),VLOOKUP($A262,'SegEnds_NonXtal_Prot#'!A:AL,10,FALSE)+10,1)</f>
        <v>K</v>
      </c>
      <c r="AB262" s="28" t="str">
        <f>MID(VLOOKUP($A262,Seqs!$A:$B,2,FALSE),VLOOKUP($A262,'SegEnds_NonXtal_Prot#'!$A:$AL,22,FALSE)+6,1)</f>
        <v>I</v>
      </c>
      <c r="AC262" s="49" t="str">
        <f>MID(VLOOKUP($A262,Seqs!$A:$B,2,FALSE),VLOOKUP($A262,'SegEnds_NonXtal_Prot#'!$A:$AL,22,FALSE)+7,1)</f>
        <v>M</v>
      </c>
      <c r="AD262" s="49" t="str">
        <f>MID(VLOOKUP($A262,Seqs!$A:$B,2,FALSE),VLOOKUP($A262,'SegEnds_NonXtal_Prot#'!$A:$AL,22,FALSE)+8,1)</f>
        <v>V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N</v>
      </c>
      <c r="AG262" s="28" t="str">
        <f>MID(VLOOKUP($A262,Seqs!$A:$B,2,FALSE),VLOOKUP($A262,'SegEnds_NonXtal_Prot#'!$A:$AL,28,FALSE)-4,1)</f>
        <v>I</v>
      </c>
      <c r="AH262" s="49" t="str">
        <f>MID(VLOOKUP($A262,Seqs!$A:$B,2,FALSE),VLOOKUP($A262,'SegEnds_NonXtal_Prot#'!$A:$AL,28,FALSE),1)</f>
        <v>F</v>
      </c>
    </row>
    <row r="263" spans="1:34" s="2" customFormat="1" x14ac:dyDescent="0.2">
      <c r="A263" s="2" t="s">
        <v>233</v>
      </c>
      <c r="B263" s="2" t="str">
        <f>LOWER(VLOOKUP(A263,Xtal_Templ!A:B,2,FALSE))</f>
        <v>ccr5_human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R263" s="2" t="s">
        <v>9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A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T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Q</v>
      </c>
      <c r="AC263" s="49" t="str">
        <f>MID(VLOOKUP($A263,Seqs!$A:$B,2,FALSE),VLOOKUP($A263,'SegEnds_NonXtal_Prot#'!$A:$AL,22,FALSE)+7,1)</f>
        <v>T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L</v>
      </c>
      <c r="AG263" s="28" t="str">
        <f>MID(VLOOKUP($A263,Seqs!$A:$B,2,FALSE),VLOOKUP($A263,'SegEnds_NonXtal_Prot#'!$A:$AL,28,FALSE)-4,1)</f>
        <v>G</v>
      </c>
      <c r="AH263" s="49" t="str">
        <f>MID(VLOOKUP($A263,Seqs!$A:$B,2,FALSE),VLOOKUP($A263,'SegEnds_NonXtal_Prot#'!$A:$AL,28,FALSE),1)</f>
        <v>P</v>
      </c>
    </row>
    <row r="264" spans="1:34" s="2" customFormat="1" x14ac:dyDescent="0.2">
      <c r="A264" s="2" t="s">
        <v>252</v>
      </c>
      <c r="B264" s="2" t="str">
        <f>LOWER(VLOOKUP(A264,Xtal_Templ!A:B,2,FALSE))</f>
        <v>cltr2_human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S264" s="106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C</v>
      </c>
      <c r="X264" s="49" t="str">
        <f>MID(VLOOKUP($A264,Seqs!$A:$B,2,FALSE),VLOOKUP($A264,'SegEnds_NonXtal_Prot#'!A:AL,10,FALSE)+7,1)</f>
        <v>L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G</v>
      </c>
      <c r="AC264" s="49" t="str">
        <f>MID(VLOOKUP($A264,Seqs!$A:$B,2,FALSE),VLOOKUP($A264,'SegEnds_NonXtal_Prot#'!$A:$AL,22,FALSE)+7,1)</f>
        <v>F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T</v>
      </c>
      <c r="AF264" s="49" t="str">
        <f>MID(VLOOKUP($A264,Seqs!$A:$B,2,FALSE),VLOOKUP($A264,'SegEnds_NonXtal_Prot#'!$A:$AL,22,FALSE)+10,1)</f>
        <v>M</v>
      </c>
      <c r="AG264" s="28" t="str">
        <f>MID(VLOOKUP($A264,Seqs!$A:$B,2,FALSE),VLOOKUP($A264,'SegEnds_NonXtal_Prot#'!$A:$AL,28,FALSE)-4,1)</f>
        <v>M</v>
      </c>
      <c r="AH264" s="49" t="str">
        <f>MID(VLOOKUP($A264,Seqs!$A:$B,2,FALSE),VLOOKUP($A264,'SegEnds_NonXtal_Prot#'!$A:$AL,28,FALSE),1)</f>
        <v>I</v>
      </c>
    </row>
    <row r="265" spans="1:34" s="2" customFormat="1" x14ac:dyDescent="0.2">
      <c r="A265" s="2" t="s">
        <v>271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N265" s="2" t="s">
        <v>14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R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L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306</v>
      </c>
      <c r="B266" s="2" t="str">
        <f>LOWER(VLOOKUP(A266,Xtal_Templ!A:B,2,FALSE))</f>
        <v>pd2r2_human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G</v>
      </c>
      <c r="X266" s="49" t="str">
        <f>MID(VLOOKUP($A266,Seqs!$A:$B,2,FALSE),VLOOKUP($A266,'SegEnds_NonXtal_Prot#'!A:AL,10,FALSE)+7,1)</f>
        <v>H</v>
      </c>
      <c r="Y266" s="49" t="str">
        <f>MID(VLOOKUP($A266,Seqs!$A:$B,2,FALSE),VLOOKUP($A266,'SegEnds_NonXtal_Prot#'!A:AL,10,FALSE)+8,1)</f>
        <v>I</v>
      </c>
      <c r="Z266" s="49" t="str">
        <f>MID(VLOOKUP($A266,Seqs!$A:$B,2,FALSE),VLOOKUP($A266,'SegEnds_NonXtal_Prot#'!A:AL,10,FALSE)+9,1)</f>
        <v>I</v>
      </c>
      <c r="AA266" s="49" t="str">
        <f>MID(VLOOKUP($A266,Seqs!$A:$B,2,FALSE),VLOOKUP($A266,'SegEnds_NonXtal_Prot#'!A:AL,10,FALSE)+10,1)</f>
        <v>C</v>
      </c>
      <c r="AB266" s="28" t="str">
        <f>MID(VLOOKUP($A266,Seqs!$A:$B,2,FALSE),VLOOKUP($A266,'SegEnds_NonXtal_Prot#'!$A:$AL,22,FALSE)+6,1)</f>
        <v>R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I</v>
      </c>
      <c r="AE266" s="49" t="str">
        <f>MID(VLOOKUP($A266,Seqs!$A:$B,2,FALSE),VLOOKUP($A266,'SegEnds_NonXtal_Prot#'!$A:$AL,22,FALSE)+9,1)</f>
        <v>L</v>
      </c>
      <c r="AF266" s="49" t="str">
        <f>MID(VLOOKUP($A266,Seqs!$A:$B,2,FALSE),VLOOKUP($A266,'SegEnds_NonXtal_Prot#'!$A:$AL,22,FALSE)+10,1)</f>
        <v>E</v>
      </c>
      <c r="AG266" s="28" t="str">
        <f>MID(VLOOKUP($A266,Seqs!$A:$B,2,FALSE),VLOOKUP($A266,'SegEnds_NonXtal_Prot#'!$A:$AL,28,FALSE)-4,1)</f>
        <v>V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351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Xtal</v>
      </c>
      <c r="H267" s="4"/>
      <c r="S267" s="2" t="s">
        <v>1318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N</v>
      </c>
    </row>
    <row r="268" spans="1:34" s="2" customFormat="1" x14ac:dyDescent="0.2">
      <c r="A268" s="2" t="s">
        <v>352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1318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M</v>
      </c>
      <c r="X268" s="49" t="str">
        <f>MID(VLOOKUP($A268,Seqs!$A:$B,2,FALSE),VLOOKUP($A268,'SegEnds_NonXtal_Prot#'!A:AL,10,FALSE)+7,1)</f>
        <v>L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I</v>
      </c>
      <c r="AC268" s="49" t="str">
        <f>MID(VLOOKUP($A268,Seqs!$A:$B,2,FALSE),VLOOKUP($A268,'SegEnds_NonXtal_Prot#'!$A:$AL,22,FALSE)+7,1)</f>
        <v>S</v>
      </c>
      <c r="AD268" s="49" t="str">
        <f>MID(VLOOKUP($A268,Seqs!$A:$B,2,FALSE),VLOOKUP($A268,'SegEnds_NonXtal_Prot#'!$A:$AL,22,FALSE)+8,1)</f>
        <v>L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353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S269" s="2" t="s">
        <v>1318</v>
      </c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T</v>
      </c>
      <c r="X269" s="49" t="str">
        <f>MID(VLOOKUP($A269,Seqs!$A:$B,2,FALSE),VLOOKUP($A269,'SegEnds_NonXtal_Prot#'!A:AL,10,FALSE)+7,1)</f>
        <v>F</v>
      </c>
      <c r="Y269" s="49" t="str">
        <f>MID(VLOOKUP($A269,Seqs!$A:$B,2,FALSE),VLOOKUP($A269,'SegEnds_NonXtal_Prot#'!A:AL,10,FALSE)+8,1)</f>
        <v>P</v>
      </c>
      <c r="Z269" s="49" t="str">
        <f>MID(VLOOKUP($A269,Seqs!$A:$B,2,FALSE),VLOOKUP($A269,'SegEnds_NonXtal_Prot#'!A:AL,10,FALSE)+9,1)</f>
        <v>F</v>
      </c>
      <c r="AA269" s="49" t="str">
        <f>MID(VLOOKUP($A269,Seqs!$A:$B,2,FALSE),VLOOKUP($A269,'SegEnds_NonXtal_Prot#'!A:AL,10,FALSE)+10,1)</f>
        <v>K</v>
      </c>
      <c r="AB269" s="28" t="str">
        <f>MID(VLOOKUP($A269,Seqs!$A:$B,2,FALSE),VLOOKUP($A269,'SegEnds_NonXtal_Prot#'!$A:$AL,22,FALSE)+6,1)</f>
        <v>L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V</v>
      </c>
      <c r="AE269" s="49" t="str">
        <f>MID(VLOOKUP($A269,Seqs!$A:$B,2,FALSE),VLOOKUP($A269,'SegEnds_NonXtal_Prot#'!$A:$AL,22,FALSE)+9,1)</f>
        <v>P</v>
      </c>
      <c r="AF269" s="49" t="str">
        <f>MID(VLOOKUP($A269,Seqs!$A:$B,2,FALSE),VLOOKUP($A269,'SegEnds_NonXtal_Prot#'!$A:$AL,22,FALSE)+10,1)</f>
        <v>N</v>
      </c>
      <c r="AG269" s="28" t="str">
        <f>MID(VLOOKUP($A269,Seqs!$A:$B,2,FALSE),VLOOKUP($A269,'SegEnds_NonXtal_Prot#'!$A:$AL,28,FALSE)-4,1)</f>
        <v>I</v>
      </c>
      <c r="AH269" s="49" t="str">
        <f>MID(VLOOKUP($A269,Seqs!$A:$B,2,FALSE),VLOOKUP($A269,'SegEnds_NonXtal_Prot#'!$A:$AL,28,FALSE),1)</f>
        <v>V</v>
      </c>
    </row>
    <row r="270" spans="1:34" s="2" customFormat="1" x14ac:dyDescent="0.2">
      <c r="A270" s="2" t="s">
        <v>363</v>
      </c>
      <c r="B270" s="2" t="str">
        <f>LOWER(VLOOKUP(A270,Xtal_Templ!A:B,2,FALSE))</f>
        <v>pe2r4_human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G270" s="2" t="s">
        <v>5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L</v>
      </c>
      <c r="X270" s="49" t="str">
        <f>MID(VLOOKUP($A270,Seqs!$A:$B,2,FALSE),VLOOKUP($A270,'SegEnds_NonXtal_Prot#'!A:AL,10,FALSE)+7,1)</f>
        <v>V</v>
      </c>
      <c r="Y270" s="49" t="str">
        <f>MID(VLOOKUP($A270,Seqs!$A:$B,2,FALSE),VLOOKUP($A270,'SegEnds_NonXtal_Prot#'!A:AL,10,FALSE)+8,1)</f>
        <v>S</v>
      </c>
      <c r="Z270" s="49" t="str">
        <f>MID(VLOOKUP($A270,Seqs!$A:$B,2,FALSE),VLOOKUP($A270,'SegEnds_NonXtal_Prot#'!A:AL,10,FALSE)+9,1)</f>
        <v>P</v>
      </c>
      <c r="AA270" s="49" t="str">
        <f>MID(VLOOKUP($A270,Seqs!$A:$B,2,FALSE),VLOOKUP($A270,'SegEnds_NonXtal_Prot#'!A:AL,10,FALSE)+10,1)</f>
        <v>V</v>
      </c>
      <c r="AB270" s="28" t="str">
        <f>MID(VLOOKUP($A270,Seqs!$A:$B,2,FALSE),VLOOKUP($A270,'SegEnds_NonXtal_Prot#'!$A:$AL,22,FALSE)+6,1)</f>
        <v>F</v>
      </c>
      <c r="AC270" s="49" t="str">
        <f>MID(VLOOKUP($A270,Seqs!$A:$B,2,FALSE),VLOOKUP($A270,'SegEnds_NonXtal_Prot#'!$A:$AL,22,FALSE)+7,1)</f>
        <v>C</v>
      </c>
      <c r="AD270" s="49" t="str">
        <f>MID(VLOOKUP($A270,Seqs!$A:$B,2,FALSE),VLOOKUP($A270,'SegEnds_NonXtal_Prot#'!$A:$AL,22,FALSE)+8,1)</f>
        <v>A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F</v>
      </c>
      <c r="AH270" s="49" t="str">
        <f>MID(VLOOKUP($A270,Seqs!$A:$B,2,FALSE),VLOOKUP($A270,'SegEnds_NonXtal_Prot#'!$A:$AL,28,FALSE),1)</f>
        <v>L</v>
      </c>
    </row>
    <row r="271" spans="1:34" s="2" customFormat="1" x14ac:dyDescent="0.2">
      <c r="A271" s="2" t="s">
        <v>364</v>
      </c>
      <c r="B271" s="2" t="str">
        <f>LOWER(VLOOKUP(A271,Xtal_Templ!A:B,2,FALSE))</f>
        <v>ta2r_human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I</v>
      </c>
      <c r="X271" s="49" t="str">
        <f>MID(VLOOKUP($A271,Seqs!$A:$B,2,FALSE),VLOOKUP($A271,'SegEnds_NonXtal_Prot#'!A:AL,10,FALSE)+7,1)</f>
        <v>N</v>
      </c>
      <c r="Y271" s="49" t="str">
        <f>MID(VLOOKUP($A271,Seqs!$A:$B,2,FALSE),VLOOKUP($A271,'SegEnds_NonXtal_Prot#'!A:AL,10,FALSE)+8,1)</f>
        <v>G</v>
      </c>
      <c r="Z271" s="49" t="str">
        <f>MID(VLOOKUP($A271,Seqs!$A:$B,2,FALSE),VLOOKUP($A271,'SegEnds_NonXtal_Prot#'!A:AL,10,FALSE)+9,1)</f>
        <v>A</v>
      </c>
      <c r="AA271" s="49" t="str">
        <f>MID(VLOOKUP($A271,Seqs!$A:$B,2,FALSE),VLOOKUP($A271,'SegEnds_NonXtal_Prot#'!A:AL,10,FALSE)+10,1)</f>
        <v>I</v>
      </c>
      <c r="AB271" s="28" t="str">
        <f>MID(VLOOKUP($A271,Seqs!$A:$B,2,FALSE),VLOOKUP($A271,'SegEnds_NonXtal_Prot#'!$A:$AL,22,FALSE)+6,1)</f>
        <v>I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L</v>
      </c>
      <c r="AE271" s="49" t="str">
        <f>MID(VLOOKUP($A271,Seqs!$A:$B,2,FALSE),VLOOKUP($A271,'SegEnds_NonXtal_Prot#'!$A:$AL,22,FALSE)+9,1)</f>
        <v>L</v>
      </c>
      <c r="AF271" s="49" t="str">
        <f>MID(VLOOKUP($A271,Seqs!$A:$B,2,FALSE),VLOOKUP($A271,'SegEnds_NonXtal_Prot#'!$A:$AL,22,FALSE)+10,1)</f>
        <v>P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G</v>
      </c>
    </row>
    <row r="272" spans="1:34" s="2" customFormat="1" x14ac:dyDescent="0.2">
      <c r="A272" s="2" t="s">
        <v>370</v>
      </c>
      <c r="B272" s="2" t="str">
        <f>LOWER(VLOOKUP(A272,Xtal_Templ!A:B,2,FALSE))</f>
        <v>ptafr_human</v>
      </c>
      <c r="C272" s="2" t="str">
        <f>VLOOKUP(A272,Classification!A:D,2,FALSE)</f>
        <v>A</v>
      </c>
      <c r="D272" s="2" t="str">
        <f>IF(ISERROR(MATCH(A272,'SegEnds_Xtal_Prot#'!B:B, 0)), "NoXtal", "Xtal")</f>
        <v>Xtal</v>
      </c>
      <c r="H272" s="4"/>
      <c r="S272" s="2" t="s">
        <v>1318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T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L</v>
      </c>
      <c r="AA272" s="49" t="str">
        <f>MID(VLOOKUP($A272,Seqs!$A:$B,2,FALSE),VLOOKUP($A272,'SegEnds_NonXtal_Prot#'!A:AL,10,FALSE)+10,1)</f>
        <v>W</v>
      </c>
      <c r="AB272" s="28" t="str">
        <f>MID(VLOOKUP($A272,Seqs!$A:$B,2,FALSE),VLOOKUP($A272,'SegEnds_NonXtal_Prot#'!$A:$AL,22,FALSE)+6,1)</f>
        <v>A</v>
      </c>
      <c r="AC272" s="49" t="str">
        <f>MID(VLOOKUP($A272,Seqs!$A:$B,2,FALSE),VLOOKUP($A272,'SegEnds_NonXtal_Prot#'!$A:$AL,22,FALSE)+7,1)</f>
        <v>A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Y</v>
      </c>
      <c r="AF272" s="49" t="str">
        <f>MID(VLOOKUP($A272,Seqs!$A:$B,2,FALSE),VLOOKUP($A272,'SegEnds_NonXtal_Prot#'!$A:$AL,22,FALSE)+10,1)</f>
        <v>F</v>
      </c>
      <c r="AG272" s="28" t="str">
        <f>MID(VLOOKUP($A272,Seqs!$A:$B,2,FALSE),VLOOKUP($A272,'SegEnds_NonXtal_Prot#'!$A:$AL,28,FALSE)-4,1)</f>
        <v>S</v>
      </c>
      <c r="AH272" s="49" t="str">
        <f>MID(VLOOKUP($A272,Seqs!$A:$B,2,FALSE),VLOOKUP($A272,'SegEnds_NonXtal_Prot#'!$A:$AL,28,FALSE),1)</f>
        <v>V</v>
      </c>
    </row>
    <row r="273" spans="1:34" s="2" customFormat="1" x14ac:dyDescent="0.2">
      <c r="A273" s="2" t="s">
        <v>198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S273" s="2" t="s">
        <v>1318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F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H</v>
      </c>
      <c r="AC273" s="49" t="str">
        <f>MID(VLOOKUP($A273,Seqs!$A:$B,2,FALSE),VLOOKUP($A273,'SegEnds_NonXtal_Prot#'!$A:$AL,22,FALSE)+7,1)</f>
        <v>C</v>
      </c>
      <c r="AD273" s="49" t="str">
        <f>MID(VLOOKUP($A273,Seqs!$A:$B,2,FALSE),VLOOKUP($A273,'SegEnds_NonXtal_Prot#'!$A:$AL,22,FALSE)+8,1)</f>
        <v>S</v>
      </c>
      <c r="AE273" s="49" t="str">
        <f>MID(VLOOKUP($A273,Seqs!$A:$B,2,FALSE),VLOOKUP($A273,'SegEnds_NonXtal_Prot#'!$A:$AL,22,FALSE)+9,1)</f>
        <v>V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L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242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S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T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V</v>
      </c>
      <c r="AC274" s="49" t="str">
        <f>MID(VLOOKUP($A274,Seqs!$A:$B,2,FALSE),VLOOKUP($A274,'SegEnds_NonXtal_Prot#'!$A:$AL,22,FALSE)+7,1)</f>
        <v>T</v>
      </c>
      <c r="AD274" s="49" t="str">
        <f>MID(VLOOKUP($A274,Seqs!$A:$B,2,FALSE),VLOOKUP($A274,'SegEnds_NonXtal_Prot#'!$A:$AL,22,FALSE)+8,1)</f>
        <v>L</v>
      </c>
      <c r="AE274" s="49" t="str">
        <f>MID(VLOOKUP($A274,Seqs!$A:$B,2,FALSE),VLOOKUP($A274,'SegEnds_NonXtal_Prot#'!$A:$AL,22,FALSE)+9,1)</f>
        <v>S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E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253</v>
      </c>
      <c r="B275" s="2" t="str">
        <f>LOWER(VLOOKUP(A275,Xtal_Templ!A:B,2,FALSE))</f>
        <v>ccr6_human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T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V</v>
      </c>
      <c r="AB275" s="28" t="str">
        <f>MID(VLOOKUP($A275,Seqs!$A:$B,2,FALSE),VLOOKUP($A275,'SegEnds_NonXtal_Prot#'!$A:$AL,22,FALSE)+6,1)</f>
        <v>S</v>
      </c>
      <c r="AC275" s="49" t="str">
        <f>MID(VLOOKUP($A275,Seqs!$A:$B,2,FALSE),VLOOKUP($A275,'SegEnds_NonXtal_Prot#'!$A:$AL,22,FALSE)+7,1)</f>
        <v>L</v>
      </c>
      <c r="AD275" s="49" t="str">
        <f>MID(VLOOKUP($A275,Seqs!$A:$B,2,FALSE),VLOOKUP($A275,'SegEnds_NonXtal_Prot#'!$A:$AL,22,FALSE)+8,1)</f>
        <v>V</v>
      </c>
      <c r="AE275" s="49" t="str">
        <f>MID(VLOOKUP($A275,Seqs!$A:$B,2,FALSE),VLOOKUP($A275,'SegEnds_NonXtal_Prot#'!$A:$AL,22,FALSE)+9,1)</f>
        <v>A</v>
      </c>
      <c r="AF275" s="49" t="str">
        <f>MID(VLOOKUP($A275,Seqs!$A:$B,2,FALSE),VLOOKUP($A275,'SegEnds_NonXtal_Prot#'!$A:$AL,22,FALSE)+10,1)</f>
        <v>R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257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R276" s="2" t="s">
        <v>9</v>
      </c>
      <c r="S276" s="2" t="s">
        <v>1318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F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R</v>
      </c>
      <c r="AB276" s="28" t="str">
        <f>MID(VLOOKUP($A276,Seqs!$A:$B,2,FALSE),VLOOKUP($A276,'SegEnds_NonXtal_Prot#'!$A:$AL,22,FALSE)+6,1)</f>
        <v>H</v>
      </c>
      <c r="AC276" s="49" t="str">
        <f>MID(VLOOKUP($A276,Seqs!$A:$B,2,FALSE),VLOOKUP($A276,'SegEnds_NonXtal_Prot#'!$A:$AL,22,FALSE)+7,1)</f>
        <v>C</v>
      </c>
      <c r="AD276" s="49" t="str">
        <f>MID(VLOOKUP($A276,Seqs!$A:$B,2,FALSE),VLOOKUP($A276,'SegEnds_NonXtal_Prot#'!$A:$AL,22,FALSE)+8,1)</f>
        <v>S</v>
      </c>
      <c r="AE276" s="49" t="str">
        <f>MID(VLOOKUP($A276,Seqs!$A:$B,2,FALSE),VLOOKUP($A276,'SegEnds_NonXtal_Prot#'!$A:$AL,22,FALSE)+9,1)</f>
        <v>V</v>
      </c>
      <c r="AF276" s="49" t="str">
        <f>MID(VLOOKUP($A276,Seqs!$A:$B,2,FALSE),VLOOKUP($A276,'SegEnds_NonXtal_Prot#'!$A:$AL,22,FALSE)+10,1)</f>
        <v>V</v>
      </c>
      <c r="AG276" s="28" t="str">
        <f>MID(VLOOKUP($A276,Seqs!$A:$B,2,FALSE),VLOOKUP($A276,'SegEnds_NonXtal_Prot#'!$A:$AL,28,FALSE)-4,1)</f>
        <v>L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260</v>
      </c>
      <c r="B277" s="2" t="str">
        <f>LOWER(VLOOKUP(A277,Xtal_Templ!A:B,2,FALSE))</f>
        <v>oprk_human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N277" s="2" t="s">
        <v>14</v>
      </c>
      <c r="R277" s="2" t="s">
        <v>9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S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K</v>
      </c>
      <c r="AB277" s="28" t="str">
        <f>MID(VLOOKUP($A277,Seqs!$A:$B,2,FALSE),VLOOKUP($A277,'SegEnds_NonXtal_Prot#'!$A:$AL,22,FALSE)+6,1)</f>
        <v>G</v>
      </c>
      <c r="AC277" s="49" t="str">
        <f>MID(VLOOKUP($A277,Seqs!$A:$B,2,FALSE),VLOOKUP($A277,'SegEnds_NonXtal_Prot#'!$A:$AL,22,FALSE)+7,1)</f>
        <v>S</v>
      </c>
      <c r="AD277" s="49" t="str">
        <f>MID(VLOOKUP($A277,Seqs!$A:$B,2,FALSE),VLOOKUP($A277,'SegEnds_NonXtal_Prot#'!$A:$AL,22,FALSE)+8,1)</f>
        <v>I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I</v>
      </c>
      <c r="AG277" s="28" t="str">
        <f>MID(VLOOKUP($A277,Seqs!$A:$B,2,FALSE),VLOOKUP($A277,'SegEnds_NonXtal_Prot#'!$A:$AL,28,FALSE)-4,1)</f>
        <v>G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301</v>
      </c>
      <c r="B278" s="2" t="str">
        <f>LOWER(VLOOKUP(A278,Xtal_Templ!A:B,2,FALSE))</f>
        <v>cxcr4_human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C</v>
      </c>
      <c r="X278" s="49" t="str">
        <f>MID(VLOOKUP($A278,Seqs!$A:$B,2,FALSE),VLOOKUP($A278,'SegEnds_NonXtal_Prot#'!A:AL,10,FALSE)+7,1)</f>
        <v>H</v>
      </c>
      <c r="Y278" s="49" t="str">
        <f>MID(VLOOKUP($A278,Seqs!$A:$B,2,FALSE),VLOOKUP($A278,'SegEnds_NonXtal_Prot#'!A:AL,10,FALSE)+8,1)</f>
        <v>M</v>
      </c>
      <c r="Z278" s="49" t="str">
        <f>MID(VLOOKUP($A278,Seqs!$A:$B,2,FALSE),VLOOKUP($A278,'SegEnds_NonXtal_Prot#'!A:AL,10,FALSE)+9,1)</f>
        <v>V</v>
      </c>
      <c r="AA278" s="49" t="str">
        <f>MID(VLOOKUP($A278,Seqs!$A:$B,2,FALSE),VLOOKUP($A278,'SegEnds_NonXtal_Prot#'!A:AL,10,FALSE)+10,1)</f>
        <v>A</v>
      </c>
      <c r="AB278" s="28" t="str">
        <f>MID(VLOOKUP($A278,Seqs!$A:$B,2,FALSE),VLOOKUP($A278,'SegEnds_NonXtal_Prot#'!$A:$AL,22,FALSE)+6,1)</f>
        <v>L</v>
      </c>
      <c r="AC278" s="49" t="str">
        <f>MID(VLOOKUP($A278,Seqs!$A:$B,2,FALSE),VLOOKUP($A278,'SegEnds_NonXtal_Prot#'!$A:$AL,22,FALSE)+7,1)</f>
        <v>H</v>
      </c>
      <c r="AD278" s="49" t="str">
        <f>MID(VLOOKUP($A278,Seqs!$A:$B,2,FALSE),VLOOKUP($A278,'SegEnds_NonXtal_Prot#'!$A:$AL,22,FALSE)+8,1)</f>
        <v>L</v>
      </c>
      <c r="AE278" s="49" t="str">
        <f>MID(VLOOKUP($A278,Seqs!$A:$B,2,FALSE),VLOOKUP($A278,'SegEnds_NonXtal_Prot#'!$A:$AL,22,FALSE)+9,1)</f>
        <v>L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A</v>
      </c>
      <c r="AH278" s="49" t="str">
        <f>MID(VLOOKUP($A278,Seqs!$A:$B,2,FALSE),VLOOKUP($A278,'SegEnds_NonXtal_Prot#'!$A:$AL,28,FALSE),1)</f>
        <v>C</v>
      </c>
    </row>
    <row r="279" spans="1:34" s="2" customFormat="1" x14ac:dyDescent="0.2">
      <c r="A279" s="2" t="s">
        <v>348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H279" s="4"/>
      <c r="R279" s="2" t="s">
        <v>9</v>
      </c>
      <c r="S279" s="2" t="s">
        <v>1318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Q</v>
      </c>
      <c r="AB279" s="28" t="str">
        <f>MID(VLOOKUP($A279,Seqs!$A:$B,2,FALSE),VLOOKUP($A279,'SegEnds_NonXtal_Prot#'!$A:$AL,22,FALSE)+6,1)</f>
        <v>A</v>
      </c>
      <c r="AC279" s="49" t="str">
        <f>MID(VLOOKUP($A279,Seqs!$A:$B,2,FALSE),VLOOKUP($A279,'SegEnds_NonXtal_Prot#'!$A:$AL,22,FALSE)+7,1)</f>
        <v>L</v>
      </c>
      <c r="AD279" s="49" t="str">
        <f>MID(VLOOKUP($A279,Seqs!$A:$B,2,FALSE),VLOOKUP($A279,'SegEnds_NonXtal_Prot#'!$A:$AL,22,FALSE)+8,1)</f>
        <v>S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L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354</v>
      </c>
      <c r="B280" s="2" t="str">
        <f>LOWER(VLOOKUP(A280,Xtal_Templ!A:B,2,FALSE))</f>
        <v>par1_human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S280" s="2" t="s">
        <v>1318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V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G</v>
      </c>
      <c r="AC280" s="49" t="str">
        <f>MID(VLOOKUP($A280,Seqs!$A:$B,2,FALSE),VLOOKUP($A280,'SegEnds_NonXtal_Prot#'!$A:$AL,22,FALSE)+7,1)</f>
        <v>V</v>
      </c>
      <c r="AD280" s="49" t="str">
        <f>MID(VLOOKUP($A280,Seqs!$A:$B,2,FALSE),VLOOKUP($A280,'SegEnds_NonXtal_Prot#'!$A:$AL,22,FALSE)+8,1)</f>
        <v>V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F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355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Xtal</v>
      </c>
      <c r="H281" s="4"/>
      <c r="N281" s="2" t="s">
        <v>14</v>
      </c>
      <c r="R281" s="2" t="s">
        <v>9</v>
      </c>
      <c r="S281" s="2" t="s">
        <v>1318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W</v>
      </c>
      <c r="X281" s="49" t="str">
        <f>MID(VLOOKUP($A281,Seqs!$A:$B,2,FALSE),VLOOKUP($A281,'SegEnds_NonXtal_Prot#'!A:AL,10,FALSE)+7,1)</f>
        <v>F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L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V</v>
      </c>
      <c r="AC281" s="49" t="str">
        <f>MID(VLOOKUP($A281,Seqs!$A:$B,2,FALSE),VLOOKUP($A281,'SegEnds_NonXtal_Prot#'!$A:$AL,22,FALSE)+7,1)</f>
        <v>T</v>
      </c>
      <c r="AD281" s="49" t="str">
        <f>MID(VLOOKUP($A281,Seqs!$A:$B,2,FALSE),VLOOKUP($A281,'SegEnds_NonXtal_Prot#'!$A:$AL,22,FALSE)+8,1)</f>
        <v>I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V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356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1318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T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F</v>
      </c>
      <c r="AA282" s="49" t="str">
        <f>MID(VLOOKUP($A282,Seqs!$A:$B,2,FALSE),VLOOKUP($A282,'SegEnds_NonXtal_Prot#'!A:AL,10,FALSE)+10,1)</f>
        <v>K</v>
      </c>
      <c r="AB282" s="28" t="str">
        <f>MID(VLOOKUP($A282,Seqs!$A:$B,2,FALSE),VLOOKUP($A282,'SegEnds_NonXtal_Prot#'!$A:$AL,22,FALSE)+6,1)</f>
        <v>Y</v>
      </c>
      <c r="AC282" s="49" t="str">
        <f>MID(VLOOKUP($A282,Seqs!$A:$B,2,FALSE),VLOOKUP($A282,'SegEnds_NonXtal_Prot#'!$A:$AL,22,FALSE)+7,1)</f>
        <v>M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F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357</v>
      </c>
      <c r="B283" s="2" t="str">
        <f>LOWER(VLOOKUP(A283,Xtal_Templ!A:B,2,FALSE))</f>
        <v>par2_human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N283" s="2" t="s">
        <v>14</v>
      </c>
      <c r="R283" s="2" t="s">
        <v>9</v>
      </c>
      <c r="S283" s="2" t="s">
        <v>1318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L</v>
      </c>
      <c r="Y283" s="49" t="str">
        <f>MID(VLOOKUP($A283,Seqs!$A:$B,2,FALSE),VLOOKUP($A283,'SegEnds_NonXtal_Prot#'!A:AL,10,FALSE)+8,1)</f>
        <v>P</v>
      </c>
      <c r="Z283" s="49" t="str">
        <f>MID(VLOOKUP($A283,Seqs!$A:$B,2,FALSE),VLOOKUP($A283,'SegEnds_NonXtal_Prot#'!A:AL,10,FALSE)+9,1)</f>
        <v>P</v>
      </c>
      <c r="AA283" s="49" t="str">
        <f>MID(VLOOKUP($A283,Seqs!$A:$B,2,FALSE),VLOOKUP($A283,'SegEnds_NonXtal_Prot#'!A:AL,10,FALSE)+10,1)</f>
        <v>R</v>
      </c>
      <c r="AB283" s="28" t="str">
        <f>MID(VLOOKUP($A283,Seqs!$A:$B,2,FALSE),VLOOKUP($A283,'SegEnds_NonXtal_Prot#'!$A:$AL,22,FALSE)+6,1)</f>
        <v>L</v>
      </c>
      <c r="AC283" s="49" t="str">
        <f>MID(VLOOKUP($A283,Seqs!$A:$B,2,FALSE),VLOOKUP($A283,'SegEnds_NonXtal_Prot#'!$A:$AL,22,FALSE)+7,1)</f>
        <v>A</v>
      </c>
      <c r="AD283" s="49" t="str">
        <f>MID(VLOOKUP($A283,Seqs!$A:$B,2,FALSE),VLOOKUP($A283,'SegEnds_NonXtal_Prot#'!$A:$AL,22,FALSE)+8,1)</f>
        <v>L</v>
      </c>
      <c r="AE283" s="49" t="str">
        <f>MID(VLOOKUP($A283,Seqs!$A:$B,2,FALSE),VLOOKUP($A283,'SegEnds_NonXtal_Prot#'!$A:$AL,22,FALSE)+9,1)</f>
        <v>P</v>
      </c>
      <c r="AF283" s="49" t="str">
        <f>MID(VLOOKUP($A283,Seqs!$A:$B,2,FALSE),VLOOKUP($A283,'SegEnds_NonXtal_Prot#'!$A:$AL,22,FALSE)+10,1)</f>
        <v>L</v>
      </c>
      <c r="AG283" s="28" t="str">
        <f>MID(VLOOKUP($A283,Seqs!$A:$B,2,FALSE),VLOOKUP($A283,'SegEnds_NonXtal_Prot#'!$A:$AL,28,FALSE)-4,1)</f>
        <v>G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151</v>
      </c>
      <c r="B284" s="2" t="str">
        <f>LOWER(VLOOKUP(A284,Xtal_Templ!A:B,2,FALSE))</f>
        <v>mc4r_human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Y</v>
      </c>
      <c r="X284" s="49" t="str">
        <f>MID(VLOOKUP($A284,Seqs!$A:$B,2,FALSE),VLOOKUP($A284,'SegEnds_NonXtal_Prot#'!A:AL,10,FALSE)+7,1)</f>
        <v>K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L</v>
      </c>
      <c r="AA284" s="49" t="str">
        <f>MID(VLOOKUP($A284,Seqs!$A:$B,2,FALSE),VLOOKUP($A284,'SegEnds_NonXtal_Prot#'!A:AL,10,FALSE)+10,1)</f>
        <v>E</v>
      </c>
      <c r="AB284" s="28" t="str">
        <f>MID(VLOOKUP($A284,Seqs!$A:$B,2,FALSE),VLOOKUP($A284,'SegEnds_NonXtal_Prot#'!$A:$AL,22,FALSE)+6,1)</f>
        <v>T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I</v>
      </c>
      <c r="AE284" s="49" t="str">
        <f>MID(VLOOKUP($A284,Seqs!$A:$B,2,FALSE),VLOOKUP($A284,'SegEnds_NonXtal_Prot#'!$A:$AL,22,FALSE)+9,1)</f>
        <v>T</v>
      </c>
      <c r="AF284" s="49" t="str">
        <f>MID(VLOOKUP($A284,Seqs!$A:$B,2,FALSE),VLOOKUP($A284,'SegEnds_NonXtal_Prot#'!$A:$AL,22,FALSE)+10,1)</f>
        <v>M</v>
      </c>
      <c r="AG284" s="28" t="str">
        <f>MID(VLOOKUP($A284,Seqs!$A:$B,2,FALSE),VLOOKUP($A284,'SegEnds_NonXtal_Prot#'!$A:$AL,28,FALSE)-4,1)</f>
        <v>L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212</v>
      </c>
      <c r="B285" s="2" t="str">
        <f>LOWER(VLOOKUP(A285,Xtal_Templ!A:B,2,FALSE))</f>
        <v>acm5_human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R285" s="2" t="s">
        <v>9</v>
      </c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A</v>
      </c>
      <c r="X285" s="49" t="str">
        <f>MID(VLOOKUP($A285,Seqs!$A:$B,2,FALSE),VLOOKUP($A285,'SegEnds_NonXtal_Prot#'!A:AL,10,FALSE)+7,1)</f>
        <v>I</v>
      </c>
      <c r="Y285" s="49" t="str">
        <f>MID(VLOOKUP($A285,Seqs!$A:$B,2,FALSE),VLOOKUP($A285,'SegEnds_NonXtal_Prot#'!A:AL,10,FALSE)+8,1)</f>
        <v>S</v>
      </c>
      <c r="Z285" s="49" t="str">
        <f>MID(VLOOKUP($A285,Seqs!$A:$B,2,FALSE),VLOOKUP($A285,'SegEnds_NonXtal_Prot#'!A:AL,10,FALSE)+9,1)</f>
        <v>G</v>
      </c>
      <c r="AA285" s="49" t="str">
        <f>MID(VLOOKUP($A285,Seqs!$A:$B,2,FALSE),VLOOKUP($A285,'SegEnds_NonXtal_Prot#'!A:AL,10,FALSE)+10,1)</f>
        <v>L</v>
      </c>
      <c r="AB285" s="28" t="str">
        <f>MID(VLOOKUP($A285,Seqs!$A:$B,2,FALSE),VLOOKUP($A285,'SegEnds_NonXtal_Prot#'!$A:$AL,22,FALSE)+6,1)</f>
        <v>I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F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V</v>
      </c>
      <c r="AH285" s="49" t="str">
        <f>MID(VLOOKUP($A285,Seqs!$A:$B,2,FALSE),VLOOKUP($A285,'SegEnds_NonXtal_Prot#'!$A:$AL,28,FALSE),1)</f>
        <v>P</v>
      </c>
    </row>
    <row r="286" spans="1:34" s="2" customFormat="1" x14ac:dyDescent="0.2">
      <c r="A286" s="2" t="s">
        <v>237</v>
      </c>
      <c r="B286" s="2" t="str">
        <f>LOWER(VLOOKUP(A286,Xtal_Templ!A:B,2,FALSE))</f>
        <v>mc4r_human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T</v>
      </c>
      <c r="AA286" s="49" t="str">
        <f>MID(VLOOKUP($A286,Seqs!$A:$B,2,FALSE),VLOOKUP($A286,'SegEnds_NonXtal_Prot#'!A:AL,10,FALSE)+10,1)</f>
        <v>N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S</v>
      </c>
      <c r="AH286" s="49" t="str">
        <f>MID(VLOOKUP($A286,Seqs!$A:$B,2,FALSE),VLOOKUP($A286,'SegEnds_NonXtal_Prot#'!$A:$AL,28,FALSE),1)</f>
        <v>M</v>
      </c>
    </row>
    <row r="287" spans="1:34" s="2" customFormat="1" x14ac:dyDescent="0.2">
      <c r="A287" s="2" t="s">
        <v>261</v>
      </c>
      <c r="B287" s="2" t="str">
        <f>LOWER(VLOOKUP(A287,Xtal_Templ!A:B,2,FALSE))</f>
        <v>mc4r_human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G</v>
      </c>
      <c r="X287" s="49" t="str">
        <f>MID(VLOOKUP($A287,Seqs!$A:$B,2,FALSE),VLOOKUP($A287,'SegEnds_NonXtal_Prot#'!A:AL,10,FALSE)+7,1)</f>
        <v>L</v>
      </c>
      <c r="Y287" s="49" t="str">
        <f>MID(VLOOKUP($A287,Seqs!$A:$B,2,FALSE),VLOOKUP($A287,'SegEnds_NonXtal_Prot#'!A:AL,10,FALSE)+8,1)</f>
        <v>I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H</v>
      </c>
      <c r="AB287" s="28" t="str">
        <f>MID(VLOOKUP($A287,Seqs!$A:$B,2,FALSE),VLOOKUP($A287,'SegEnds_NonXtal_Prot#'!$A:$AL,22,FALSE)+6,1)</f>
        <v>L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L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P</v>
      </c>
      <c r="AG287" s="28" t="str">
        <f>MID(VLOOKUP($A287,Seqs!$A:$B,2,FALSE),VLOOKUP($A287,'SegEnds_NonXtal_Prot#'!$A:$AL,28,FALSE)-4,1)</f>
        <v>A</v>
      </c>
      <c r="AH287" s="49" t="str">
        <f>MID(VLOOKUP($A287,Seqs!$A:$B,2,FALSE),VLOOKUP($A287,'SegEnds_NonXtal_Prot#'!$A:$AL,28,FALSE),1)</f>
        <v>V</v>
      </c>
    </row>
    <row r="288" spans="1:34" s="2" customFormat="1" x14ac:dyDescent="0.2">
      <c r="A288" s="2" t="s">
        <v>295</v>
      </c>
      <c r="B288" s="2" t="str">
        <f>LOWER(VLOOKUP(A288,Xtal_Templ!A:B,2,FALSE))</f>
        <v>mc4r_human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A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C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V</v>
      </c>
      <c r="AE288" s="49" t="str">
        <f>MID(VLOOKUP($A288,Seqs!$A:$B,2,FALSE),VLOOKUP($A288,'SegEnds_NonXtal_Prot#'!$A:$AL,22,FALSE)+9,1)</f>
        <v>V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M</v>
      </c>
      <c r="AH288" s="49" t="str">
        <f>MID(VLOOKUP($A288,Seqs!$A:$B,2,FALSE),VLOOKUP($A288,'SegEnds_NonXtal_Prot#'!$A:$AL,28,FALSE),1)</f>
        <v>M</v>
      </c>
    </row>
    <row r="289" spans="1:34" s="2" customFormat="1" x14ac:dyDescent="0.2">
      <c r="A289" s="2" t="s">
        <v>296</v>
      </c>
      <c r="B289" s="2" t="str">
        <f>LOWER(VLOOKUP(A289,Xtal_Templ!A:B,2,FALSE))</f>
        <v>mc4r_human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G</v>
      </c>
      <c r="Z289" s="49" t="str">
        <f>MID(VLOOKUP($A289,Seqs!$A:$B,2,FALSE),VLOOKUP($A289,'SegEnds_NonXtal_Prot#'!A:AL,10,FALSE)+9,1)</f>
        <v>S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S</v>
      </c>
      <c r="AC289" s="49" t="str">
        <f>MID(VLOOKUP($A289,Seqs!$A:$B,2,FALSE),VLOOKUP($A289,'SegEnds_NonXtal_Prot#'!$A:$AL,22,FALSE)+7,1)</f>
        <v>G</v>
      </c>
      <c r="AD289" s="49" t="str">
        <f>MID(VLOOKUP($A289,Seqs!$A:$B,2,FALSE),VLOOKUP($A289,'SegEnds_NonXtal_Prot#'!$A:$AL,22,FALSE)+8,1)</f>
        <v>I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M</v>
      </c>
      <c r="AH289" s="49" t="str">
        <f>MID(VLOOKUP($A289,Seqs!$A:$B,2,FALSE),VLOOKUP($A289,'SegEnds_NonXtal_Prot#'!$A:$AL,28,FALSE),1)</f>
        <v>M</v>
      </c>
    </row>
    <row r="290" spans="1:34" s="2" customFormat="1" x14ac:dyDescent="0.2">
      <c r="A290" s="2" t="s">
        <v>308</v>
      </c>
      <c r="B290" s="2" t="str">
        <f>LOWER(VLOOKUP(A290,Xtal_Templ!A:B,2,FALSE))</f>
        <v>mc4r_human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S</v>
      </c>
      <c r="X290" s="49" t="str">
        <f>MID(VLOOKUP($A290,Seqs!$A:$B,2,FALSE),VLOOKUP($A290,'SegEnds_NonXtal_Prot#'!A:AL,10,FALSE)+7,1)</f>
        <v>N</v>
      </c>
      <c r="Y290" s="49" t="str">
        <f>MID(VLOOKUP($A290,Seqs!$A:$B,2,FALSE),VLOOKUP($A290,'SegEnds_NonXtal_Prot#'!A:AL,10,FALSE)+8,1)</f>
        <v>V</v>
      </c>
      <c r="Z290" s="49" t="str">
        <f>MID(VLOOKUP($A290,Seqs!$A:$B,2,FALSE),VLOOKUP($A290,'SegEnds_NonXtal_Prot#'!A:AL,10,FALSE)+9,1)</f>
        <v>L</v>
      </c>
      <c r="AA290" s="49" t="str">
        <f>MID(VLOOKUP($A290,Seqs!$A:$B,2,FALSE),VLOOKUP($A290,'SegEnds_NonXtal_Prot#'!A:AL,10,FALSE)+10,1)</f>
        <v>E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S</v>
      </c>
      <c r="AD290" s="49" t="str">
        <f>MID(VLOOKUP($A290,Seqs!$A:$B,2,FALSE),VLOOKUP($A290,'SegEnds_NonXtal_Prot#'!$A:$AL,22,FALSE)+8,1)</f>
        <v>T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F</v>
      </c>
      <c r="AG290" s="28" t="str">
        <f>MID(VLOOKUP($A290,Seqs!$A:$B,2,FALSE),VLOOKUP($A290,'SegEnds_NonXtal_Prot#'!$A:$AL,28,FALSE)-4,1)</f>
        <v>F</v>
      </c>
      <c r="AH290" s="49" t="str">
        <f>MID(VLOOKUP($A290,Seqs!$A:$B,2,FALSE),VLOOKUP($A290,'SegEnds_NonXtal_Prot#'!$A:$AL,28,FALSE),1)</f>
        <v>M</v>
      </c>
    </row>
    <row r="291" spans="1:34" s="2" customFormat="1" x14ac:dyDescent="0.2">
      <c r="A291" s="2" t="s">
        <v>362</v>
      </c>
      <c r="B291" s="2" t="str">
        <f>LOWER(VLOOKUP(A291,Xtal_Templ!A:B,2,FALSE))</f>
        <v>pe2r3_human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G291" s="2" t="s">
        <v>5</v>
      </c>
      <c r="H291" s="4"/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L</v>
      </c>
      <c r="X291" s="49" t="str">
        <f>MID(VLOOKUP($A291,Seqs!$A:$B,2,FALSE),VLOOKUP($A291,'SegEnds_NonXtal_Prot#'!A:AL,10,FALSE)+7,1)</f>
        <v>T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P</v>
      </c>
      <c r="AA291" s="49" t="str">
        <f>MID(VLOOKUP($A291,Seqs!$A:$B,2,FALSE),VLOOKUP($A291,'SegEnds_NonXtal_Prot#'!A:AL,10,FALSE)+10,1)</f>
        <v>V</v>
      </c>
      <c r="AB291" s="28" t="str">
        <f>MID(VLOOKUP($A291,Seqs!$A:$B,2,FALSE),VLOOKUP($A291,'SegEnds_NonXtal_Prot#'!$A:$AL,22,FALSE)+6,1)</f>
        <v>F</v>
      </c>
      <c r="AC291" s="49" t="str">
        <f>MID(VLOOKUP($A291,Seqs!$A:$B,2,FALSE),VLOOKUP($A291,'SegEnds_NonXtal_Prot#'!$A:$AL,22,FALSE)+7,1)</f>
        <v>A</v>
      </c>
      <c r="AD291" s="49" t="str">
        <f>MID(VLOOKUP($A291,Seqs!$A:$B,2,FALSE),VLOOKUP($A291,'SegEnds_NonXtal_Prot#'!$A:$AL,22,FALSE)+8,1)</f>
        <v>L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L</v>
      </c>
      <c r="AH291" s="49" t="str">
        <f>MID(VLOOKUP($A291,Seqs!$A:$B,2,FALSE),VLOOKUP($A291,'SegEnds_NonXtal_Prot#'!$A:$AL,28,FALSE),1)</f>
        <v>A</v>
      </c>
    </row>
    <row r="292" spans="1:34" s="2" customFormat="1" x14ac:dyDescent="0.2">
      <c r="A292" s="2" t="s">
        <v>104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T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V</v>
      </c>
      <c r="AH292" s="49" t="str">
        <f>MID(VLOOKUP($A292,Seqs!$A:$B,2,FALSE),VLOOKUP($A292,'SegEnds_NonXtal_Prot#'!$A:$AL,28,FALSE),1)</f>
        <v>L</v>
      </c>
    </row>
    <row r="293" spans="1:34" s="2" customFormat="1" x14ac:dyDescent="0.2">
      <c r="A293" s="2" t="s">
        <v>376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F</v>
      </c>
      <c r="Y293" s="49" t="str">
        <f>MID(VLOOKUP($A293,Seqs!$A:$B,2,FALSE),VLOOKUP($A293,'SegEnds_NonXtal_Prot#'!A:AL,10,FALSE)+8,1)</f>
        <v>V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G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377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K</v>
      </c>
      <c r="Z294" s="49" t="str">
        <f>MID(VLOOKUP($A294,Seqs!$A:$B,2,FALSE),VLOOKUP($A294,'SegEnds_NonXtal_Prot#'!A:AL,10,FALSE)+9,1)</f>
        <v>V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A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378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L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M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I</v>
      </c>
      <c r="AH295" s="49" t="str">
        <f>MID(VLOOKUP($A295,Seqs!$A:$B,2,FALSE),VLOOKUP($A295,'SegEnds_NonXtal_Prot#'!$A:$AL,28,FALSE),1)</f>
        <v>V</v>
      </c>
    </row>
    <row r="296" spans="1:34" s="2" customFormat="1" x14ac:dyDescent="0.2">
      <c r="A296" s="2" t="s">
        <v>379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I296" s="2" t="s">
        <v>21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A</v>
      </c>
      <c r="X296" s="49" t="str">
        <f>MID(VLOOKUP($A296,Seqs!$A:$B,2,FALSE),VLOOKUP($A296,'SegEnds_NonXtal_Prot#'!A:AL,10,FALSE)+7,1)</f>
        <v>Y</v>
      </c>
      <c r="Y296" s="49" t="str">
        <f>MID(VLOOKUP($A296,Seqs!$A:$B,2,FALSE),VLOOKUP($A296,'SegEnds_NonXtal_Prot#'!A:AL,10,FALSE)+8,1)</f>
        <v>A</v>
      </c>
      <c r="Z296" s="49" t="str">
        <f>MID(VLOOKUP($A296,Seqs!$A:$B,2,FALSE),VLOOKUP($A296,'SegEnds_NonXtal_Prot#'!A:AL,10,FALSE)+9,1)</f>
        <v>A</v>
      </c>
      <c r="AA296" s="49" t="str">
        <f>MID(VLOOKUP($A296,Seqs!$A:$B,2,FALSE),VLOOKUP($A296,'SegEnds_NonXtal_Prot#'!A:AL,10,FALSE)+10,1)</f>
        <v>N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A</v>
      </c>
      <c r="AH296" s="49" t="str">
        <f>MID(VLOOKUP($A296,Seqs!$A:$B,2,FALSE),VLOOKUP($A296,'SegEnds_NonXtal_Prot#'!$A:$AL,28,FALSE),1)</f>
        <v>I</v>
      </c>
    </row>
    <row r="297" spans="1:34" s="2" customFormat="1" x14ac:dyDescent="0.2">
      <c r="A297" s="2" t="s">
        <v>469</v>
      </c>
      <c r="B297" s="2" t="str">
        <f>LOWER(VLOOKUP(A297,Xtal_Templ!A:B,2,FALSE))</f>
        <v>ta2r_human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2" t="s">
        <v>5</v>
      </c>
      <c r="H297" s="4"/>
      <c r="I297" s="2" t="s">
        <v>21</v>
      </c>
      <c r="S297" s="2" t="s">
        <v>1318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V</v>
      </c>
      <c r="X297" s="49" t="str">
        <f>MID(VLOOKUP($A297,Seqs!$A:$B,2,FALSE),VLOOKUP($A297,'SegEnds_NonXtal_Prot#'!A:AL,10,FALSE)+7,1)</f>
        <v>T</v>
      </c>
      <c r="Y297" s="49" t="str">
        <f>MID(VLOOKUP($A297,Seqs!$A:$B,2,FALSE),VLOOKUP($A297,'SegEnds_NonXtal_Prot#'!A:AL,10,FALSE)+8,1)</f>
        <v>G</v>
      </c>
      <c r="Z297" s="49" t="str">
        <f>MID(VLOOKUP($A297,Seqs!$A:$B,2,FALSE),VLOOKUP($A297,'SegEnds_NonXtal_Prot#'!A:AL,10,FALSE)+9,1)</f>
        <v>T</v>
      </c>
      <c r="AA297" s="49" t="str">
        <f>MID(VLOOKUP($A297,Seqs!$A:$B,2,FALSE),VLOOKUP($A297,'SegEnds_NonXtal_Prot#'!A:AL,10,FALSE)+10,1)</f>
        <v>I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G</v>
      </c>
      <c r="AD297" s="49" t="str">
        <f>MID(VLOOKUP($A297,Seqs!$A:$B,2,FALSE),VLOOKUP($A297,'SegEnds_NonXtal_Prot#'!$A:$AL,22,FALSE)+8,1)</f>
        <v>L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L</v>
      </c>
      <c r="AH297" s="49" t="str">
        <f>MID(VLOOKUP($A297,Seqs!$A:$B,2,FALSE),VLOOKUP($A297,'SegEnds_NonXtal_Prot#'!$A:$AL,28,FALSE),1)</f>
        <v>S</v>
      </c>
    </row>
    <row r="298" spans="1:34" s="2" customFormat="1" x14ac:dyDescent="0.2">
      <c r="A298" s="2" t="s">
        <v>220</v>
      </c>
      <c r="B298" s="2" t="str">
        <f>LOWER(VLOOKUP(A298,Xtal_Templ!A:B,2,FALSE))</f>
        <v>s1pr1_human</v>
      </c>
      <c r="C298" s="2" t="str">
        <f>VLOOKUP(A298,Classification!A:D,2,FALSE)</f>
        <v>A</v>
      </c>
      <c r="D298" s="2" t="str">
        <f>IF(ISERROR(MATCH(A298,'SegEnds_Xtal_Prot#'!B:B, 0)), "NoXtal", "Xtal")</f>
        <v>NoXtal</v>
      </c>
      <c r="H298" s="4"/>
      <c r="R298" s="2" t="s">
        <v>9</v>
      </c>
      <c r="T298" s="4" t="s">
        <v>12</v>
      </c>
      <c r="V298" s="28" t="str">
        <f>MID(VLOOKUP($A298,Seqs!$A:$B,2,FALSE),VLOOKUP($A298,'SegEnds_NonXtal_Prot#'!A:AL,10,FALSE),1)</f>
        <v>Q</v>
      </c>
      <c r="W298" s="49" t="str">
        <f>MID(VLOOKUP($A298,Seqs!$A:$B,2,FALSE),VLOOKUP($A298,'SegEnds_NonXtal_Prot#'!A:AL,10,FALSE)+6,1)</f>
        <v>S</v>
      </c>
      <c r="X298" s="49" t="str">
        <f>MID(VLOOKUP($A298,Seqs!$A:$B,2,FALSE),VLOOKUP($A298,'SegEnds_NonXtal_Prot#'!A:AL,10,FALSE)+7,1)</f>
        <v>M</v>
      </c>
      <c r="Y298" s="49" t="str">
        <f>MID(VLOOKUP($A298,Seqs!$A:$B,2,FALSE),VLOOKUP($A298,'SegEnds_NonXtal_Prot#'!A:AL,10,FALSE)+8,1)</f>
        <v>L</v>
      </c>
      <c r="Z298" s="49" t="str">
        <f>MID(VLOOKUP($A298,Seqs!$A:$B,2,FALSE),VLOOKUP($A298,'SegEnds_NonXtal_Prot#'!A:AL,10,FALSE)+9,1)</f>
        <v>V</v>
      </c>
      <c r="AA298" s="49" t="str">
        <f>MID(VLOOKUP($A298,Seqs!$A:$B,2,FALSE),VLOOKUP($A298,'SegEnds_NonXtal_Prot#'!A:AL,10,FALSE)+10,1)</f>
        <v>A</v>
      </c>
      <c r="AB298" s="28" t="str">
        <f>MID(VLOOKUP($A298,Seqs!$A:$B,2,FALSE),VLOOKUP($A298,'SegEnds_NonXtal_Prot#'!$A:$AL,22,FALSE)+6,1)</f>
        <v>L</v>
      </c>
      <c r="AC298" s="49" t="str">
        <f>MID(VLOOKUP($A298,Seqs!$A:$B,2,FALSE),VLOOKUP($A298,'SegEnds_NonXtal_Prot#'!$A:$AL,22,FALSE)+7,1)</f>
        <v>S</v>
      </c>
      <c r="AD298" s="49" t="str">
        <f>MID(VLOOKUP($A298,Seqs!$A:$B,2,FALSE),VLOOKUP($A298,'SegEnds_NonXtal_Prot#'!$A:$AL,22,FALSE)+8,1)</f>
        <v>A</v>
      </c>
      <c r="AE298" s="49" t="str">
        <f>MID(VLOOKUP($A298,Seqs!$A:$B,2,FALSE),VLOOKUP($A298,'SegEnds_NonXtal_Prot#'!$A:$AL,22,FALSE)+9,1)</f>
        <v>L</v>
      </c>
      <c r="AF298" s="49" t="str">
        <f>MID(VLOOKUP($A298,Seqs!$A:$B,2,FALSE),VLOOKUP($A298,'SegEnds_NonXtal_Prot#'!$A:$AL,22,FALSE)+10,1)</f>
        <v>P</v>
      </c>
      <c r="AG298" s="28" t="str">
        <f>MID(VLOOKUP($A298,Seqs!$A:$B,2,FALSE),VLOOKUP($A298,'SegEnds_NonXtal_Prot#'!$A:$AL,28,FALSE)-4,1)</f>
        <v>G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919</v>
      </c>
      <c r="B299" s="2" t="str">
        <f>LOWER(VLOOKUP(A299,Xtal_Templ!A:B,2,FALSE))</f>
        <v>us28_hcmva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1503</v>
      </c>
      <c r="B300" s="2" t="str">
        <f>LOWER(VLOOKUP(A300,Xtal_Templ!A:B,2,FALSE))</f>
        <v>q80km9_hcmv</v>
      </c>
      <c r="C300" s="2" t="str">
        <f>VLOOKUP(A300,Classification!A:D,2,FALSE)</f>
        <v>A</v>
      </c>
      <c r="D300" s="2" t="str">
        <f>IF(ISERROR(MATCH(A300,'SegEnds_Xtal_Prot#'!B:B, 0)), "NoXtal", "Xtal")</f>
        <v>Xtal</v>
      </c>
      <c r="H300" s="4"/>
      <c r="N300" s="2" t="s">
        <v>14</v>
      </c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L</v>
      </c>
      <c r="Y300" s="49" t="str">
        <f>MID(VLOOKUP($A300,Seqs!$A:$B,2,FALSE),VLOOKUP($A300,'SegEnds_NonXtal_Prot#'!A:AL,10,FALSE)+8,1)</f>
        <v>P</v>
      </c>
      <c r="Z300" s="49" t="str">
        <f>MID(VLOOKUP($A300,Seqs!$A:$B,2,FALSE),VLOOKUP($A300,'SegEnds_NonXtal_Prot#'!A:AL,10,FALSE)+9,1)</f>
        <v>L</v>
      </c>
      <c r="AA300" s="49" t="str">
        <f>MID(VLOOKUP($A300,Seqs!$A:$B,2,FALSE),VLOOKUP($A300,'SegEnds_NonXtal_Prot#'!A:AL,10,FALSE)+10,1)</f>
        <v>W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I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A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1633</v>
      </c>
      <c r="B301" s="2" t="str">
        <f>LOWER(VLOOKUP(A301,Xtal_Templ!A:B,2,FALSE))</f>
        <v>aa2ar_human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R301" s="2" t="s">
        <v>9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N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P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I</v>
      </c>
      <c r="AH301" s="49" t="str">
        <f>MID(VLOOKUP($A301,Seqs!$A:$B,2,FALSE),VLOOKUP($A301,'SegEnds_NonXtal_Prot#'!$A:$AL,28,FALSE),1)</f>
        <v>P</v>
      </c>
    </row>
    <row r="302" spans="1:34" s="2" customFormat="1" x14ac:dyDescent="0.2">
      <c r="A302" s="2" t="s">
        <v>1636</v>
      </c>
      <c r="B302" s="2" t="str">
        <f>LOWER(VLOOKUP(A302,Xtal_Templ!A:B,2,FALSE))</f>
        <v>ccr2_human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S302" s="2" t="s">
        <v>1318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H</v>
      </c>
      <c r="AC302" s="49" t="str">
        <f>MID(VLOOKUP($A302,Seqs!$A:$B,2,FALSE),VLOOKUP($A302,'SegEnds_NonXtal_Prot#'!$A:$AL,22,FALSE)+7,1)</f>
        <v>S</v>
      </c>
      <c r="AD302" s="49" t="str">
        <f>MID(VLOOKUP($A302,Seqs!$A:$B,2,FALSE),VLOOKUP($A302,'SegEnds_NonXtal_Prot#'!$A:$AL,22,FALSE)+8,1)</f>
        <v>L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H</v>
      </c>
      <c r="AG302" s="28" t="str">
        <f>MID(VLOOKUP($A302,Seqs!$A:$B,2,FALSE),VLOOKUP($A302,'SegEnds_NonXtal_Prot#'!$A:$AL,28,FALSE)-4,1)</f>
        <v>T</v>
      </c>
      <c r="AH302" s="49" t="str">
        <f>MID(VLOOKUP($A302,Seqs!$A:$B,2,FALSE),VLOOKUP($A302,'SegEnds_NonXtal_Prot#'!$A:$AL,28,FALSE),1)</f>
        <v>C</v>
      </c>
    </row>
    <row r="303" spans="1:34" s="2" customFormat="1" x14ac:dyDescent="0.2">
      <c r="A303" s="2" t="s">
        <v>1638</v>
      </c>
      <c r="B303" s="2" t="str">
        <f>LOWER(VLOOKUP(A303,Xtal_Templ!A:B,2,FALSE))</f>
        <v>c5ar1_human</v>
      </c>
      <c r="C303" s="2" t="str">
        <f>VLOOKUP(A303,Classification!A:D,2,FALSE)</f>
        <v>A</v>
      </c>
      <c r="D303" s="2" t="str">
        <f>IF(ISERROR(MATCH(A303,'SegEnds_Xtal_Prot#'!B:B, 0)), "NoXtal", "Xtal")</f>
        <v>NoXtal</v>
      </c>
      <c r="G303" s="2" t="s">
        <v>5</v>
      </c>
      <c r="H303" s="4"/>
      <c r="R303" s="2" t="s">
        <v>9</v>
      </c>
      <c r="T303" s="4" t="s">
        <v>12</v>
      </c>
      <c r="V303" s="28" t="str">
        <f>MID(VLOOKUP($A303,Seqs!$A:$B,2,FALSE),VLOOKUP($A303,'SegEnds_NonXtal_Prot#'!A:AL,10,FALSE),1)</f>
        <v>D</v>
      </c>
      <c r="W303" s="49" t="str">
        <f>MID(VLOOKUP($A303,Seqs!$A:$B,2,FALSE),VLOOKUP($A303,'SegEnds_NonXtal_Prot#'!A:AL,10,FALSE)+6,1)</f>
        <v>T</v>
      </c>
      <c r="X303" s="49" t="str">
        <f>MID(VLOOKUP($A303,Seqs!$A:$B,2,FALSE),VLOOKUP($A303,'SegEnds_NonXtal_Prot#'!A:AL,10,FALSE)+7,1)</f>
        <v>T</v>
      </c>
      <c r="Y303" s="49" t="str">
        <f>MID(VLOOKUP($A303,Seqs!$A:$B,2,FALSE),VLOOKUP($A303,'SegEnds_NonXtal_Prot#'!A:AL,10,FALSE)+8,1)</f>
        <v>V</v>
      </c>
      <c r="Z303" s="49" t="str">
        <f>MID(VLOOKUP($A303,Seqs!$A:$B,2,FALSE),VLOOKUP($A303,'SegEnds_NonXtal_Prot#'!A:AL,10,FALSE)+9,1)</f>
        <v>P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D</v>
      </c>
      <c r="AC303" s="49" t="str">
        <f>MID(VLOOKUP($A303,Seqs!$A:$B,2,FALSE),VLOOKUP($A303,'SegEnds_NonXtal_Prot#'!$A:$AL,22,FALSE)+7,1)</f>
        <v>G</v>
      </c>
      <c r="AD303" s="49" t="str">
        <f>MID(VLOOKUP($A303,Seqs!$A:$B,2,FALSE),VLOOKUP($A303,'SegEnds_NonXtal_Prot#'!$A:$AL,22,FALSE)+8,1)</f>
        <v>F</v>
      </c>
      <c r="AE303" s="49" t="str">
        <f>MID(VLOOKUP($A303,Seqs!$A:$B,2,FALSE),VLOOKUP($A303,'SegEnds_NonXtal_Prot#'!$A:$AL,22,FALSE)+9,1)</f>
        <v>L</v>
      </c>
      <c r="AF303" s="49" t="str">
        <f>MID(VLOOKUP($A303,Seqs!$A:$B,2,FALSE),VLOOKUP($A303,'SegEnds_NonXtal_Prot#'!$A:$AL,22,FALSE)+10,1)</f>
        <v>L</v>
      </c>
      <c r="AG303" s="28" t="str">
        <f>MID(VLOOKUP($A303,Seqs!$A:$B,2,FALSE),VLOOKUP($A303,'SegEnds_NonXtal_Prot#'!$A:$AL,28,FALSE)-4,1)</f>
        <v>M</v>
      </c>
      <c r="AH303" s="49" t="str">
        <f>MID(VLOOKUP($A303,Seqs!$A:$B,2,FALSE),VLOOKUP($A303,'SegEnds_NonXtal_Prot#'!$A:$AL,28,FALSE),1)</f>
        <v>P</v>
      </c>
    </row>
    <row r="304" spans="1:34" s="2" customFormat="1" x14ac:dyDescent="0.2">
      <c r="A304" s="2" t="s">
        <v>400</v>
      </c>
      <c r="B304" s="2" t="str">
        <f>LOWER(VLOOKUP(A304,Xtal_Templ!A:B,2,FALSE))</f>
        <v>calcr_human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1319</v>
      </c>
      <c r="T304" s="4" t="s">
        <v>12</v>
      </c>
      <c r="V304" s="28" t="str">
        <f>MID(VLOOKUP($A304,Seqs!$A:$B,2,FALSE),VLOOKUP($A304,'SegEnds_NonXtal_Prot#'!A:AL,10,FALSE),1)</f>
        <v>Y</v>
      </c>
      <c r="W304" s="49" t="str">
        <f>MID(VLOOKUP($A304,Seqs!$A:$B,2,FALSE),VLOOKUP($A304,'SegEnds_NonXtal_Prot#'!A:AL,10,FALSE)+6,1)</f>
        <v>I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T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401</v>
      </c>
      <c r="B305" s="2" t="str">
        <f>LOWER(VLOOKUP(A305,Xtal_Templ!A:B,2,FALSE))</f>
        <v>calrl_human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1319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V</v>
      </c>
      <c r="X305" s="49" t="str">
        <f>MID(VLOOKUP($A305,Seqs!$A:$B,2,FALSE),VLOOKUP($A305,'SegEnds_NonXtal_Prot#'!A:AL,10,FALSE)+7,1)</f>
        <v>T</v>
      </c>
      <c r="Y305" s="49" t="str">
        <f>MID(VLOOKUP($A305,Seqs!$A:$B,2,FALSE),VLOOKUP($A305,'SegEnds_NonXtal_Prot#'!A:AL,10,FALSE)+8,1)</f>
        <v>I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H</v>
      </c>
      <c r="AB305" s="28" t="str">
        <f>MID(VLOOKUP($A305,Seqs!$A:$B,2,FALSE),VLOOKUP($A305,'SegEnds_NonXtal_Prot#'!$A:$AL,22,FALSE)+6,1)</f>
        <v>P</v>
      </c>
      <c r="AC305" s="49" t="str">
        <f>MID(VLOOKUP($A305,Seqs!$A:$B,2,FALSE),VLOOKUP($A305,'SegEnds_NonXtal_Prot#'!$A:$AL,22,FALSE)+7,1)</f>
        <v>A</v>
      </c>
      <c r="AD305" s="49" t="str">
        <f>MID(VLOOKUP($A305,Seqs!$A:$B,2,FALSE),VLOOKUP($A305,'SegEnds_NonXtal_Prot#'!$A:$AL,22,FALSE)+8,1)</f>
        <v>C</v>
      </c>
      <c r="AE305" s="49" t="str">
        <f>MID(VLOOKUP($A305,Seqs!$A:$B,2,FALSE),VLOOKUP($A305,'SegEnds_NonXtal_Prot#'!$A:$AL,22,FALSE)+9,1)</f>
        <v>I</v>
      </c>
      <c r="AF305" s="49" t="str">
        <f>MID(VLOOKUP($A305,Seqs!$A:$B,2,FALSE),VLOOKUP($A305,'SegEnds_NonXtal_Prot#'!$A:$AL,22,FALSE)+10,1)</f>
        <v>H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38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52" t="s">
        <v>25</v>
      </c>
      <c r="K306" s="107"/>
      <c r="P306" s="2" t="s">
        <v>1319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T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V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402</v>
      </c>
      <c r="B307" s="2" t="str">
        <f>LOWER(VLOOKUP(A307,Xtal_Templ!A:B,2,FALSE))</f>
        <v>crfr2_human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F307" s="49"/>
      <c r="H307" s="4"/>
      <c r="J307" s="106" t="s">
        <v>25</v>
      </c>
      <c r="P307" s="2" t="s">
        <v>1319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M</v>
      </c>
      <c r="X307" s="49" t="str">
        <f>MID(VLOOKUP($A307,Seqs!$A:$B,2,FALSE),VLOOKUP($A307,'SegEnds_NonXtal_Prot#'!A:AL,10,FALSE)+7,1)</f>
        <v>W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L</v>
      </c>
      <c r="AB307" s="28" t="str">
        <f>MID(VLOOKUP($A307,Seqs!$A:$B,2,FALSE),VLOOKUP($A307,'SegEnds_NonXtal_Prot#'!$A:$AL,22,FALSE)+6,1)</f>
        <v>I</v>
      </c>
      <c r="AC307" s="49" t="str">
        <f>MID(VLOOKUP($A307,Seqs!$A:$B,2,FALSE),VLOOKUP($A307,'SegEnds_NonXtal_Prot#'!$A:$AL,22,FALSE)+7,1)</f>
        <v>I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A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V</v>
      </c>
    </row>
    <row r="308" spans="1:34" s="2" customFormat="1" x14ac:dyDescent="0.2">
      <c r="A308" s="2" t="s">
        <v>403</v>
      </c>
      <c r="B308" s="2" t="str">
        <f>LOWER(VLOOKUP(A308,Xtal_Templ!A:B,2,FALSE))</f>
        <v>pacr_human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L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T</v>
      </c>
      <c r="AD308" s="49" t="str">
        <f>MID(VLOOKUP($A308,Seqs!$A:$B,2,FALSE),VLOOKUP($A308,'SegEnds_NonXtal_Prot#'!$A:$AL,22,FALSE)+8,1)</f>
        <v>G</v>
      </c>
      <c r="AE308" s="49" t="str">
        <f>MID(VLOOKUP($A308,Seqs!$A:$B,2,FALSE),VLOOKUP($A308,'SegEnds_NonXtal_Prot#'!$A:$AL,22,FALSE)+9,1)</f>
        <v>T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404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1319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A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L</v>
      </c>
      <c r="Z309" s="49" t="str">
        <f>MID(VLOOKUP($A309,Seqs!$A:$B,2,FALSE),VLOOKUP($A309,'SegEnds_NonXtal_Prot#'!A:AL,10,FALSE)+9,1)</f>
        <v>S</v>
      </c>
      <c r="AA309" s="49" t="str">
        <f>MID(VLOOKUP($A309,Seqs!$A:$B,2,FALSE),VLOOKUP($A309,'SegEnds_NonXtal_Prot#'!A:AL,10,FALSE)+10,1)</f>
        <v>R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I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T</v>
      </c>
    </row>
    <row r="310" spans="1:34" s="2" customFormat="1" x14ac:dyDescent="0.2">
      <c r="A310" s="2" t="s">
        <v>405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1319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406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1319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C</v>
      </c>
    </row>
    <row r="312" spans="1:34" s="2" customFormat="1" x14ac:dyDescent="0.2">
      <c r="A312" s="2" t="s">
        <v>32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I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V</v>
      </c>
      <c r="AE312" s="49" t="str">
        <f>MID(VLOOKUP($A312,Seqs!$A:$B,2,FALSE),VLOOKUP($A312,'SegEnds_NonXtal_Prot#'!$A:$AL,22,FALSE)+9,1)</f>
        <v>P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A</v>
      </c>
    </row>
    <row r="313" spans="1:34" s="2" customFormat="1" x14ac:dyDescent="0.2">
      <c r="A313" s="2" t="s">
        <v>407</v>
      </c>
      <c r="B313" s="2" t="str">
        <f>LOWER(VLOOKUP(A313,Xtal_Templ!A:B,2,FALSE))</f>
        <v>pacr_human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T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408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1319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409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1319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I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V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A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410</v>
      </c>
      <c r="B316" s="2" t="str">
        <f>LOWER(VLOOKUP(A316,Xtal_Templ!A:B,2,FALSE))</f>
        <v>pacr_human</v>
      </c>
      <c r="C316" s="2" t="str">
        <f>VLOOKUP(A316,Classification!A:D,2,FALSE)</f>
        <v>B1</v>
      </c>
      <c r="D316" s="2" t="str">
        <f>IF(ISERROR(MATCH(A316,'SegEnds_Xtal_Prot#'!B:B, 0)), "NoXtal", "Xtal")</f>
        <v>NoXtal</v>
      </c>
      <c r="H316" s="4"/>
      <c r="J316" s="106" t="s">
        <v>25</v>
      </c>
      <c r="P316" s="2" t="s">
        <v>1319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N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V</v>
      </c>
      <c r="AD316" s="49" t="str">
        <f>MID(VLOOKUP($A316,Seqs!$A:$B,2,FALSE),VLOOKUP($A316,'SegEnds_NonXtal_Prot#'!$A:$AL,22,FALSE)+8,1)</f>
        <v>A</v>
      </c>
      <c r="AE316" s="49" t="str">
        <f>MID(VLOOKUP($A316,Seqs!$A:$B,2,FALSE),VLOOKUP($A316,'SegEnds_NonXtal_Prot#'!$A:$AL,22,FALSE)+9,1)</f>
        <v>L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411</v>
      </c>
      <c r="B317" s="2" t="str">
        <f>LOWER(VLOOKUP(A317,Xtal_Templ!A:B,2,FALSE))</f>
        <v>pacr_human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1319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A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F</v>
      </c>
      <c r="Z317" s="49" t="str">
        <f>MID(VLOOKUP($A317,Seqs!$A:$B,2,FALSE),VLOOKUP($A317,'SegEnds_NonXtal_Prot#'!A:AL,10,FALSE)+9,1)</f>
        <v>I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F</v>
      </c>
      <c r="AC317" s="49" t="str">
        <f>MID(VLOOKUP($A317,Seqs!$A:$B,2,FALSE),VLOOKUP($A317,'SegEnds_NonXtal_Prot#'!$A:$AL,22,FALSE)+7,1)</f>
        <v>T</v>
      </c>
      <c r="AD317" s="49" t="str">
        <f>MID(VLOOKUP($A317,Seqs!$A:$B,2,FALSE),VLOOKUP($A317,'SegEnds_NonXtal_Prot#'!$A:$AL,22,FALSE)+8,1)</f>
        <v>M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412</v>
      </c>
      <c r="B318" s="2" t="str">
        <f>LOWER(VLOOKUP(A318,Xtal_Templ!A:B,2,FALSE))</f>
        <v>pacr_human</v>
      </c>
      <c r="C318" s="2" t="str">
        <f>VLOOKUP(A318,Classification!A:D,2,FALSE)</f>
        <v>B1</v>
      </c>
      <c r="D318" s="2" t="str">
        <f>IF(ISERROR(MATCH(A318,'SegEnds_Xtal_Prot#'!B:B, 0)), "NoXtal", "Xtal")</f>
        <v>NoXtal</v>
      </c>
      <c r="H318" s="4"/>
      <c r="J318" s="106" t="s">
        <v>25</v>
      </c>
      <c r="P318" s="2" t="s">
        <v>1319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C</v>
      </c>
      <c r="AC318" s="49" t="str">
        <f>MID(VLOOKUP($A318,Seqs!$A:$B,2,FALSE),VLOOKUP($A318,'SegEnds_NonXtal_Prot#'!$A:$AL,22,FALSE)+7,1)</f>
        <v>I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A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S</v>
      </c>
    </row>
    <row r="319" spans="1:34" s="2" customFormat="1" x14ac:dyDescent="0.2">
      <c r="A319" s="2" t="s">
        <v>1416</v>
      </c>
      <c r="B319" s="2" t="str">
        <f>LOWER(VLOOKUP(A319,Xtal_Templ!A:B,2,FALSE))</f>
        <v>g1sgd4_rabit</v>
      </c>
      <c r="C319" s="2" t="str">
        <f>VLOOKUP(A319,Classification!A:D,2,FALSE)</f>
        <v>B1</v>
      </c>
      <c r="D319" s="2" t="str">
        <f>IF(ISERROR(MATCH(A319,'SegEnds_Xtal_Prot#'!B:B, 0)), "NoXtal", "Xtal")</f>
        <v>Xtal</v>
      </c>
      <c r="H319" s="4"/>
      <c r="J319" s="106" t="s">
        <v>25</v>
      </c>
      <c r="P319" s="2" t="s">
        <v>1319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S</v>
      </c>
      <c r="X319" s="49" t="str">
        <f>MID(VLOOKUP($A319,Seqs!$A:$B,2,FALSE),VLOOKUP($A319,'SegEnds_NonXtal_Prot#'!A:AL,10,FALSE)+7,1)</f>
        <v>V</v>
      </c>
      <c r="Y319" s="49" t="str">
        <f>MID(VLOOKUP($A319,Seqs!$A:$B,2,FALSE),VLOOKUP($A319,'SegEnds_NonXtal_Prot#'!A:AL,10,FALSE)+8,1)</f>
        <v>F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K</v>
      </c>
      <c r="AB319" s="28" t="str">
        <f>MID(VLOOKUP($A319,Seqs!$A:$B,2,FALSE),VLOOKUP($A319,'SegEnds_NonXtal_Prot#'!$A:$AL,22,FALSE)+6,1)</f>
        <v>F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P</v>
      </c>
      <c r="AF319" s="49" t="str">
        <f>MID(VLOOKUP($A319,Seqs!$A:$B,2,FALSE),VLOOKUP($A319,'SegEnds_NonXtal_Prot#'!$A:$AL,22,FALSE)+10,1)</f>
        <v>W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A</v>
      </c>
    </row>
    <row r="320" spans="1:34" s="2" customFormat="1" x14ac:dyDescent="0.2">
      <c r="A320" s="2" t="s">
        <v>1172</v>
      </c>
      <c r="B320" s="2" t="str">
        <f>LOWER(VLOOKUP(A320,Xtal_Templ!A:B,2,FALSE))</f>
        <v>pacr_human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T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S</v>
      </c>
      <c r="X321" s="49" t="str">
        <f>MID(VLOOKUP($A321,Seqs!$A:$B,2,FALSE),VLOOKUP($A321,'SegEnds_NonXtal_Prot#'!A:AL,10,FALSE)+7,1)</f>
        <v>A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A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1174</v>
      </c>
      <c r="B322" s="2" t="str">
        <f>LOWER(VLOOKUP(A322,Xtal_Templ!A:B,2,FALSE))</f>
        <v>crfr2_human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F</v>
      </c>
      <c r="W322" s="49" t="str">
        <f>MID(VLOOKUP($A322,Seqs!$A:$B,2,FALSE),VLOOKUP($A322,'SegEnds_NonXtal_Prot#'!A:AL,10,FALSE)+6,1)</f>
        <v>C</v>
      </c>
      <c r="X322" s="49" t="str">
        <f>MID(VLOOKUP($A322,Seqs!$A:$B,2,FALSE),VLOOKUP($A322,'SegEnds_NonXtal_Prot#'!A:AL,10,FALSE)+7,1)</f>
        <v>V</v>
      </c>
      <c r="Y322" s="49" t="str">
        <f>MID(VLOOKUP($A322,Seqs!$A:$B,2,FALSE),VLOOKUP($A322,'SegEnds_NonXtal_Prot#'!A:AL,10,FALSE)+8,1)</f>
        <v>V</v>
      </c>
      <c r="Z322" s="49" t="str">
        <f>MID(VLOOKUP($A322,Seqs!$A:$B,2,FALSE),VLOOKUP($A322,'SegEnds_NonXtal_Prot#'!A:AL,10,FALSE)+9,1)</f>
        <v>F</v>
      </c>
      <c r="AA322" s="49" t="str">
        <f>MID(VLOOKUP($A322,Seqs!$A:$B,2,FALSE),VLOOKUP($A322,'SegEnds_NonXtal_Prot#'!A:AL,10,FALSE)+10,1)</f>
        <v>V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C</v>
      </c>
      <c r="AD322" s="49" t="str">
        <f>MID(VLOOKUP($A322,Seqs!$A:$B,2,FALSE),VLOOKUP($A322,'SegEnds_NonXtal_Prot#'!$A:$AL,22,FALSE)+8,1)</f>
        <v>G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1175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V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1176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I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I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V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T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1177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V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I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C</v>
      </c>
      <c r="AD325" s="49" t="str">
        <f>MID(VLOOKUP($A325,Seqs!$A:$B,2,FALSE),VLOOKUP($A325,'SegEnds_NonXtal_Prot#'!$A:$AL,22,FALSE)+8,1)</f>
        <v>I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1178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F</v>
      </c>
      <c r="X326" s="49" t="str">
        <f>MID(VLOOKUP($A326,Seqs!$A:$B,2,FALSE),VLOOKUP($A326,'SegEnds_NonXtal_Prot#'!A:AL,10,FALSE)+7,1)</f>
        <v>L</v>
      </c>
      <c r="Y326" s="49" t="str">
        <f>MID(VLOOKUP($A326,Seqs!$A:$B,2,FALSE),VLOOKUP($A326,'SegEnds_NonXtal_Prot#'!A:AL,10,FALSE)+8,1)</f>
        <v>M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S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1179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A</v>
      </c>
      <c r="AA327" s="49" t="str">
        <f>MID(VLOOKUP($A327,Seqs!$A:$B,2,FALSE),VLOOKUP($A327,'SegEnds_NonXtal_Prot#'!A:AL,10,FALSE)+10,1)</f>
        <v>G</v>
      </c>
      <c r="AB327" s="28" t="str">
        <f>MID(VLOOKUP($A327,Seqs!$A:$B,2,FALSE),VLOOKUP($A327,'SegEnds_NonXtal_Prot#'!$A:$AL,22,FALSE)+6,1)</f>
        <v>V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V</v>
      </c>
    </row>
    <row r="328" spans="1:34" s="2" customFormat="1" x14ac:dyDescent="0.2">
      <c r="A328" s="2" t="s">
        <v>1180</v>
      </c>
      <c r="B328" s="2" t="str">
        <f>LOWER(VLOOKUP(A328,Xtal_Templ!A:B,2,FALSE))</f>
        <v>glp1r_human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A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V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T</v>
      </c>
      <c r="AC329" s="49" t="str">
        <f>MID(VLOOKUP($A329,Seqs!$A:$B,2,FALSE),VLOOKUP($A329,'SegEnds_NonXtal_Prot#'!$A:$AL,22,FALSE)+7,1)</f>
        <v>V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1182</v>
      </c>
      <c r="B330" s="2" t="str">
        <f>LOWER(VLOOKUP(A330,Xtal_Templ!A:B,2,FALSE))</f>
        <v>glr_human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L</v>
      </c>
      <c r="W330" s="49" t="str">
        <f>MID(VLOOKUP($A330,Seqs!$A:$B,2,FALSE),VLOOKUP($A330,'SegEnds_NonXtal_Prot#'!A:AL,10,FALSE)+6,1)</f>
        <v>L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T</v>
      </c>
      <c r="AA330" s="49" t="str">
        <f>MID(VLOOKUP($A330,Seqs!$A:$B,2,FALSE),VLOOKUP($A330,'SegEnds_NonXtal_Prot#'!A:AL,10,FALSE)+10,1)</f>
        <v>G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I</v>
      </c>
      <c r="AD330" s="49" t="str">
        <f>MID(VLOOKUP($A330,Seqs!$A:$B,2,FALSE),VLOOKUP($A330,'SegEnds_NonXtal_Prot#'!$A:$AL,22,FALSE)+8,1)</f>
        <v>A</v>
      </c>
      <c r="AE330" s="49" t="str">
        <f>MID(VLOOKUP($A330,Seqs!$A:$B,2,FALSE),VLOOKUP($A330,'SegEnds_NonXtal_Prot#'!$A:$AL,22,FALSE)+9,1)</f>
        <v>V</v>
      </c>
      <c r="AF330" s="49" t="str">
        <f>MID(VLOOKUP($A330,Seqs!$A:$B,2,FALSE),VLOOKUP($A330,'SegEnds_NonXtal_Prot#'!$A:$AL,22,FALSE)+10,1)</f>
        <v>S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1183</v>
      </c>
      <c r="B331" s="2" t="str">
        <f>LOWER(VLOOKUP(A331,Xtal_Templ!A:B,2,FALSE))</f>
        <v>pth1r_human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1184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A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V</v>
      </c>
      <c r="Z332" s="49" t="str">
        <f>MID(VLOOKUP($A332,Seqs!$A:$B,2,FALSE),VLOOKUP($A332,'SegEnds_NonXtal_Prot#'!A:AL,10,FALSE)+9,1)</f>
        <v>W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I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A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1185</v>
      </c>
      <c r="B333" s="2" t="str">
        <f>LOWER(VLOOKUP(A333,Xtal_Templ!A:B,2,FALSE))</f>
        <v>calrl_human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V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D</v>
      </c>
      <c r="Y333" s="49" t="str">
        <f>MID(VLOOKUP($A333,Seqs!$A:$B,2,FALSE),VLOOKUP($A333,'SegEnds_NonXtal_Prot#'!A:AL,10,FALSE)+8,1)</f>
        <v>T</v>
      </c>
      <c r="Z333" s="49" t="str">
        <f>MID(VLOOKUP($A333,Seqs!$A:$B,2,FALSE),VLOOKUP($A333,'SegEnds_NonXtal_Prot#'!A:AL,10,FALSE)+9,1)</f>
        <v>C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L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G</v>
      </c>
      <c r="AE333" s="49" t="str">
        <f>MID(VLOOKUP($A333,Seqs!$A:$B,2,FALSE),VLOOKUP($A333,'SegEnds_NonXtal_Prot#'!$A:$AL,22,FALSE)+9,1)</f>
        <v>V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1186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V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A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T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1187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A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N</v>
      </c>
      <c r="Y335" s="49" t="str">
        <f>MID(VLOOKUP($A335,Seqs!$A:$B,2,FALSE),VLOOKUP($A335,'SegEnds_NonXtal_Prot#'!A:AL,10,FALSE)+8,1)</f>
        <v>T</v>
      </c>
      <c r="Z335" s="49" t="str">
        <f>MID(VLOOKUP($A335,Seqs!$A:$B,2,FALSE),VLOOKUP($A335,'SegEnds_NonXtal_Prot#'!A:AL,10,FALSE)+9,1)</f>
        <v>W</v>
      </c>
      <c r="AA335" s="49" t="str">
        <f>MID(VLOOKUP($A335,Seqs!$A:$B,2,FALSE),VLOOKUP($A335,'SegEnds_NonXtal_Prot#'!A:AL,10,FALSE)+10,1)</f>
        <v>F</v>
      </c>
      <c r="AB335" s="28" t="str">
        <f>MID(VLOOKUP($A335,Seqs!$A:$B,2,FALSE),VLOOKUP($A335,'SegEnds_NonXtal_Prot#'!$A:$AL,22,FALSE)+6,1)</f>
        <v>I</v>
      </c>
      <c r="AC335" s="49" t="str">
        <f>MID(VLOOKUP($A335,Seqs!$A:$B,2,FALSE),VLOOKUP($A335,'SegEnds_NonXtal_Prot#'!$A:$AL,22,FALSE)+7,1)</f>
        <v>S</v>
      </c>
      <c r="AD335" s="49" t="str">
        <f>MID(VLOOKUP($A335,Seqs!$A:$B,2,FALSE),VLOOKUP($A335,'SegEnds_NonXtal_Prot#'!$A:$AL,22,FALSE)+8,1)</f>
        <v>V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1188</v>
      </c>
      <c r="B336" s="2" t="str">
        <f>LOWER(VLOOKUP(A336,Xtal_Templ!A:B,2,FALSE))</f>
        <v>glr_human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S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V</v>
      </c>
      <c r="AG336" s="28" t="str">
        <f>MID(VLOOKUP($A336,Seqs!$A:$B,2,FALSE),VLOOKUP($A336,'SegEnds_NonXtal_Prot#'!$A:$AL,28,FALSE)-4,1)</f>
        <v>L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1189</v>
      </c>
      <c r="B337" s="2" t="str">
        <f>LOWER(VLOOKUP(A337,Xtal_Templ!A:B,2,FALSE))</f>
        <v>pacr_human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V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L</v>
      </c>
      <c r="AA337" s="49" t="str">
        <f>MID(VLOOKUP($A337,Seqs!$A:$B,2,FALSE),VLOOKUP($A337,'SegEnds_NonXtal_Prot#'!A:AL,10,FALSE)+10,1)</f>
        <v>D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T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I</v>
      </c>
      <c r="AG337" s="28" t="str">
        <f>MID(VLOOKUP($A337,Seqs!$A:$B,2,FALSE),VLOOKUP($A337,'SegEnds_NonXtal_Prot#'!$A:$AL,28,FALSE)-4,1)</f>
        <v>Y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1190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A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I</v>
      </c>
      <c r="AE338" s="49" t="str">
        <f>MID(VLOOKUP($A338,Seqs!$A:$B,2,FALSE),VLOOKUP($A338,'SegEnds_NonXtal_Prot#'!$A:$AL,22,FALSE)+9,1)</f>
        <v>G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T</v>
      </c>
      <c r="AH338" s="49" t="str">
        <f>MID(VLOOKUP($A338,Seqs!$A:$B,2,FALSE),VLOOKUP($A338,'SegEnds_NonXtal_Prot#'!$A:$AL,28,FALSE),1)</f>
        <v>Y</v>
      </c>
    </row>
    <row r="339" spans="1:34" s="2" customFormat="1" x14ac:dyDescent="0.2">
      <c r="A339" s="2" t="s">
        <v>1191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N</v>
      </c>
      <c r="AB339" s="28" t="str">
        <f>MID(VLOOKUP($A339,Seqs!$A:$B,2,FALSE),VLOOKUP($A339,'SegEnds_NonXtal_Prot#'!$A:$AL,22,FALSE)+6,1)</f>
        <v>M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I</v>
      </c>
      <c r="AF339" s="49" t="str">
        <f>MID(VLOOKUP($A339,Seqs!$A:$B,2,FALSE),VLOOKUP($A339,'SegEnds_NonXtal_Prot#'!$A:$AL,22,FALSE)+10,1)</f>
        <v>T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1192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V</v>
      </c>
      <c r="W340" s="49" t="str">
        <f>MID(VLOOKUP($A340,Seqs!$A:$B,2,FALSE),VLOOKUP($A340,'SegEnds_NonXtal_Prot#'!A:AL,10,FALSE)+6,1)</f>
        <v>A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L</v>
      </c>
      <c r="AA340" s="49" t="str">
        <f>MID(VLOOKUP($A340,Seqs!$A:$B,2,FALSE),VLOOKUP($A340,'SegEnds_NonXtal_Prot#'!A:AL,10,FALSE)+10,1)</f>
        <v>S</v>
      </c>
      <c r="AB340" s="28" t="str">
        <f>MID(VLOOKUP($A340,Seqs!$A:$B,2,FALSE),VLOOKUP($A340,'SegEnds_NonXtal_Prot#'!$A:$AL,22,FALSE)+6,1)</f>
        <v>L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L</v>
      </c>
      <c r="AE340" s="49" t="str">
        <f>MID(VLOOKUP($A340,Seqs!$A:$B,2,FALSE),VLOOKUP($A340,'SegEnds_NonXtal_Prot#'!$A:$AL,22,FALSE)+9,1)</f>
        <v>L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Y</v>
      </c>
      <c r="AH340" s="49" t="str">
        <f>MID(VLOOKUP($A340,Seqs!$A:$B,2,FALSE),VLOOKUP($A340,'SegEnds_NonXtal_Prot#'!$A:$AL,28,FALSE),1)</f>
        <v>T</v>
      </c>
    </row>
    <row r="341" spans="1:34" s="2" customFormat="1" x14ac:dyDescent="0.2">
      <c r="A341" s="2" t="s">
        <v>1193</v>
      </c>
      <c r="B341" s="2" t="str">
        <f>LOWER(VLOOKUP(A341,Xtal_Templ!A:B,2,FALSE))</f>
        <v>pth1r_human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M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F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T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1194</v>
      </c>
      <c r="B342" s="2" t="str">
        <f>LOWER(VLOOKUP(A342,Xtal_Templ!A:B,2,FALSE))</f>
        <v>crfr2_human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V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1195</v>
      </c>
      <c r="B343" s="2" t="str">
        <f>LOWER(VLOOKUP(A343,Xtal_Templ!A:B,2,FALSE))</f>
        <v>crfr2_human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I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1196</v>
      </c>
      <c r="B344" s="2" t="str">
        <f>LOWER(VLOOKUP(A344,Xtal_Templ!A:B,2,FALSE))</f>
        <v>crfr2_human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I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A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1197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V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V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F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1693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I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I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A</v>
      </c>
      <c r="AE346" s="49" t="str">
        <f>MID(VLOOKUP($A346,Seqs!$A:$B,2,FALSE),VLOOKUP($A346,'SegEnds_NonXtal_Prot#'!$A:$AL,22,FALSE)+9,1)</f>
        <v>I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415</v>
      </c>
      <c r="B347" s="2" t="str">
        <f>LOWER(VLOOKUP(A347,Xtal_Templ!A:B,2,FALSE))</f>
        <v>calcr_human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V</v>
      </c>
      <c r="Z347" s="49" t="str">
        <f>MID(VLOOKUP($A347,Seqs!$A:$B,2,FALSE),VLOOKUP($A347,'SegEnds_NonXtal_Prot#'!A:AL,10,FALSE)+9,1)</f>
        <v>I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V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416</v>
      </c>
      <c r="B348" s="2" t="str">
        <f>LOWER(VLOOKUP(A348,Xtal_Templ!A:B,2,FALSE))</f>
        <v>calrl_human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V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I</v>
      </c>
      <c r="AC348" s="49" t="str">
        <f>MID(VLOOKUP($A348,Seqs!$A:$B,2,FALSE),VLOOKUP($A348,'SegEnds_NonXtal_Prot#'!$A:$AL,22,FALSE)+7,1)</f>
        <v>T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A</v>
      </c>
    </row>
    <row r="349" spans="1:34" s="2" customFormat="1" x14ac:dyDescent="0.2">
      <c r="A349" s="2" t="s">
        <v>1409</v>
      </c>
      <c r="B349" s="2" t="str">
        <f>LOWER(VLOOKUP(A349,Xtal_Templ!A:B,2,FALSE))</f>
        <v>crfr2_human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L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D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S</v>
      </c>
      <c r="AE349" s="49" t="str">
        <f>MID(VLOOKUP($A349,Seqs!$A:$B,2,FALSE),VLOOKUP($A349,'SegEnds_NonXtal_Prot#'!$A:$AL,22,FALSE)+9,1)</f>
        <v>V</v>
      </c>
      <c r="AF349" s="49" t="str">
        <f>MID(VLOOKUP($A349,Seqs!$A:$B,2,FALSE),VLOOKUP($A349,'SegEnds_NonXtal_Prot#'!$A:$AL,22,FALSE)+10,1)</f>
        <v>V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M</v>
      </c>
    </row>
    <row r="350" spans="1:34" s="2" customFormat="1" x14ac:dyDescent="0.2">
      <c r="A350" s="2" t="s">
        <v>1695</v>
      </c>
      <c r="B350" s="2" t="str">
        <f>LOWER(VLOOKUP(A350,Xtal_Templ!A:B,2,FALSE))</f>
        <v>crfr1_human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L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S</v>
      </c>
      <c r="AB350" s="28" t="str">
        <f>MID(VLOOKUP($A350,Seqs!$A:$B,2,FALSE),VLOOKUP($A350,'SegEnds_NonXtal_Prot#'!$A:$AL,22,FALSE)+6,1)</f>
        <v>V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I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1694</v>
      </c>
      <c r="B351" s="2" t="str">
        <f>LOWER(VLOOKUP(A351,Xtal_Templ!A:B,2,FALSE))</f>
        <v>glp1r_human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I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V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V</v>
      </c>
      <c r="AF351" s="49" t="str">
        <f>MID(VLOOKUP($A351,Seqs!$A:$B,2,FALSE),VLOOKUP($A351,'SegEnds_NonXtal_Prot#'!$A:$AL,22,FALSE)+10,1)</f>
        <v>S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I</v>
      </c>
    </row>
    <row r="352" spans="1:34" s="2" customFormat="1" x14ac:dyDescent="0.2">
      <c r="A352" s="2" t="s">
        <v>417</v>
      </c>
      <c r="B352" s="2" t="str">
        <f>LOWER(VLOOKUP(A352,Xtal_Templ!A:B,2,FALSE))</f>
        <v>crfr1_human</v>
      </c>
      <c r="C352" s="2" t="str">
        <f>VLOOKUP(A352,Classification!A:D,2,FALSE)</f>
        <v>B2</v>
      </c>
      <c r="D352" s="2" t="str">
        <f>IF(ISERROR(MATCH(A352,'SegEnds_Xtal_Prot#'!B:B, 0)), "NoXtal", "Xtal")</f>
        <v>NoXtal</v>
      </c>
      <c r="H352" s="4"/>
      <c r="J352" s="106" t="s">
        <v>25</v>
      </c>
      <c r="T352" s="4" t="s">
        <v>12</v>
      </c>
      <c r="V352" s="28" t="str">
        <f>MID(VLOOKUP($A352,Seqs!$A:$B,2,FALSE),VLOOKUP($A352,'SegEnds_NonXtal_Prot#'!A:AL,10,FALSE),1)</f>
        <v>L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F</v>
      </c>
      <c r="Y352" s="49" t="str">
        <f>MID(VLOOKUP($A352,Seqs!$A:$B,2,FALSE),VLOOKUP($A352,'SegEnds_NonXtal_Prot#'!A:AL,10,FALSE)+8,1)</f>
        <v>L</v>
      </c>
      <c r="Z352" s="49" t="str">
        <f>MID(VLOOKUP($A352,Seqs!$A:$B,2,FALSE),VLOOKUP($A352,'SegEnds_NonXtal_Prot#'!A:AL,10,FALSE)+9,1)</f>
        <v>L</v>
      </c>
      <c r="AA352" s="49" t="str">
        <f>MID(VLOOKUP($A352,Seqs!$A:$B,2,FALSE),VLOOKUP($A352,'SegEnds_NonXtal_Prot#'!A:AL,10,FALSE)+10,1)</f>
        <v>G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G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A</v>
      </c>
      <c r="AG352" s="28" t="str">
        <f>MID(VLOOKUP($A352,Seqs!$A:$B,2,FALSE),VLOOKUP($A352,'SegEnds_NonXtal_Prot#'!$A:$AL,28,FALSE)-4,1)</f>
        <v>P</v>
      </c>
      <c r="AH352" s="49" t="str">
        <f>MID(VLOOKUP($A352,Seqs!$A:$B,2,FALSE),VLOOKUP($A352,'SegEnds_NonXtal_Prot#'!$A:$AL,28,FALSE),1)</f>
        <v>V</v>
      </c>
    </row>
    <row r="353" spans="1:34" s="2" customFormat="1" x14ac:dyDescent="0.2">
      <c r="A353" s="2" t="s">
        <v>106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1320</v>
      </c>
      <c r="V353" s="28" t="str">
        <f>MID(VLOOKUP($A353,Seqs!$A:$B,2,FALSE),VLOOKUP($A353,'SegEnds_NonXtal_Prot#'!A:AL,10,FALSE),1)</f>
        <v>C</v>
      </c>
      <c r="W353" s="49" t="str">
        <f>MID(VLOOKUP($A353,Seqs!$A:$B,2,FALSE),VLOOKUP($A353,'SegEnds_NonXtal_Prot#'!A:AL,10,FALSE)+6,1)</f>
        <v>A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P</v>
      </c>
      <c r="AA353" s="49" t="str">
        <f>MID(VLOOKUP($A353,Seqs!$A:$B,2,FALSE),VLOOKUP($A353,'SegEnds_NonXtal_Prot#'!A:AL,10,FALSE)+10,1)</f>
        <v>L</v>
      </c>
      <c r="AB353" s="28" t="str">
        <f>MID(VLOOKUP($A353,Seqs!$A:$B,2,FALSE),VLOOKUP($A353,'SegEnds_NonXtal_Prot#'!$A:$AL,22,FALSE)+6,1)</f>
        <v>T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A</v>
      </c>
      <c r="AE353" s="49" t="str">
        <f>MID(VLOOKUP($A353,Seqs!$A:$B,2,FALSE),VLOOKUP($A353,'SegEnds_NonXtal_Prot#'!$A:$AL,22,FALSE)+9,1)</f>
        <v>I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108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1320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Y</v>
      </c>
      <c r="Z354" s="49" t="str">
        <f>MID(VLOOKUP($A354,Seqs!$A:$B,2,FALSE),VLOOKUP($A354,'SegEnds_NonXtal_Prot#'!A:AL,10,FALSE)+9,1)</f>
        <v>L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L</v>
      </c>
      <c r="AD354" s="49" t="str">
        <f>MID(VLOOKUP($A354,Seqs!$A:$B,2,FALSE),VLOOKUP($A354,'SegEnds_NonXtal_Prot#'!$A:$AL,22,FALSE)+8,1)</f>
        <v>M</v>
      </c>
      <c r="AE354" s="49" t="str">
        <f>MID(VLOOKUP($A354,Seqs!$A:$B,2,FALSE),VLOOKUP($A354,'SegEnds_NonXtal_Prot#'!$A:$AL,22,FALSE)+9,1)</f>
        <v>T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C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109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1320</v>
      </c>
      <c r="V355" s="28" t="str">
        <f>MID(VLOOKUP($A355,Seqs!$A:$B,2,FALSE),VLOOKUP($A355,'SegEnds_NonXtal_Prot#'!A:AL,10,FALSE),1)</f>
        <v>S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V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I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F</v>
      </c>
    </row>
    <row r="356" spans="1:34" s="2" customFormat="1" x14ac:dyDescent="0.2">
      <c r="A356" s="2" t="s">
        <v>110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1320</v>
      </c>
      <c r="V356" s="28" t="str">
        <f>MID(VLOOKUP($A356,Seqs!$A:$B,2,FALSE),VLOOKUP($A356,'SegEnds_NonXtal_Prot#'!A:AL,10,FALSE),1)</f>
        <v>F</v>
      </c>
      <c r="W356" s="49" t="str">
        <f>MID(VLOOKUP($A356,Seqs!$A:$B,2,FALSE),VLOOKUP($A356,'SegEnds_NonXtal_Prot#'!A:AL,10,FALSE)+6,1)</f>
        <v>P</v>
      </c>
      <c r="X356" s="49" t="str">
        <f>MID(VLOOKUP($A356,Seqs!$A:$B,2,FALSE),VLOOKUP($A356,'SegEnds_NonXtal_Prot#'!A:AL,10,FALSE)+7,1)</f>
        <v>V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I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G</v>
      </c>
      <c r="AD356" s="49" t="str">
        <f>MID(VLOOKUP($A356,Seqs!$A:$B,2,FALSE),VLOOKUP($A356,'SegEnds_NonXtal_Prot#'!$A:$AL,22,FALSE)+8,1)</f>
        <v>L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A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1320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1320</v>
      </c>
      <c r="V358" s="28" t="str">
        <f>MID(VLOOKUP($A358,Seqs!$A:$B,2,FALSE),VLOOKUP($A358,'SegEnds_NonXtal_Prot#'!A:AL,10,FALSE),1)</f>
        <v>T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C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N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1320</v>
      </c>
      <c r="V359" s="28" t="str">
        <f>MID(VLOOKUP($A359,Seqs!$A:$B,2,FALSE),VLOOKUP($A359,'SegEnds_NonXtal_Prot#'!A:AL,10,FALSE),1)</f>
        <v>V</v>
      </c>
      <c r="W359" s="49" t="str">
        <f>MID(VLOOKUP($A359,Seqs!$A:$B,2,FALSE),VLOOKUP($A359,'SegEnds_NonXtal_Prot#'!A:AL,10,FALSE)+6,1)</f>
        <v>L</v>
      </c>
      <c r="X359" s="49" t="str">
        <f>MID(VLOOKUP($A359,Seqs!$A:$B,2,FALSE),VLOOKUP($A359,'SegEnds_NonXtal_Prot#'!A:AL,10,FALSE)+7,1)</f>
        <v>A</v>
      </c>
      <c r="Y359" s="49" t="str">
        <f>MID(VLOOKUP($A359,Seqs!$A:$B,2,FALSE),VLOOKUP($A359,'SegEnds_NonXtal_Prot#'!A:AL,10,FALSE)+8,1)</f>
        <v>F</v>
      </c>
      <c r="Z359" s="49" t="str">
        <f>MID(VLOOKUP($A359,Seqs!$A:$B,2,FALSE),VLOOKUP($A359,'SegEnds_NonXtal_Prot#'!A:AL,10,FALSE)+9,1)</f>
        <v>A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A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E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114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1320</v>
      </c>
      <c r="V360" s="28" t="str">
        <f>MID(VLOOKUP($A360,Seqs!$A:$B,2,FALSE),VLOOKUP($A360,'SegEnds_NonXtal_Prot#'!A:AL,10,FALSE),1)</f>
        <v>H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T</v>
      </c>
      <c r="Y360" s="49" t="str">
        <f>MID(VLOOKUP($A360,Seqs!$A:$B,2,FALSE),VLOOKUP($A360,'SegEnds_NonXtal_Prot#'!A:AL,10,FALSE)+8,1)</f>
        <v>S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L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40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Xtal</v>
      </c>
      <c r="H361" s="4"/>
      <c r="U361" s="2" t="s">
        <v>1320</v>
      </c>
      <c r="V361" s="28" t="str">
        <f>MID(VLOOKUP($A361,Seqs!$A:$B,2,FALSE),VLOOKUP($A361,'SegEnds_NonXtal_Prot#'!A:AL,10,FALSE),1)</f>
        <v>I</v>
      </c>
      <c r="W361" s="49" t="str">
        <f>MID(VLOOKUP($A361,Seqs!$A:$B,2,FALSE),VLOOKUP($A361,'SegEnds_NonXtal_Prot#'!A:AL,10,FALSE)+6,1)</f>
        <v>C</v>
      </c>
      <c r="X361" s="49" t="str">
        <f>MID(VLOOKUP($A361,Seqs!$A:$B,2,FALSE),VLOOKUP($A361,'SegEnds_NonXtal_Prot#'!A:AL,10,FALSE)+7,1)</f>
        <v>P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T</v>
      </c>
      <c r="AA361" s="49" t="str">
        <f>MID(VLOOKUP($A361,Seqs!$A:$B,2,FALSE),VLOOKUP($A361,'SegEnds_NonXtal_Prot#'!A:AL,10,FALSE)+10,1)</f>
        <v>L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V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T</v>
      </c>
      <c r="AF361" s="49" t="str">
        <f>MID(VLOOKUP($A361,Seqs!$A:$B,2,FALSE),VLOOKUP($A361,'SegEnds_NonXtal_Prot#'!$A:$AL,22,FALSE)+10,1)</f>
        <v>L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121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1320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L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A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A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E</v>
      </c>
      <c r="AF362" s="49" t="str">
        <f>MID(VLOOKUP($A362,Seqs!$A:$B,2,FALSE),VLOOKUP($A362,'SegEnds_NonXtal_Prot#'!$A:$AL,22,FALSE)+10,1)</f>
        <v>Y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122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1320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L</v>
      </c>
      <c r="Y363" s="49" t="str">
        <f>MID(VLOOKUP($A363,Seqs!$A:$B,2,FALSE),VLOOKUP($A363,'SegEnds_NonXtal_Prot#'!A:AL,10,FALSE)+8,1)</f>
        <v>Y</v>
      </c>
      <c r="Z363" s="49" t="str">
        <f>MID(VLOOKUP($A363,Seqs!$A:$B,2,FALSE),VLOOKUP($A363,'SegEnds_NonXtal_Prot#'!A:AL,10,FALSE)+9,1)</f>
        <v>G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C</v>
      </c>
      <c r="AD363" s="49" t="str">
        <f>MID(VLOOKUP($A363,Seqs!$A:$B,2,FALSE),VLOOKUP($A363,'SegEnds_NonXtal_Prot#'!$A:$AL,22,FALSE)+8,1)</f>
        <v>L</v>
      </c>
      <c r="AE363" s="49" t="str">
        <f>MID(VLOOKUP($A363,Seqs!$A:$B,2,FALSE),VLOOKUP($A363,'SegEnds_NonXtal_Prot#'!$A:$AL,22,FALSE)+9,1)</f>
        <v>T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123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1320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V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P</v>
      </c>
      <c r="Z364" s="49" t="str">
        <f>MID(VLOOKUP($A364,Seqs!$A:$B,2,FALSE),VLOOKUP($A364,'SegEnds_NonXtal_Prot#'!A:AL,10,FALSE)+9,1)</f>
        <v>V</v>
      </c>
      <c r="AA364" s="49" t="str">
        <f>MID(VLOOKUP($A364,Seqs!$A:$B,2,FALSE),VLOOKUP($A364,'SegEnds_NonXtal_Prot#'!A:AL,10,FALSE)+10,1)</f>
        <v>Y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I</v>
      </c>
      <c r="AF364" s="49" t="str">
        <f>MID(VLOOKUP($A364,Seqs!$A:$B,2,FALSE),VLOOKUP($A364,'SegEnds_NonXtal_Prot#'!$A:$AL,22,FALSE)+10,1)</f>
        <v>G</v>
      </c>
      <c r="AG364" s="28" t="str">
        <f>MID(VLOOKUP($A364,Seqs!$A:$B,2,FALSE),VLOOKUP($A364,'SegEnds_NonXtal_Prot#'!$A:$AL,28,FALSE)-4,1)</f>
        <v>L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124</v>
      </c>
      <c r="B365" s="2" t="str">
        <f>LOWER(VLOOKUP(A365,Xtal_Templ!A:B,2,FALSE))</f>
        <v>grm1_human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1320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V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L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T</v>
      </c>
      <c r="AE365" s="49" t="str">
        <f>MID(VLOOKUP($A365,Seqs!$A:$B,2,FALSE),VLOOKUP($A365,'SegEnds_NonXtal_Prot#'!$A:$AL,22,FALSE)+9,1)</f>
        <v>W</v>
      </c>
      <c r="AF365" s="49" t="str">
        <f>MID(VLOOKUP($A365,Seqs!$A:$B,2,FALSE),VLOOKUP($A365,'SegEnds_NonXtal_Prot#'!$A:$AL,22,FALSE)+10,1)</f>
        <v>Y</v>
      </c>
      <c r="AG365" s="28" t="str">
        <f>MID(VLOOKUP($A365,Seqs!$A:$B,2,FALSE),VLOOKUP($A365,'SegEnds_NonXtal_Prot#'!$A:$AL,28,FALSE)-4,1)</f>
        <v>T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105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1320</v>
      </c>
      <c r="V366" s="28" t="str">
        <f>MID(VLOOKUP($A366,Seqs!$A:$B,2,FALSE),VLOOKUP($A366,'SegEnds_NonXtal_Prot#'!A:AL,10,FALSE),1)</f>
        <v>L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S</v>
      </c>
      <c r="Y366" s="49" t="str">
        <f>MID(VLOOKUP($A366,Seqs!$A:$B,2,FALSE),VLOOKUP($A366,'SegEnds_NonXtal_Prot#'!A:AL,10,FALSE)+8,1)</f>
        <v>L</v>
      </c>
      <c r="Z366" s="49" t="str">
        <f>MID(VLOOKUP($A366,Seqs!$A:$B,2,FALSE),VLOOKUP($A366,'SegEnds_NonXtal_Prot#'!A:AL,10,FALSE)+9,1)</f>
        <v>F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C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I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107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1320</v>
      </c>
      <c r="V367" s="28" t="str">
        <f>MID(VLOOKUP($A367,Seqs!$A:$B,2,FALSE),VLOOKUP($A367,'SegEnds_NonXtal_Prot#'!A:AL,10,FALSE),1)</f>
        <v>G</v>
      </c>
      <c r="W367" s="49" t="str">
        <f>MID(VLOOKUP($A367,Seqs!$A:$B,2,FALSE),VLOOKUP($A367,'SegEnds_NonXtal_Prot#'!A:AL,10,FALSE)+6,1)</f>
        <v>S</v>
      </c>
      <c r="X367" s="49" t="str">
        <f>MID(VLOOKUP($A367,Seqs!$A:$B,2,FALSE),VLOOKUP($A367,'SegEnds_NonXtal_Prot#'!A:AL,10,FALSE)+7,1)</f>
        <v>I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L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C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115</v>
      </c>
      <c r="B368" s="2" t="str">
        <f>LOWER(VLOOKUP(A368,Xtal_Templ!A:B,2,FALSE))</f>
        <v>grm1_human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1320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I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I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V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116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1320</v>
      </c>
      <c r="V369" s="28" t="str">
        <f>MID(VLOOKUP($A369,Seqs!$A:$B,2,FALSE),VLOOKUP($A369,'SegEnds_NonXtal_Prot#'!A:AL,10,FALSE),1)</f>
        <v>V</v>
      </c>
      <c r="W369" s="49" t="str">
        <f>MID(VLOOKUP($A369,Seqs!$A:$B,2,FALSE),VLOOKUP($A369,'SegEnds_NonXtal_Prot#'!A:AL,10,FALSE)+6,1)</f>
        <v>M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F</v>
      </c>
      <c r="AA369" s="49" t="str">
        <f>MID(VLOOKUP($A369,Seqs!$A:$B,2,FALSE),VLOOKUP($A369,'SegEnds_NonXtal_Prot#'!A:AL,10,FALSE)+10,1)</f>
        <v>F</v>
      </c>
      <c r="AB369" s="28" t="str">
        <f>MID(VLOOKUP($A369,Seqs!$A:$B,2,FALSE),VLOOKUP($A369,'SegEnds_NonXtal_Prot#'!$A:$AL,22,FALSE)+6,1)</f>
        <v>M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S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117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1320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T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C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41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Xtal</v>
      </c>
      <c r="H371" s="4"/>
      <c r="U371" s="2" t="s">
        <v>1320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C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C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I</v>
      </c>
      <c r="AC371" s="49" t="str">
        <f>MID(VLOOKUP($A371,Seqs!$A:$B,2,FALSE),VLOOKUP($A371,'SegEnds_NonXtal_Prot#'!$A:$AL,22,FALSE)+7,1)</f>
        <v>I</v>
      </c>
      <c r="AD371" s="49" t="str">
        <f>MID(VLOOKUP($A371,Seqs!$A:$B,2,FALSE),VLOOKUP($A371,'SegEnds_NonXtal_Prot#'!$A:$AL,22,FALSE)+8,1)</f>
        <v>V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L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x14ac:dyDescent="0.2">
      <c r="A372" s="2" t="s">
        <v>118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1320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M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A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ht="17" customHeight="1" x14ac:dyDescent="0.2">
      <c r="A373" s="2" t="s">
        <v>119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1320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120</v>
      </c>
      <c r="B374" s="2" t="str">
        <f>LOWER(VLOOKUP(A374,Xtal_Templ!A:B,2,FALSE))</f>
        <v>grm5_human</v>
      </c>
      <c r="C374" s="2" t="str">
        <f>VLOOKUP(A374,Classification!A:D,2,FALSE)</f>
        <v>C</v>
      </c>
      <c r="D374" s="2" t="str">
        <f>IF(ISERROR(MATCH(A374,'SegEnds_Xtal_Prot#'!B:B, 0)), "NoXtal", "Xtal")</f>
        <v>NoXtal</v>
      </c>
      <c r="H374" s="4"/>
      <c r="U374" s="2" t="s">
        <v>1320</v>
      </c>
      <c r="V374" s="28" t="str">
        <f>MID(VLOOKUP($A374,Seqs!$A:$B,2,FALSE),VLOOKUP($A374,'SegEnds_NonXtal_Prot#'!A:AL,10,FALSE),1)</f>
        <v>I</v>
      </c>
      <c r="W374" s="49" t="str">
        <f>MID(VLOOKUP($A374,Seqs!$A:$B,2,FALSE),VLOOKUP($A374,'SegEnds_NonXtal_Prot#'!A:AL,10,FALSE)+6,1)</f>
        <v>I</v>
      </c>
      <c r="X374" s="49" t="str">
        <f>MID(VLOOKUP($A374,Seqs!$A:$B,2,FALSE),VLOOKUP($A374,'SegEnds_NonXtal_Prot#'!A:AL,10,FALSE)+7,1)</f>
        <v>T</v>
      </c>
      <c r="Y374" s="49" t="str">
        <f>MID(VLOOKUP($A374,Seqs!$A:$B,2,FALSE),VLOOKUP($A374,'SegEnds_NonXtal_Prot#'!A:AL,10,FALSE)+8,1)</f>
        <v>F</v>
      </c>
      <c r="Z374" s="49" t="str">
        <f>MID(VLOOKUP($A374,Seqs!$A:$B,2,FALSE),VLOOKUP($A374,'SegEnds_NonXtal_Prot#'!A:AL,10,FALSE)+9,1)</f>
        <v>L</v>
      </c>
      <c r="AA374" s="49" t="str">
        <f>MID(VLOOKUP($A374,Seqs!$A:$B,2,FALSE),VLOOKUP($A374,'SegEnds_NonXtal_Prot#'!A:AL,10,FALSE)+10,1)</f>
        <v>M</v>
      </c>
      <c r="AB374" s="28" t="str">
        <f>MID(VLOOKUP($A374,Seqs!$A:$B,2,FALSE),VLOOKUP($A374,'SegEnds_NonXtal_Prot#'!$A:$AL,22,FALSE)+6,1)</f>
        <v>G</v>
      </c>
      <c r="AC374" s="49" t="str">
        <f>MID(VLOOKUP($A374,Seqs!$A:$B,2,FALSE),VLOOKUP($A374,'SegEnds_NonXtal_Prot#'!$A:$AL,22,FALSE)+7,1)</f>
        <v>V</v>
      </c>
      <c r="AD374" s="49" t="str">
        <f>MID(VLOOKUP($A374,Seqs!$A:$B,2,FALSE),VLOOKUP($A374,'SegEnds_NonXtal_Prot#'!$A:$AL,22,FALSE)+8,1)</f>
        <v>F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W</v>
      </c>
      <c r="AG374" s="28" t="str">
        <f>MID(VLOOKUP($A374,Seqs!$A:$B,2,FALSE),VLOOKUP($A374,'SegEnds_NonXtal_Prot#'!$A:$AL,28,FALSE)-4,1)</f>
        <v>Y</v>
      </c>
      <c r="AH374" s="49" t="str">
        <f>MID(VLOOKUP($A374,Seqs!$A:$B,2,FALSE),VLOOKUP($A374,'SegEnds_NonXtal_Prot#'!$A:$AL,28,FALSE),1)</f>
        <v>L</v>
      </c>
    </row>
    <row r="375" spans="1:34" s="2" customFormat="1" x14ac:dyDescent="0.2">
      <c r="A375" s="2" t="s">
        <v>442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1319</v>
      </c>
      <c r="V375" s="28" t="str">
        <f>MID(VLOOKUP($A375,Seqs!$A:$B,2,FALSE),VLOOKUP($A375,'SegEnds_NonXtal_Prot#'!A:AL,10,FALSE),1)</f>
        <v>G</v>
      </c>
      <c r="W375" s="49" t="str">
        <f>MID(VLOOKUP($A375,Seqs!$A:$B,2,FALSE),VLOOKUP($A375,'SegEnds_NonXtal_Prot#'!A:AL,10,FALSE)+6,1)</f>
        <v>A</v>
      </c>
      <c r="X375" s="49" t="str">
        <f>MID(VLOOKUP($A375,Seqs!$A:$B,2,FALSE),VLOOKUP($A375,'SegEnds_NonXtal_Prot#'!A:AL,10,FALSE)+7,1)</f>
        <v>V</v>
      </c>
      <c r="Y375" s="49" t="str">
        <f>MID(VLOOKUP($A375,Seqs!$A:$B,2,FALSE),VLOOKUP($A375,'SegEnds_NonXtal_Prot#'!A:AL,10,FALSE)+8,1)</f>
        <v>A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I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443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1319</v>
      </c>
      <c r="V376" s="28" t="str">
        <f>MID(VLOOKUP($A376,Seqs!$A:$B,2,FALSE),VLOOKUP($A376,'SegEnds_NonXtal_Prot#'!A:AL,10,FALSE),1)</f>
        <v>M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G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L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L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444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I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445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1319</v>
      </c>
      <c r="V378" s="28" t="str">
        <f>MID(VLOOKUP($A378,Seqs!$A:$B,2,FALSE),VLOOKUP($A378,'SegEnds_NonXtal_Prot#'!A:AL,10,FALSE),1)</f>
        <v>V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L</v>
      </c>
      <c r="Y378" s="49" t="str">
        <f>MID(VLOOKUP($A378,Seqs!$A:$B,2,FALSE),VLOOKUP($A378,'SegEnds_NonXtal_Prot#'!A:AL,10,FALSE)+8,1)</f>
        <v>I</v>
      </c>
      <c r="Z378" s="49" t="str">
        <f>MID(VLOOKUP($A378,Seqs!$A:$B,2,FALSE),VLOOKUP($A378,'SegEnds_NonXtal_Prot#'!A:AL,10,FALSE)+9,1)</f>
        <v>F</v>
      </c>
      <c r="AA378" s="49" t="str">
        <f>MID(VLOOKUP($A378,Seqs!$A:$B,2,FALSE),VLOOKUP($A378,'SegEnds_NonXtal_Prot#'!A:AL,10,FALSE)+10,1)</f>
        <v>F</v>
      </c>
      <c r="AB378" s="28" t="str">
        <f>MID(VLOOKUP($A378,Seqs!$A:$B,2,FALSE),VLOOKUP($A378,'SegEnds_NonXtal_Prot#'!$A:$AL,22,FALSE)+6,1)</f>
        <v>L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I</v>
      </c>
      <c r="AF378" s="49" t="str">
        <f>MID(VLOOKUP($A378,Seqs!$A:$B,2,FALSE),VLOOKUP($A378,'SegEnds_NonXtal_Prot#'!$A:$AL,22,FALSE)+10,1)</f>
        <v>L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446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1319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I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Y</v>
      </c>
      <c r="AA379" s="49" t="str">
        <f>MID(VLOOKUP($A379,Seqs!$A:$B,2,FALSE),VLOOKUP($A379,'SegEnds_NonXtal_Prot#'!A:AL,10,FALSE)+10,1)</f>
        <v>I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447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1319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F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S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T</v>
      </c>
      <c r="AF380" s="49" t="str">
        <f>MID(VLOOKUP($A380,Seqs!$A:$B,2,FALSE),VLOOKUP($A380,'SegEnds_NonXtal_Prot#'!$A:$AL,22,FALSE)+10,1)</f>
        <v>A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448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1319</v>
      </c>
      <c r="V381" s="28" t="str">
        <f>MID(VLOOKUP($A381,Seqs!$A:$B,2,FALSE),VLOOKUP($A381,'SegEnds_NonXtal_Prot#'!A:AL,10,FALSE),1)</f>
        <v>V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L</v>
      </c>
      <c r="Y381" s="49" t="str">
        <f>MID(VLOOKUP($A381,Seqs!$A:$B,2,FALSE),VLOOKUP($A381,'SegEnds_NonXtal_Prot#'!A:AL,10,FALSE)+8,1)</f>
        <v>M</v>
      </c>
      <c r="Z381" s="49" t="str">
        <f>MID(VLOOKUP($A381,Seqs!$A:$B,2,FALSE),VLOOKUP($A381,'SegEnds_NonXtal_Prot#'!A:AL,10,FALSE)+9,1)</f>
        <v>Y</v>
      </c>
      <c r="AA381" s="49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M</v>
      </c>
      <c r="AF381" s="49" t="str">
        <f>MID(VLOOKUP($A381,Seqs!$A:$B,2,FALSE),VLOOKUP($A381,'SegEnds_NonXtal_Prot#'!$A:$AL,22,FALSE)+10,1)</f>
        <v>L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C</v>
      </c>
    </row>
    <row r="382" spans="1:34" s="2" customFormat="1" x14ac:dyDescent="0.2">
      <c r="A382" s="2" t="s">
        <v>449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1319</v>
      </c>
      <c r="V382" s="28" t="str">
        <f>MID(VLOOKUP($A382,Seqs!$A:$B,2,FALSE),VLOOKUP($A382,'SegEnds_NonXtal_Prot#'!A:AL,10,FALSE),1)</f>
        <v>G</v>
      </c>
      <c r="W382" s="49" t="str">
        <f>MID(VLOOKUP($A382,Seqs!$A:$B,2,FALSE),VLOOKUP($A382,'SegEnds_NonXtal_Prot#'!A:AL,10,FALSE)+6,1)</f>
        <v>A</v>
      </c>
      <c r="X382" s="49" t="str">
        <f>MID(VLOOKUP($A382,Seqs!$A:$B,2,FALSE),VLOOKUP($A382,'SegEnds_NonXtal_Prot#'!A:AL,10,FALSE)+7,1)</f>
        <v>V</v>
      </c>
      <c r="Y382" s="49" t="str">
        <f>MID(VLOOKUP($A382,Seqs!$A:$B,2,FALSE),VLOOKUP($A382,'SegEnds_NonXtal_Prot#'!A:AL,10,FALSE)+8,1)</f>
        <v>A</v>
      </c>
      <c r="Z382" s="49" t="str">
        <f>MID(VLOOKUP($A382,Seqs!$A:$B,2,FALSE),VLOOKUP($A382,'SegEnds_NonXtal_Prot#'!A:AL,10,FALSE)+9,1)</f>
        <v>H</v>
      </c>
      <c r="AA382" s="49" t="str">
        <f>MID(VLOOKUP($A382,Seqs!$A:$B,2,FALSE),VLOOKUP($A382,'SegEnds_NonXtal_Prot#'!A:AL,10,FALSE)+10,1)</f>
        <v>V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T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450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1319</v>
      </c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V</v>
      </c>
      <c r="Y383" s="49" t="str">
        <f>MID(VLOOKUP($A383,Seqs!$A:$B,2,FALSE),VLOOKUP($A383,'SegEnds_NonXtal_Prot#'!A:AL,10,FALSE)+8,1)</f>
        <v>G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S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V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451</v>
      </c>
      <c r="B384" s="2" t="str">
        <f>LOWER(VLOOKUP(A384,Xtal_Templ!A:B,2,FALSE))</f>
        <v>fzd4_human</v>
      </c>
      <c r="C384" s="2" t="str">
        <f>VLOOKUP(A384,Classification!A:D,2,FALSE)</f>
        <v>F</v>
      </c>
      <c r="D384" s="2" t="str">
        <f>IF(ISERROR(MATCH(A384,'SegEnds_Xtal_Prot#'!B:B, 0)), "NoXtal", "Xtal")</f>
        <v>NoXtal</v>
      </c>
      <c r="H384" s="4"/>
      <c r="P384" s="2" t="s">
        <v>1319</v>
      </c>
      <c r="V384" s="28" t="str">
        <f>MID(VLOOKUP($A384,Seqs!$A:$B,2,FALSE),VLOOKUP($A384,'SegEnds_NonXtal_Prot#'!A:AL,10,FALSE),1)</f>
        <v>M</v>
      </c>
      <c r="W384" s="49" t="str">
        <f>MID(VLOOKUP($A384,Seqs!$A:$B,2,FALSE),VLOOKUP($A384,'SegEnds_NonXtal_Prot#'!A:AL,10,FALSE)+6,1)</f>
        <v>S</v>
      </c>
      <c r="X384" s="49" t="str">
        <f>MID(VLOOKUP($A384,Seqs!$A:$B,2,FALSE),VLOOKUP($A384,'SegEnds_NonXtal_Prot#'!A:AL,10,FALSE)+7,1)</f>
        <v>L</v>
      </c>
      <c r="Y384" s="49" t="str">
        <f>MID(VLOOKUP($A384,Seqs!$A:$B,2,FALSE),VLOOKUP($A384,'SegEnds_NonXtal_Prot#'!A:AL,10,FALSE)+8,1)</f>
        <v>A</v>
      </c>
      <c r="Z384" s="49" t="str">
        <f>MID(VLOOKUP($A384,Seqs!$A:$B,2,FALSE),VLOOKUP($A384,'SegEnds_NonXtal_Prot#'!A:AL,10,FALSE)+9,1)</f>
        <v>F</v>
      </c>
      <c r="AA384" s="49" t="str">
        <f>MID(VLOOKUP($A384,Seqs!$A:$B,2,FALSE),VLOOKUP($A384,'SegEnds_NonXtal_Prot#'!A:AL,10,FALSE)+10,1)</f>
        <v>L</v>
      </c>
      <c r="AB384" s="28" t="str">
        <f>MID(VLOOKUP($A384,Seqs!$A:$B,2,FALSE),VLOOKUP($A384,'SegEnds_NonXtal_Prot#'!$A:$AL,22,FALSE)+6,1)</f>
        <v>K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I</v>
      </c>
      <c r="AE384" s="49" t="str">
        <f>MID(VLOOKUP($A384,Seqs!$A:$B,2,FALSE),VLOOKUP($A384,'SegEnds_NonXtal_Prot#'!$A:$AL,22,FALSE)+9,1)</f>
        <v>V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Y</v>
      </c>
    </row>
    <row r="385" spans="1:34" s="2" customFormat="1" x14ac:dyDescent="0.2">
      <c r="A385" s="2" t="s">
        <v>33</v>
      </c>
      <c r="B385" s="2" t="str">
        <f>LOWER(VLOOKUP(A385,Xtal_Templ!A:B,2,FALSE))</f>
        <v>smo_human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1319</v>
      </c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I</v>
      </c>
      <c r="Y385" s="49" t="str">
        <f>MID(VLOOKUP($A385,Seqs!$A:$B,2,FALSE),VLOOKUP($A385,'SegEnds_NonXtal_Prot#'!A:AL,10,FALSE)+8,1)</f>
        <v>G</v>
      </c>
      <c r="Z385" s="49" t="str">
        <f>MID(VLOOKUP($A385,Seqs!$A:$B,2,FALSE),VLOOKUP($A385,'SegEnds_NonXtal_Prot#'!A:AL,10,FALSE)+9,1)</f>
        <v>W</v>
      </c>
      <c r="AA385" s="49" t="str">
        <f>MID(VLOOKUP($A385,Seqs!$A:$B,2,FALSE),VLOOKUP($A385,'SegEnds_NonXtal_Prot#'!A:AL,10,FALSE)+10,1)</f>
        <v>L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1590</v>
      </c>
      <c r="B386" s="2" t="str">
        <f>LOWER(VLOOKUP(A386,Xtal_Templ!A:B,2,FALSE))</f>
        <v>smo_mouse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1319</v>
      </c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S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G</v>
      </c>
      <c r="Z386" s="49" t="str">
        <f>MID(VLOOKUP($A386,Seqs!$A:$B,2,FALSE),VLOOKUP($A386,'SegEnds_NonXtal_Prot#'!A:AL,10,FALSE)+9,1)</f>
        <v>W</v>
      </c>
      <c r="AA386" s="49" t="str">
        <f>MID(VLOOKUP($A386,Seqs!$A:$B,2,FALSE),VLOOKUP($A386,'SegEnds_NonXtal_Prot#'!A:AL,10,FALSE)+10,1)</f>
        <v>L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1491</v>
      </c>
      <c r="B387" s="2" t="str">
        <f>LOWER(VLOOKUP(A387,Xtal_Templ!A:B,2,FALSE))</f>
        <v>q98sw5_xenla</v>
      </c>
      <c r="C387" s="2" t="str">
        <f>VLOOKUP(A387,Classification!A:D,2,FALSE)</f>
        <v>F</v>
      </c>
      <c r="D387" s="2" t="str">
        <f>IF(ISERROR(MATCH(A387,'SegEnds_Xtal_Prot#'!B:B, 0)), "NoXtal", "Xtal")</f>
        <v>Xtal</v>
      </c>
      <c r="H387" s="4"/>
      <c r="P387" s="2" t="s">
        <v>1319</v>
      </c>
      <c r="V387" s="28" t="str">
        <f>MID(VLOOKUP($A387,Seqs!$A:$B,2,FALSE),VLOOKUP($A387,'SegEnds_NonXtal_Prot#'!A:AL,10,FALSE),1)</f>
        <v>A</v>
      </c>
      <c r="W387" s="49" t="str">
        <f>MID(VLOOKUP($A387,Seqs!$A:$B,2,FALSE),VLOOKUP($A387,'SegEnds_NonXtal_Prot#'!A:AL,10,FALSE)+6,1)</f>
        <v>S</v>
      </c>
      <c r="X387" s="49" t="str">
        <f>MID(VLOOKUP($A387,Seqs!$A:$B,2,FALSE),VLOOKUP($A387,'SegEnds_NonXtal_Prot#'!A:AL,10,FALSE)+7,1)</f>
        <v>I</v>
      </c>
      <c r="Y387" s="49" t="str">
        <f>MID(VLOOKUP($A387,Seqs!$A:$B,2,FALSE),VLOOKUP($A387,'SegEnds_NonXtal_Prot#'!A:AL,10,FALSE)+8,1)</f>
        <v>G</v>
      </c>
      <c r="Z387" s="49" t="str">
        <f>MID(VLOOKUP($A387,Seqs!$A:$B,2,FALSE),VLOOKUP($A387,'SegEnds_NonXtal_Prot#'!A:AL,10,FALSE)+9,1)</f>
        <v>W</v>
      </c>
      <c r="AA387" s="49" t="str">
        <f>MID(VLOOKUP($A387,Seqs!$A:$B,2,FALSE),VLOOKUP($A387,'SegEnds_NonXtal_Prot#'!A:AL,10,FALSE)+10,1)</f>
        <v>L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T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A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P</v>
      </c>
      <c r="AH387" s="49" t="str">
        <f>MID(VLOOKUP($A387,Seqs!$A:$B,2,FALSE),VLOOKUP($A387,'SegEnds_NonXtal_Prot#'!$A:$AL,28,FALSE),1)</f>
        <v>V</v>
      </c>
    </row>
    <row r="388" spans="1:34" s="2" customFormat="1" x14ac:dyDescent="0.2">
      <c r="A388" s="2" t="s">
        <v>481</v>
      </c>
      <c r="B388" s="2" t="str">
        <f>LOWER(VLOOKUP(A388,Xtal_Templ!A:B,2,FALSE))</f>
        <v>aa2ar_human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D</v>
      </c>
      <c r="W388" s="49" t="str">
        <f>MID(VLOOKUP($A388,Seqs!$A:$B,2,FALSE),VLOOKUP($A388,'SegEnds_NonXtal_Prot#'!A:AL,10,FALSE)+6,1)</f>
        <v>G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V</v>
      </c>
      <c r="Z388" s="49" t="str">
        <f>MID(VLOOKUP($A388,Seqs!$A:$B,2,FALSE),VLOOKUP($A388,'SegEnds_NonXtal_Prot#'!A:AL,10,FALSE)+9,1)</f>
        <v>I</v>
      </c>
      <c r="AA388" s="49" t="str">
        <f>MID(VLOOKUP($A388,Seqs!$A:$B,2,FALSE),VLOOKUP($A388,'SegEnds_NonXtal_Prot#'!A:AL,10,FALSE)+10,1)</f>
        <v>R</v>
      </c>
      <c r="AB388" s="28" t="str">
        <f>MID(VLOOKUP($A388,Seqs!$A:$B,2,FALSE),VLOOKUP($A388,'SegEnds_NonXtal_Prot#'!$A:$AL,22,FALSE)+6,1)</f>
        <v>L</v>
      </c>
      <c r="AC388" s="49" t="str">
        <f>MID(VLOOKUP($A388,Seqs!$A:$B,2,FALSE),VLOOKUP($A388,'SegEnds_NonXtal_Prot#'!$A:$AL,22,FALSE)+7,1)</f>
        <v>C</v>
      </c>
      <c r="AD388" s="49" t="str">
        <f>MID(VLOOKUP($A388,Seqs!$A:$B,2,FALSE),VLOOKUP($A388,'SegEnds_NonXtal_Prot#'!$A:$AL,22,FALSE)+8,1)</f>
        <v>V</v>
      </c>
      <c r="AE388" s="49" t="str">
        <f>MID(VLOOKUP($A388,Seqs!$A:$B,2,FALSE),VLOOKUP($A388,'SegEnds_NonXtal_Prot#'!$A:$AL,22,FALSE)+9,1)</f>
        <v>E</v>
      </c>
      <c r="AF388" s="49" t="str">
        <f>MID(VLOOKUP($A388,Seqs!$A:$B,2,FALSE),VLOOKUP($A388,'SegEnds_NonXtal_Prot#'!$A:$AL,22,FALSE)+10,1)</f>
        <v>G</v>
      </c>
      <c r="AG388" s="28" t="str">
        <f>MID(VLOOKUP($A388,Seqs!$A:$B,2,FALSE),VLOOKUP($A388,'SegEnds_NonXtal_Prot#'!$A:$AL,28,FALSE)-4,1)</f>
        <v>T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477</v>
      </c>
      <c r="B389" s="2" t="str">
        <f>LOWER(VLOOKUP(A389,Xtal_Templ!A:B,2,FALSE))</f>
        <v>fpr2_human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F</v>
      </c>
      <c r="X389" s="49" t="str">
        <f>MID(VLOOKUP($A389,Seqs!$A:$B,2,FALSE),VLOOKUP($A389,'SegEnds_NonXtal_Prot#'!A:AL,10,FALSE)+7,1)</f>
        <v>S</v>
      </c>
      <c r="Y389" s="49" t="str">
        <f>MID(VLOOKUP($A389,Seqs!$A:$B,2,FALSE),VLOOKUP($A389,'SegEnds_NonXtal_Prot#'!A:AL,10,FALSE)+8,1)</f>
        <v>F</v>
      </c>
      <c r="Z389" s="49" t="str">
        <f>MID(VLOOKUP($A389,Seqs!$A:$B,2,FALSE),VLOOKUP($A389,'SegEnds_NonXtal_Prot#'!A:AL,10,FALSE)+9,1)</f>
        <v>Y</v>
      </c>
      <c r="AA389" s="49" t="str">
        <f>MID(VLOOKUP($A389,Seqs!$A:$B,2,FALSE),VLOOKUP($A389,'SegEnds_NonXtal_Prot#'!A:AL,10,FALSE)+10,1)</f>
        <v>F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A</v>
      </c>
      <c r="AD389" s="49" t="str">
        <f>MID(VLOOKUP($A389,Seqs!$A:$B,2,FALSE),VLOOKUP($A389,'SegEnds_NonXtal_Prot#'!$A:$AL,22,FALSE)+8,1)</f>
        <v>C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L</v>
      </c>
      <c r="AH389" s="49" t="str">
        <f>MID(VLOOKUP($A389,Seqs!$A:$B,2,FALSE),VLOOKUP($A389,'SegEnds_NonXtal_Prot#'!$A:$AL,28,FALSE),1)</f>
        <v>L</v>
      </c>
    </row>
    <row r="390" spans="1:34" s="2" customFormat="1" x14ac:dyDescent="0.2">
      <c r="A390" s="2" t="s">
        <v>480</v>
      </c>
      <c r="B390" s="2" t="str">
        <f>LOWER(VLOOKUP(A390,Xtal_Templ!A:B,2,FALSE))</f>
        <v>pe2r4_human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A</v>
      </c>
      <c r="W390" s="49" t="str">
        <f>MID(VLOOKUP($A390,Seqs!$A:$B,2,FALSE),VLOOKUP($A390,'SegEnds_NonXtal_Prot#'!A:AL,10,FALSE)+6,1)</f>
        <v>M</v>
      </c>
      <c r="X390" s="49" t="str">
        <f>MID(VLOOKUP($A390,Seqs!$A:$B,2,FALSE),VLOOKUP($A390,'SegEnds_NonXtal_Prot#'!A:AL,10,FALSE)+7,1)</f>
        <v>T</v>
      </c>
      <c r="Y390" s="49" t="str">
        <f>MID(VLOOKUP($A390,Seqs!$A:$B,2,FALSE),VLOOKUP($A390,'SegEnds_NonXtal_Prot#'!A:AL,10,FALSE)+8,1)</f>
        <v>V</v>
      </c>
      <c r="Z390" s="49" t="str">
        <f>MID(VLOOKUP($A390,Seqs!$A:$B,2,FALSE),VLOOKUP($A390,'SegEnds_NonXtal_Prot#'!A:AL,10,FALSE)+9,1)</f>
        <v>S</v>
      </c>
      <c r="AA390" s="49" t="str">
        <f>MID(VLOOKUP($A390,Seqs!$A:$B,2,FALSE),VLOOKUP($A390,'SegEnds_NonXtal_Prot#'!A:AL,10,FALSE)+10,1)</f>
        <v>T</v>
      </c>
      <c r="AB390" s="28" t="str">
        <f>MID(VLOOKUP($A390,Seqs!$A:$B,2,FALSE),VLOOKUP($A390,'SegEnds_NonXtal_Prot#'!$A:$AL,22,FALSE)+6,1)</f>
        <v>L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A</v>
      </c>
      <c r="AE390" s="49" t="str">
        <f>MID(VLOOKUP($A390,Seqs!$A:$B,2,FALSE),VLOOKUP($A390,'SegEnds_NonXtal_Prot#'!$A:$AL,22,FALSE)+9,1)</f>
        <v>E</v>
      </c>
      <c r="AF390" s="49" t="str">
        <f>MID(VLOOKUP($A390,Seqs!$A:$B,2,FALSE),VLOOKUP($A390,'SegEnds_NonXtal_Prot#'!$A:$AL,22,FALSE)+10,1)</f>
        <v>D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S</v>
      </c>
    </row>
    <row r="391" spans="1:34" s="2" customFormat="1" x14ac:dyDescent="0.2">
      <c r="A391" s="2" t="s">
        <v>482</v>
      </c>
      <c r="B391" s="2" t="str">
        <f>LOWER(VLOOKUP(A391,Xtal_Templ!A:B,2,FALSE))</f>
        <v>5ht2c_human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D</v>
      </c>
      <c r="W391" s="49" t="str">
        <f>MID(VLOOKUP($A391,Seqs!$A:$B,2,FALSE),VLOOKUP($A391,'SegEnds_NonXtal_Prot#'!A:AL,10,FALSE)+6,1)</f>
        <v>S</v>
      </c>
      <c r="X391" s="49" t="str">
        <f>MID(VLOOKUP($A391,Seqs!$A:$B,2,FALSE),VLOOKUP($A391,'SegEnds_NonXtal_Prot#'!A:AL,10,FALSE)+7,1)</f>
        <v>Y</v>
      </c>
      <c r="Y391" s="49" t="str">
        <f>MID(VLOOKUP($A391,Seqs!$A:$B,2,FALSE),VLOOKUP($A391,'SegEnds_NonXtal_Prot#'!A:AL,10,FALSE)+8,1)</f>
        <v>F</v>
      </c>
      <c r="Z391" s="49" t="str">
        <f>MID(VLOOKUP($A391,Seqs!$A:$B,2,FALSE),VLOOKUP($A391,'SegEnds_NonXtal_Prot#'!A:AL,10,FALSE)+9,1)</f>
        <v>Y</v>
      </c>
      <c r="AA391" s="49" t="str">
        <f>MID(VLOOKUP($A391,Seqs!$A:$B,2,FALSE),VLOOKUP($A391,'SegEnds_NonXtal_Prot#'!A:AL,10,FALSE)+10,1)</f>
        <v>G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L</v>
      </c>
      <c r="AD391" s="49" t="str">
        <f>MID(VLOOKUP($A391,Seqs!$A:$B,2,FALSE),VLOOKUP($A391,'SegEnds_NonXtal_Prot#'!$A:$AL,22,FALSE)+8,1)</f>
        <v>K</v>
      </c>
      <c r="AE391" s="49" t="str">
        <f>MID(VLOOKUP($A391,Seqs!$A:$B,2,FALSE),VLOOKUP($A391,'SegEnds_NonXtal_Prot#'!$A:$AL,22,FALSE)+9,1)</f>
        <v>K</v>
      </c>
      <c r="AF391" s="49" t="str">
        <f>MID(VLOOKUP($A391,Seqs!$A:$B,2,FALSE),VLOOKUP($A391,'SegEnds_NonXtal_Prot#'!$A:$AL,22,FALSE)+10,1)</f>
        <v>I</v>
      </c>
      <c r="AG391" s="28" t="str">
        <f>MID(VLOOKUP($A391,Seqs!$A:$B,2,FALSE),VLOOKUP($A391,'SegEnds_NonXtal_Prot#'!$A:$AL,28,FALSE)-4,1)</f>
        <v>D</v>
      </c>
      <c r="AH391" s="49" t="str">
        <f>MID(VLOOKUP($A391,Seqs!$A:$B,2,FALSE),VLOOKUP($A391,'SegEnds_NonXtal_Prot#'!$A:$AL,28,FALSE),1)</f>
        <v>K</v>
      </c>
    </row>
    <row r="392" spans="1:34" s="2" customFormat="1" x14ac:dyDescent="0.2">
      <c r="A392" s="2" t="s">
        <v>478</v>
      </c>
      <c r="B392" s="2" t="str">
        <f>LOWER(VLOOKUP(A392,Xtal_Templ!A:B,2,FALSE))</f>
        <v>ccr9_human</v>
      </c>
      <c r="C392" s="2" t="str">
        <f>VLOOKUP(A392,Classification!A:D,2,FALSE)</f>
        <v>O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W</v>
      </c>
      <c r="W392" s="49" t="str">
        <f>MID(VLOOKUP($A392,Seqs!$A:$B,2,FALSE),VLOOKUP($A392,'SegEnds_NonXtal_Prot#'!A:AL,10,FALSE)+6,1)</f>
        <v>K</v>
      </c>
      <c r="X392" s="49" t="str">
        <f>MID(VLOOKUP($A392,Seqs!$A:$B,2,FALSE),VLOOKUP($A392,'SegEnds_NonXtal_Prot#'!A:AL,10,FALSE)+7,1)</f>
        <v>R</v>
      </c>
      <c r="Y392" s="49" t="str">
        <f>MID(VLOOKUP($A392,Seqs!$A:$B,2,FALSE),VLOOKUP($A392,'SegEnds_NonXtal_Prot#'!A:AL,10,FALSE)+8,1)</f>
        <v>R</v>
      </c>
      <c r="Z392" s="49" t="str">
        <f>MID(VLOOKUP($A392,Seqs!$A:$B,2,FALSE),VLOOKUP($A392,'SegEnds_NonXtal_Prot#'!A:AL,10,FALSE)+9,1)</f>
        <v>N</v>
      </c>
      <c r="AA392" s="49" t="str">
        <f>MID(VLOOKUP($A392,Seqs!$A:$B,2,FALSE),VLOOKUP($A392,'SegEnds_NonXtal_Prot#'!A:AL,10,FALSE)+10,1)</f>
        <v>D</v>
      </c>
      <c r="AB392" s="28" t="str">
        <f>MID(VLOOKUP($A392,Seqs!$A:$B,2,FALSE),VLOOKUP($A392,'SegEnds_NonXtal_Prot#'!$A:$AL,22,FALSE)+6,1)</f>
        <v>Y</v>
      </c>
      <c r="AC392" s="49" t="str">
        <f>MID(VLOOKUP($A392,Seqs!$A:$B,2,FALSE),VLOOKUP($A392,'SegEnds_NonXtal_Prot#'!$A:$AL,22,FALSE)+7,1)</f>
        <v>G</v>
      </c>
      <c r="AD392" s="49" t="str">
        <f>MID(VLOOKUP($A392,Seqs!$A:$B,2,FALSE),VLOOKUP($A392,'SegEnds_NonXtal_Prot#'!$A:$AL,22,FALSE)+8,1)</f>
        <v>L</v>
      </c>
      <c r="AE392" s="49" t="str">
        <f>MID(VLOOKUP($A392,Seqs!$A:$B,2,FALSE),VLOOKUP($A392,'SegEnds_NonXtal_Prot#'!$A:$AL,22,FALSE)+9,1)</f>
        <v>W</v>
      </c>
      <c r="AF392" s="49" t="str">
        <f>MID(VLOOKUP($A392,Seqs!$A:$B,2,FALSE),VLOOKUP($A392,'SegEnds_NonXtal_Prot#'!$A:$AL,22,FALSE)+10,1)</f>
        <v>K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468</v>
      </c>
      <c r="B393" s="2" t="str">
        <f>LOWER(VLOOKUP(A393,Xtal_Templ!A:B,2,FALSE))</f>
        <v>oprk_human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V</v>
      </c>
      <c r="Y393" s="49" t="str">
        <f>MID(VLOOKUP($A393,Seqs!$A:$B,2,FALSE),VLOOKUP($A393,'SegEnds_NonXtal_Prot#'!A:AL,10,FALSE)+8,1)</f>
        <v>M</v>
      </c>
      <c r="Z393" s="49" t="str">
        <f>MID(VLOOKUP($A393,Seqs!$A:$B,2,FALSE),VLOOKUP($A393,'SegEnds_NonXtal_Prot#'!A:AL,10,FALSE)+9,1)</f>
        <v>G</v>
      </c>
      <c r="AA393" s="49" t="str">
        <f>MID(VLOOKUP($A393,Seqs!$A:$B,2,FALSE),VLOOKUP($A393,'SegEnds_NonXtal_Prot#'!A:AL,10,FALSE)+10,1)</f>
        <v>K</v>
      </c>
      <c r="AB393" s="28" t="str">
        <f>MID(VLOOKUP($A393,Seqs!$A:$B,2,FALSE),VLOOKUP($A393,'SegEnds_NonXtal_Prot#'!$A:$AL,22,FALSE)+6,1)</f>
        <v>S</v>
      </c>
      <c r="AC393" s="49" t="str">
        <f>MID(VLOOKUP($A393,Seqs!$A:$B,2,FALSE),VLOOKUP($A393,'SegEnds_NonXtal_Prot#'!$A:$AL,22,FALSE)+7,1)</f>
        <v>F</v>
      </c>
      <c r="AD393" s="49" t="str">
        <f>MID(VLOOKUP($A393,Seqs!$A:$B,2,FALSE),VLOOKUP($A393,'SegEnds_NonXtal_Prot#'!$A:$AL,22,FALSE)+8,1)</f>
        <v>T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T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453</v>
      </c>
      <c r="B394" s="2" t="str">
        <f>LOWER(VLOOKUP(A394,Xtal_Templ!A:B,2,FALSE))</f>
        <v>5ht2a_human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E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S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L</v>
      </c>
      <c r="AD394" s="49" t="str">
        <f>MID(VLOOKUP($A394,Seqs!$A:$B,2,FALSE),VLOOKUP($A394,'SegEnds_NonXtal_Prot#'!$A:$AL,22,FALSE)+8,1)</f>
        <v>N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I</v>
      </c>
      <c r="AG394" s="28" t="str">
        <f>MID(VLOOKUP($A394,Seqs!$A:$B,2,FALSE),VLOOKUP($A394,'SegEnds_NonXtal_Prot#'!$A:$AL,28,FALSE)-4,1)</f>
        <v>F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472</v>
      </c>
      <c r="B395" s="2" t="str">
        <f>LOWER(VLOOKUP(A395,Xtal_Templ!A:B,2,FALSE))</f>
        <v>5ht1b_human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F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V</v>
      </c>
      <c r="AA395" s="49" t="str">
        <f>MID(VLOOKUP($A395,Seqs!$A:$B,2,FALSE),VLOOKUP($A395,'SegEnds_NonXtal_Prot#'!A:AL,10,FALSE)+10,1)</f>
        <v>N</v>
      </c>
      <c r="AB395" s="28" t="str">
        <f>MID(VLOOKUP($A395,Seqs!$A:$B,2,FALSE),VLOOKUP($A395,'SegEnds_NonXtal_Prot#'!$A:$AL,22,FALSE)+6,1)</f>
        <v>A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T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C</v>
      </c>
      <c r="AG395" s="28" t="str">
        <f>MID(VLOOKUP($A395,Seqs!$A:$B,2,FALSE),VLOOKUP($A395,'SegEnds_NonXtal_Prot#'!$A:$AL,28,FALSE)-4,1)</f>
        <v>S</v>
      </c>
      <c r="AH395" s="49" t="str">
        <f>MID(VLOOKUP($A395,Seqs!$A:$B,2,FALSE),VLOOKUP($A395,'SegEnds_NonXtal_Prot#'!$A:$AL,28,FALSE),1)</f>
        <v>Q</v>
      </c>
    </row>
    <row r="396" spans="1:34" s="2" customFormat="1" x14ac:dyDescent="0.2">
      <c r="A396" s="2" t="s">
        <v>461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L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M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E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S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S</v>
      </c>
      <c r="AF396" s="49" t="str">
        <f>MID(VLOOKUP($A396,Seqs!$A:$B,2,FALSE),VLOOKUP($A396,'SegEnds_NonXtal_Prot#'!$A:$AL,22,FALSE)+10,1)</f>
        <v>M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456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M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L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N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A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457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I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V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458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H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459</v>
      </c>
      <c r="B400" s="2" t="str">
        <f>LOWER(VLOOKUP(A400,Xtal_Templ!A:B,2,FALSE))</f>
        <v>drd2_human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Q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G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L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F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S</v>
      </c>
      <c r="AB401" s="28" t="str">
        <f>MID(VLOOKUP($A401,Seqs!$A:$B,2,FALSE),VLOOKUP($A401,'SegEnds_NonXtal_Prot#'!$A:$AL,22,FALSE)+6,1)</f>
        <v>C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C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V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463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G</v>
      </c>
      <c r="Y402" s="49" t="str">
        <f>MID(VLOOKUP($A402,Seqs!$A:$B,2,FALSE),VLOOKUP($A402,'SegEnds_NonXtal_Prot#'!A:AL,10,FALSE)+8,1)</f>
        <v>T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H</v>
      </c>
      <c r="AB402" s="28" t="str">
        <f>MID(VLOOKUP($A402,Seqs!$A:$B,2,FALSE),VLOOKUP($A402,'SegEnds_NonXtal_Prot#'!$A:$AL,22,FALSE)+6,1)</f>
        <v>F</v>
      </c>
      <c r="AC402" s="49" t="str">
        <f>MID(VLOOKUP($A402,Seqs!$A:$B,2,FALSE),VLOOKUP($A402,'SegEnds_NonXtal_Prot#'!$A:$AL,22,FALSE)+7,1)</f>
        <v>I</v>
      </c>
      <c r="AD402" s="49" t="str">
        <f>MID(VLOOKUP($A402,Seqs!$A:$B,2,FALSE),VLOOKUP($A402,'SegEnds_NonXtal_Prot#'!$A:$AL,22,FALSE)+8,1)</f>
        <v>I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I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464</v>
      </c>
      <c r="B403" s="2" t="str">
        <f>LOWER(VLOOKUP(A403,Xtal_Templ!A:B,2,FALSE))</f>
        <v>hrh1_human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T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F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I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D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T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465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925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A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5ht2c_human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467</v>
      </c>
      <c r="B407" s="2" t="str">
        <f>LOWER(VLOOKUP(A407,Xtal_Templ!A:B,2,FALSE))</f>
        <v>drd2_human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A</v>
      </c>
      <c r="X407" s="49" t="str">
        <f>MID(VLOOKUP($A407,Seqs!$A:$B,2,FALSE),VLOOKUP($A407,'SegEnds_NonXtal_Prot#'!A:AL,10,FALSE)+7,1)</f>
        <v>L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N</v>
      </c>
      <c r="AB407" s="28" t="str">
        <f>MID(VLOOKUP($A407,Seqs!$A:$B,2,FALSE),VLOOKUP($A407,'SegEnds_NonXtal_Prot#'!$A:$AL,22,FALSE)+6,1)</f>
        <v>V</v>
      </c>
      <c r="AC407" s="49" t="str">
        <f>MID(VLOOKUP($A407,Seqs!$A:$B,2,FALSE),VLOOKUP($A407,'SegEnds_NonXtal_Prot#'!$A:$AL,22,FALSE)+7,1)</f>
        <v>C</v>
      </c>
      <c r="AD407" s="49" t="str">
        <f>MID(VLOOKUP($A407,Seqs!$A:$B,2,FALSE),VLOOKUP($A407,'SegEnds_NonXtal_Prot#'!$A:$AL,22,FALSE)+8,1)</f>
        <v>H</v>
      </c>
      <c r="AE407" s="49" t="str">
        <f>MID(VLOOKUP($A407,Seqs!$A:$B,2,FALSE),VLOOKUP($A407,'SegEnds_NonXtal_Prot#'!$A:$AL,22,FALSE)+9,1)</f>
        <v>L</v>
      </c>
      <c r="AF407" s="49" t="str">
        <f>MID(VLOOKUP($A407,Seqs!$A:$B,2,FALSE),VLOOKUP($A407,'SegEnds_NonXtal_Prot#'!$A:$AL,22,FALSE)+10,1)</f>
        <v>L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471</v>
      </c>
      <c r="B408" s="2" t="str">
        <f>LOWER(VLOOKUP(A408,Xtal_Templ!A:B,2,FALSE))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G</v>
      </c>
      <c r="AD408" s="49" t="str">
        <f>MID(VLOOKUP($A408,Seqs!$A:$B,2,FALSE),VLOOKUP($A408,'SegEnds_NonXtal_Prot#'!$A:$AL,22,FALSE)+8,1)</f>
        <v>S</v>
      </c>
      <c r="AE408" s="49" t="str">
        <f>MID(VLOOKUP($A408,Seqs!$A:$B,2,FALSE),VLOOKUP($A408,'SegEnds_NonXtal_Prot#'!$A:$AL,22,FALSE)+9,1)</f>
        <v>T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W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L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V</v>
      </c>
      <c r="AC409" s="49" t="str">
        <f>MID(VLOOKUP($A409,Seqs!$A:$B,2,FALSE),VLOOKUP($A409,'SegEnds_NonXtal_Prot#'!$A:$AL,22,FALSE)+7,1)</f>
        <v>F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A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475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M</v>
      </c>
      <c r="Y410" s="49" t="str">
        <f>MID(VLOOKUP($A410,Seqs!$A:$B,2,FALSE),VLOOKUP($A410,'SegEnds_NonXtal_Prot#'!A:AL,10,FALSE)+8,1)</f>
        <v>V</v>
      </c>
      <c r="Z410" s="49" t="str">
        <f>MID(VLOOKUP($A410,Seqs!$A:$B,2,FALSE),VLOOKUP($A410,'SegEnds_NonXtal_Prot#'!A:AL,10,FALSE)+9,1)</f>
        <v>V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V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L</v>
      </c>
      <c r="AG410" s="28" t="str">
        <f>MID(VLOOKUP($A410,Seqs!$A:$B,2,FALSE),VLOOKUP($A410,'SegEnds_NonXtal_Prot#'!$A:$AL,28,FALSE)-4,1)</f>
        <v>F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476</v>
      </c>
      <c r="B411" s="2" t="str">
        <f>LOWER(VLOOKUP(A411,Xtal_Templ!A:B,2,FALSE))</f>
        <v>agtr1_human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V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S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I</v>
      </c>
      <c r="AD411" s="49" t="str">
        <f>MID(VLOOKUP($A411,Seqs!$A:$B,2,FALSE),VLOOKUP($A411,'SegEnds_NonXtal_Prot#'!$A:$AL,22,FALSE)+8,1)</f>
        <v>I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462</v>
      </c>
      <c r="B412" s="2" t="str">
        <f>LOWER(VLOOKUP(A412,Xtal_Templ!A:B,2,FALSE))</f>
        <v>5ht2a_human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W</v>
      </c>
      <c r="X412" s="49" t="str">
        <f>MID(VLOOKUP($A412,Seqs!$A:$B,2,FALSE),VLOOKUP($A412,'SegEnds_NonXtal_Prot#'!A:AL,10,FALSE)+7,1)</f>
        <v>M</v>
      </c>
      <c r="Y412" s="49" t="str">
        <f>MID(VLOOKUP($A412,Seqs!$A:$B,2,FALSE),VLOOKUP($A412,'SegEnds_NonXtal_Prot#'!A:AL,10,FALSE)+8,1)</f>
        <v>M</v>
      </c>
      <c r="Z412" s="49" t="str">
        <f>MID(VLOOKUP($A412,Seqs!$A:$B,2,FALSE),VLOOKUP($A412,'SegEnds_NonXtal_Prot#'!A:AL,10,FALSE)+9,1)</f>
        <v>L</v>
      </c>
      <c r="AA412" s="49" t="str">
        <f>MID(VLOOKUP($A412,Seqs!$A:$B,2,FALSE),VLOOKUP($A412,'SegEnds_NonXtal_Prot#'!A:AL,10,FALSE)+10,1)</f>
        <v>E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S</v>
      </c>
      <c r="AD412" s="49" t="str">
        <f>MID(VLOOKUP($A412,Seqs!$A:$B,2,FALSE),VLOOKUP($A412,'SegEnds_NonXtal_Prot#'!$A:$AL,22,FALSE)+8,1)</f>
        <v>F</v>
      </c>
      <c r="AE412" s="49" t="str">
        <f>MID(VLOOKUP($A412,Seqs!$A:$B,2,FALSE),VLOOKUP($A412,'SegEnds_NonXtal_Prot#'!$A:$AL,22,FALSE)+9,1)</f>
        <v>S</v>
      </c>
      <c r="AF412" s="49" t="str">
        <f>MID(VLOOKUP($A412,Seqs!$A:$B,2,FALSE),VLOOKUP($A412,'SegEnds_NonXtal_Prot#'!$A:$AL,22,FALSE)+10,1)</f>
        <v>F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470</v>
      </c>
      <c r="B413" s="2" t="str">
        <f>LOWER(VLOOKUP(A413,Xtal_Templ!A:B,2,FALSE))</f>
        <v>cxcr4_human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F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F</v>
      </c>
      <c r="Z413" s="49" t="str">
        <f>MID(VLOOKUP($A413,Seqs!$A:$B,2,FALSE),VLOOKUP($A413,'SegEnds_NonXtal_Prot#'!A:AL,10,FALSE)+9,1)</f>
        <v>Y</v>
      </c>
      <c r="AA413" s="49" t="str">
        <f>MID(VLOOKUP($A413,Seqs!$A:$B,2,FALSE),VLOOKUP($A413,'SegEnds_NonXtal_Prot#'!A:AL,10,FALSE)+10,1)</f>
        <v>V</v>
      </c>
      <c r="AB413" s="28" t="str">
        <f>MID(VLOOKUP($A413,Seqs!$A:$B,2,FALSE),VLOOKUP($A413,'SegEnds_NonXtal_Prot#'!$A:$AL,22,FALSE)+6,1)</f>
        <v>S</v>
      </c>
      <c r="AC413" s="49" t="str">
        <f>MID(VLOOKUP($A413,Seqs!$A:$B,2,FALSE),VLOOKUP($A413,'SegEnds_NonXtal_Prot#'!$A:$AL,22,FALSE)+7,1)</f>
        <v>M</v>
      </c>
      <c r="AD413" s="49" t="str">
        <f>MID(VLOOKUP($A413,Seqs!$A:$B,2,FALSE),VLOOKUP($A413,'SegEnds_NonXtal_Prot#'!$A:$AL,22,FALSE)+8,1)</f>
        <v>I</v>
      </c>
      <c r="AE413" s="49" t="str">
        <f>MID(VLOOKUP($A413,Seqs!$A:$B,2,FALSE),VLOOKUP($A413,'SegEnds_NonXtal_Prot#'!$A:$AL,22,FALSE)+9,1)</f>
        <v>C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E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455</v>
      </c>
      <c r="B414" s="2" t="str">
        <f>LOWER(VLOOKUP(A414,Xtal_Templ!A:B,2,FALSE))</f>
        <v>pd2r2_human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A</v>
      </c>
      <c r="X414" s="49" t="str">
        <f>MID(VLOOKUP($A414,Seqs!$A:$B,2,FALSE),VLOOKUP($A414,'SegEnds_NonXtal_Prot#'!A:AL,10,FALSE)+7,1)</f>
        <v>S</v>
      </c>
      <c r="Y414" s="49" t="str">
        <f>MID(VLOOKUP($A414,Seqs!$A:$B,2,FALSE),VLOOKUP($A414,'SegEnds_NonXtal_Prot#'!A:AL,10,FALSE)+8,1)</f>
        <v>M</v>
      </c>
      <c r="Z414" s="49" t="str">
        <f>MID(VLOOKUP($A414,Seqs!$A:$B,2,FALSE),VLOOKUP($A414,'SegEnds_NonXtal_Prot#'!A:AL,10,FALSE)+9,1)</f>
        <v>L</v>
      </c>
      <c r="AA414" s="49" t="str">
        <f>MID(VLOOKUP($A414,Seqs!$A:$B,2,FALSE),VLOOKUP($A414,'SegEnds_NonXtal_Prot#'!A:AL,10,FALSE)+10,1)</f>
        <v>N</v>
      </c>
      <c r="AB414" s="28" t="str">
        <f>MID(VLOOKUP($A414,Seqs!$A:$B,2,FALSE),VLOOKUP($A414,'SegEnds_NonXtal_Prot#'!$A:$AL,22,FALSE)+6,1)</f>
        <v>C</v>
      </c>
      <c r="AC414" s="49" t="str">
        <f>MID(VLOOKUP($A414,Seqs!$A:$B,2,FALSE),VLOOKUP($A414,'SegEnds_NonXtal_Prot#'!$A:$AL,22,FALSE)+7,1)</f>
        <v>V</v>
      </c>
      <c r="AD414" s="49" t="str">
        <f>MID(VLOOKUP($A414,Seqs!$A:$B,2,FALSE),VLOOKUP($A414,'SegEnds_NonXtal_Prot#'!$A:$AL,22,FALSE)+8,1)</f>
        <v>T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I</v>
      </c>
      <c r="AG414" s="28" t="str">
        <f>MID(VLOOKUP($A414,Seqs!$A:$B,2,FALSE),VLOOKUP($A414,'SegEnds_NonXtal_Prot#'!$A:$AL,28,FALSE)-4,1)</f>
        <v>A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454</v>
      </c>
      <c r="B415" s="2" t="str">
        <f>LOWER(VLOOKUP(A415,Xtal_Templ!A:B,2,FALSE))</f>
        <v>5ht2c_human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L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F</v>
      </c>
      <c r="Z415" s="49" t="str">
        <f>MID(VLOOKUP($A415,Seqs!$A:$B,2,FALSE),VLOOKUP($A415,'SegEnds_NonXtal_Prot#'!A:AL,10,FALSE)+9,1)</f>
        <v>G</v>
      </c>
      <c r="AA415" s="49" t="str">
        <f>MID(VLOOKUP($A415,Seqs!$A:$B,2,FALSE),VLOOKUP($A415,'SegEnds_NonXtal_Prot#'!A:AL,10,FALSE)+10,1)</f>
        <v>S</v>
      </c>
      <c r="AB415" s="28" t="str">
        <f>MID(VLOOKUP($A415,Seqs!$A:$B,2,FALSE),VLOOKUP($A415,'SegEnds_NonXtal_Prot#'!$A:$AL,22,FALSE)+6,1)</f>
        <v>F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I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F</v>
      </c>
      <c r="AH415" s="49" t="str">
        <f>MID(VLOOKUP($A415,Seqs!$A:$B,2,FALSE),VLOOKUP($A415,'SegEnds_NonXtal_Prot#'!$A:$AL,28,FALSE),1)</f>
        <v>P</v>
      </c>
    </row>
    <row r="416" spans="1:34" s="2" customFormat="1" x14ac:dyDescent="0.2">
      <c r="A416" s="2" t="s">
        <v>452</v>
      </c>
      <c r="B416" s="2" t="str">
        <f>LOWER(VLOOKUP(A416,Xtal_Templ!A:B,2,FALSE))</f>
        <v>drd2_human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I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T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N</v>
      </c>
      <c r="AE416" s="49" t="str">
        <f>MID(VLOOKUP($A416,Seqs!$A:$B,2,FALSE),VLOOKUP($A416,'SegEnds_NonXtal_Prot#'!$A:$AL,22,FALSE)+9,1)</f>
        <v>F</v>
      </c>
      <c r="AF416" s="49" t="str">
        <f>MID(VLOOKUP($A416,Seqs!$A:$B,2,FALSE),VLOOKUP($A416,'SegEnds_NonXtal_Prot#'!$A:$AL,22,FALSE)+10,1)</f>
        <v>A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F</v>
      </c>
    </row>
    <row r="417" spans="1:34" s="2" customFormat="1" x14ac:dyDescent="0.2">
      <c r="A417" s="2" t="s">
        <v>473</v>
      </c>
      <c r="B417" s="2" t="str">
        <f>LOWER(VLOOKUP(A417,Xtal_Templ!A:B,2,FALSE))</f>
        <v>hrh1_human</v>
      </c>
      <c r="C417" s="2" t="str">
        <f>VLOOKUP(A417,Classification!A:D,2,FALSE)</f>
        <v>T</v>
      </c>
      <c r="D417" s="2" t="str">
        <f>IF(ISERROR(MATCH(A417,'SegEnds_Xtal_Prot#'!B:B, 0)), "NoXtal", "Xtal")</f>
        <v>NoXtal</v>
      </c>
      <c r="H417" s="4"/>
      <c r="V417" s="28" t="str">
        <f>MID(VLOOKUP($A417,Seqs!$A:$B,2,FALSE),VLOOKUP($A417,'SegEnds_NonXtal_Prot#'!A:AL,10,FALSE),1)</f>
        <v>R</v>
      </c>
      <c r="W417" s="49" t="str">
        <f>MID(VLOOKUP($A417,Seqs!$A:$B,2,FALSE),VLOOKUP($A417,'SegEnds_NonXtal_Prot#'!A:AL,10,FALSE)+6,1)</f>
        <v>L</v>
      </c>
      <c r="X417" s="49" t="str">
        <f>MID(VLOOKUP($A417,Seqs!$A:$B,2,FALSE),VLOOKUP($A417,'SegEnds_NonXtal_Prot#'!A:AL,10,FALSE)+7,1)</f>
        <v>I</v>
      </c>
      <c r="Y417" s="49" t="str">
        <f>MID(VLOOKUP($A417,Seqs!$A:$B,2,FALSE),VLOOKUP($A417,'SegEnds_NonXtal_Prot#'!A:AL,10,FALSE)+8,1)</f>
        <v>I</v>
      </c>
      <c r="Z417" s="49" t="str">
        <f>MID(VLOOKUP($A417,Seqs!$A:$B,2,FALSE),VLOOKUP($A417,'SegEnds_NonXtal_Prot#'!A:AL,10,FALSE)+9,1)</f>
        <v>L</v>
      </c>
      <c r="AA417" s="49" t="str">
        <f>MID(VLOOKUP($A417,Seqs!$A:$B,2,FALSE),VLOOKUP($A417,'SegEnds_NonXtal_Prot#'!A:AL,10,FALSE)+10,1)</f>
        <v>D</v>
      </c>
      <c r="AB417" s="28" t="str">
        <f>MID(VLOOKUP($A417,Seqs!$A:$B,2,FALSE),VLOOKUP($A417,'SegEnds_NonXtal_Prot#'!$A:$AL,22,FALSE)+6,1)</f>
        <v>L</v>
      </c>
      <c r="AC417" s="49" t="str">
        <f>MID(VLOOKUP($A417,Seqs!$A:$B,2,FALSE),VLOOKUP($A417,'SegEnds_NonXtal_Prot#'!$A:$AL,22,FALSE)+7,1)</f>
        <v>L</v>
      </c>
      <c r="AD417" s="49" t="str">
        <f>MID(VLOOKUP($A417,Seqs!$A:$B,2,FALSE),VLOOKUP($A417,'SegEnds_NonXtal_Prot#'!$A:$AL,22,FALSE)+8,1)</f>
        <v>L</v>
      </c>
      <c r="AE417" s="49" t="str">
        <f>MID(VLOOKUP($A417,Seqs!$A:$B,2,FALSE),VLOOKUP($A417,'SegEnds_NonXtal_Prot#'!$A:$AL,22,FALSE)+9,1)</f>
        <v>T</v>
      </c>
      <c r="AF417" s="49" t="str">
        <f>MID(VLOOKUP($A417,Seqs!$A:$B,2,FALSE),VLOOKUP($A417,'SegEnds_NonXtal_Prot#'!$A:$AL,22,FALSE)+10,1)</f>
        <v>V</v>
      </c>
      <c r="AG417" s="28" t="str">
        <f>MID(VLOOKUP($A417,Seqs!$A:$B,2,FALSE),VLOOKUP($A417,'SegEnds_NonXtal_Prot#'!$A:$AL,28,FALSE)-4,1)</f>
        <v>G</v>
      </c>
      <c r="AH417" s="49" t="str">
        <f>MID(VLOOKUP($A417,Seqs!$A:$B,2,FALSE),VLOOKUP($A417,'SegEnds_NonXtal_Prot#'!$A:$AL,28,FALSE),1)</f>
        <v>P</v>
      </c>
    </row>
    <row r="418" spans="1:34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1:34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  <row r="420" spans="1:34" s="2" customFormat="1" x14ac:dyDescent="0.2">
      <c r="H420" s="4"/>
      <c r="V420" s="28"/>
      <c r="W420" s="49"/>
      <c r="X420" s="49"/>
      <c r="Y420" s="49"/>
      <c r="Z420" s="49"/>
      <c r="AA420" s="49"/>
      <c r="AB420" s="28"/>
      <c r="AC420" s="49"/>
      <c r="AD420" s="49"/>
      <c r="AE420" s="49"/>
      <c r="AG42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7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9"/>
  <sheetViews>
    <sheetView workbookViewId="0">
      <pane ySplit="1" topLeftCell="A75" activePane="bottomLeft" state="frozenSplit"/>
      <selection pane="bottomLeft" activeCell="B99" sqref="B99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1152</v>
      </c>
      <c r="C1" s="21" t="s">
        <v>1222</v>
      </c>
      <c r="D1" s="21" t="s">
        <v>1200</v>
      </c>
      <c r="E1" s="21" t="s">
        <v>927</v>
      </c>
    </row>
    <row r="2" spans="1:5" x14ac:dyDescent="0.2">
      <c r="A2" t="s">
        <v>464</v>
      </c>
      <c r="B2" t="s">
        <v>559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465</v>
      </c>
      <c r="B3" t="s">
        <v>590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925</v>
      </c>
      <c r="B4" t="s">
        <v>607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463</v>
      </c>
      <c r="B5" t="s">
        <v>640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470</v>
      </c>
      <c r="B6" t="s">
        <v>693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471</v>
      </c>
      <c r="B7" t="s">
        <v>694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472</v>
      </c>
      <c r="B8" t="s">
        <v>695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473</v>
      </c>
      <c r="B9" t="s">
        <v>696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474</v>
      </c>
      <c r="B10" t="s">
        <v>697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475</v>
      </c>
      <c r="B11" t="s">
        <v>698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476</v>
      </c>
      <c r="B12" t="s">
        <v>699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452</v>
      </c>
      <c r="B13" t="s">
        <v>700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453</v>
      </c>
      <c r="B14" t="s">
        <v>701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454</v>
      </c>
      <c r="B15" t="s">
        <v>702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455</v>
      </c>
      <c r="B16" t="s">
        <v>703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456</v>
      </c>
      <c r="B17" t="s">
        <v>704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457</v>
      </c>
      <c r="B18" t="s">
        <v>705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458</v>
      </c>
      <c r="B19" t="s">
        <v>706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459</v>
      </c>
      <c r="B20" t="s">
        <v>707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460</v>
      </c>
      <c r="B21" t="s">
        <v>708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461</v>
      </c>
      <c r="B22" t="s">
        <v>709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462</v>
      </c>
      <c r="B23" t="s">
        <v>710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466</v>
      </c>
      <c r="B24" t="s">
        <v>711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467</v>
      </c>
      <c r="B25" t="s">
        <v>712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468</v>
      </c>
      <c r="B26" t="s">
        <v>713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478</v>
      </c>
      <c r="B27" t="s">
        <v>873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477</v>
      </c>
      <c r="B28" t="s">
        <v>874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479</v>
      </c>
      <c r="B29" t="s">
        <v>875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480</v>
      </c>
      <c r="B30" t="s">
        <v>876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481</v>
      </c>
      <c r="B31" t="s">
        <v>877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482</v>
      </c>
      <c r="B32" t="s">
        <v>878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872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442</v>
      </c>
      <c r="B34" t="s">
        <v>862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444</v>
      </c>
      <c r="B35" t="s">
        <v>863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445</v>
      </c>
      <c r="B36" t="s">
        <v>864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446</v>
      </c>
      <c r="B37" t="s">
        <v>865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447</v>
      </c>
      <c r="B38" t="s">
        <v>866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448</v>
      </c>
      <c r="B39" t="s">
        <v>867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449</v>
      </c>
      <c r="B40" t="s">
        <v>868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450</v>
      </c>
      <c r="B41" t="s">
        <v>869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451</v>
      </c>
      <c r="B42" t="s">
        <v>870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443</v>
      </c>
      <c r="B43" t="s">
        <v>871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1491</v>
      </c>
      <c r="B44" s="120" t="s">
        <v>1492</v>
      </c>
      <c r="C44" t="s">
        <v>1489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845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849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840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841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842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843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844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846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847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848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850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851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852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853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854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855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856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857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858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859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860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861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1172</v>
      </c>
      <c r="B67" t="s">
        <v>807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1173</v>
      </c>
      <c r="B68" t="s">
        <v>808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1174</v>
      </c>
      <c r="B69" t="s">
        <v>809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1693</v>
      </c>
      <c r="B70" t="s">
        <v>810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1175</v>
      </c>
      <c r="B71" t="s">
        <v>811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1176</v>
      </c>
      <c r="B72" t="s">
        <v>812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415</v>
      </c>
      <c r="B73" t="s">
        <v>813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416</v>
      </c>
      <c r="B74" t="s">
        <v>814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417</v>
      </c>
      <c r="B75" t="s">
        <v>815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1177</v>
      </c>
      <c r="B76" t="s">
        <v>816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1178</v>
      </c>
      <c r="B77" t="s">
        <v>817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1179</v>
      </c>
      <c r="B78" t="s">
        <v>818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1180</v>
      </c>
      <c r="B79" t="s">
        <v>819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1181</v>
      </c>
      <c r="B80" t="s">
        <v>820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1182</v>
      </c>
      <c r="B81" t="s">
        <v>821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1694</v>
      </c>
      <c r="B82" t="s">
        <v>822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1183</v>
      </c>
      <c r="B83" t="s">
        <v>823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1184</v>
      </c>
      <c r="B84" t="s">
        <v>824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1185</v>
      </c>
      <c r="B85" t="s">
        <v>825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1186</v>
      </c>
      <c r="B86" t="s">
        <v>826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1187</v>
      </c>
      <c r="B87" t="s">
        <v>827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1188</v>
      </c>
      <c r="B88" t="s">
        <v>828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1189</v>
      </c>
      <c r="B89" t="s">
        <v>829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1190</v>
      </c>
      <c r="B90" t="s">
        <v>830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1191</v>
      </c>
      <c r="B91" t="s">
        <v>831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1192</v>
      </c>
      <c r="B92" t="s">
        <v>832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1409</v>
      </c>
      <c r="B93" t="s">
        <v>833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1193</v>
      </c>
      <c r="B94" t="s">
        <v>834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1194</v>
      </c>
      <c r="B95" t="s">
        <v>835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1195</v>
      </c>
      <c r="B96" t="s">
        <v>836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1196</v>
      </c>
      <c r="B97" t="s">
        <v>837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1197</v>
      </c>
      <c r="B98" t="s">
        <v>838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1695</v>
      </c>
      <c r="B99" t="s">
        <v>839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801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1398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795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796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797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798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799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800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802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803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804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1586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805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806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1416</v>
      </c>
      <c r="B115" t="s">
        <v>1415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907</v>
      </c>
      <c r="B116" t="s">
        <v>908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911</v>
      </c>
      <c r="B117" t="s">
        <v>912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913</v>
      </c>
      <c r="B118" t="s">
        <v>914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905</v>
      </c>
      <c r="B119" t="s">
        <v>906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909</v>
      </c>
      <c r="B120" t="s">
        <v>910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917</v>
      </c>
      <c r="B121" t="s">
        <v>918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915</v>
      </c>
      <c r="B122" t="s">
        <v>916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1436</v>
      </c>
      <c r="B123" t="s">
        <v>1437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1503</v>
      </c>
      <c r="B124" t="s">
        <v>1504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1447</v>
      </c>
      <c r="B125" t="s">
        <v>1449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919</v>
      </c>
      <c r="B126" t="s">
        <v>920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484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489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496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499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511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514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519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567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568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1169</v>
      </c>
      <c r="B138" t="s">
        <v>570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1170</v>
      </c>
      <c r="B139" t="s">
        <v>571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1171</v>
      </c>
      <c r="B140" t="s">
        <v>572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575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603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1167</v>
      </c>
      <c r="B143" t="s">
        <v>613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1168</v>
      </c>
      <c r="B144" t="s">
        <v>629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639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645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668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671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676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686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483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488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490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491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492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493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494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497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500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504</v>
      </c>
      <c r="C167" t="str">
        <f>IF(ISERROR(MATCH(A167,'SegEnds_Xtal_Prot#'!B:B, 0)), "NoXtal", "Xtal")</f>
        <v>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505</v>
      </c>
      <c r="C168" t="str">
        <f>IF(ISERROR(MATCH(A168,'SegEnds_Xtal_Prot#'!B:B, 0)), "NoXtal", "Xtal")</f>
        <v>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506</v>
      </c>
      <c r="C169" t="str">
        <f>IF(ISERROR(MATCH(A169,'SegEnds_Xtal_Prot#'!B:B, 0)), "NoXtal", "Xtal")</f>
        <v>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507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509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510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512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513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515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516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517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518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520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521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522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523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524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525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526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527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528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529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530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531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532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533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534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535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536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537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538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539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540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541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542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543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544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545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546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547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548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549</v>
      </c>
      <c r="C208" t="str">
        <f>IF(ISERROR(MATCH(A208,'SegEnds_Xtal_Prot#'!B:B, 0)), "NoXtal", "Xtal")</f>
        <v>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550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551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552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553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554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555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556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557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558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560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561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562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563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564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565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566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569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573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574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576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577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578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579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580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581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582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583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584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585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586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587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588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589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591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592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593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594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595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596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597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598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599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600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601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602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604</v>
      </c>
      <c r="C254" t="str">
        <f>IF(ISERROR(MATCH(A254,'SegEnds_Xtal_Prot#'!B:B, 0)), "NoXtal", "Xtal")</f>
        <v>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605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606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608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609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610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611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612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614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615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616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617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618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619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620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621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622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623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624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625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626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627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628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630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631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632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633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634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635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636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637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638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641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642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643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644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646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647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648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649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650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651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652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653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654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655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656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657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658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659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660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661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662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663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469</v>
      </c>
      <c r="B308" t="s">
        <v>664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665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666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667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669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670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672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673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674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675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677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678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679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680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681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682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683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684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685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687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688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689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690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691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692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714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715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716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717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718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719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720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721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722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723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724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725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726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727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728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729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730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731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732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733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1692</v>
      </c>
      <c r="B353" t="s">
        <v>734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735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736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737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738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739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740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741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742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743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744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745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746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747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748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749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750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751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752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753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754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755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756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757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758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759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760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761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762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763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764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765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766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767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768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769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770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771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772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773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774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775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776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777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778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779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780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781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782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783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784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785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786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787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788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789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790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791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792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793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794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1590</v>
      </c>
      <c r="B414" t="s">
        <v>1592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1593</v>
      </c>
      <c r="B415" t="s">
        <v>1595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1633</v>
      </c>
      <c r="B416" t="s">
        <v>1634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1636</v>
      </c>
      <c r="B417" t="s">
        <v>1637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1638</v>
      </c>
      <c r="B418" t="s">
        <v>1639</v>
      </c>
      <c r="C418" t="str">
        <f>IF(ISERROR(MATCH(A418,'SegEnds_Xtal_Prot#'!B:B, 0)), "NoXtal", "Xtal")</f>
        <v>NoXtal</v>
      </c>
      <c r="D418" t="str">
        <f t="shared" ref="D418:D419" si="10">MID(A418,FIND("_",A418)+1,LEN(A418)-FIND("_",A418))</f>
        <v>human</v>
      </c>
      <c r="E418" t="str">
        <f>VLOOKUP(A418,Classification!A:B,2,FALSE)</f>
        <v>A</v>
      </c>
    </row>
    <row r="419" spans="1:5" x14ac:dyDescent="0.2">
      <c r="A419" t="s">
        <v>1690</v>
      </c>
      <c r="B419" t="s">
        <v>1691</v>
      </c>
      <c r="C419" t="str">
        <f>IF(ISERROR(MATCH(A419,'SegEnds_Xtal_Prot#'!B:B, 0)), "NoXtal", "Xtal")</f>
        <v>Xtal</v>
      </c>
      <c r="D419" t="str">
        <f t="shared" si="10"/>
        <v>mouse</v>
      </c>
      <c r="E419" t="str">
        <f>VLOOKUP(A419,Classification!A:B,2,FALSE)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1221</v>
      </c>
      <c r="C1" s="31" t="s">
        <v>1222</v>
      </c>
      <c r="D1" s="30" t="s">
        <v>99</v>
      </c>
      <c r="E1" s="26" t="s">
        <v>1220</v>
      </c>
      <c r="F1" s="26" t="s">
        <v>3</v>
      </c>
      <c r="G1" s="30" t="s">
        <v>1204</v>
      </c>
      <c r="H1" s="30" t="s">
        <v>4</v>
      </c>
      <c r="I1" s="30" t="s">
        <v>1206</v>
      </c>
      <c r="J1" s="30" t="s">
        <v>6</v>
      </c>
      <c r="K1" s="30" t="s">
        <v>1205</v>
      </c>
      <c r="L1" s="30" t="s">
        <v>7</v>
      </c>
      <c r="M1" s="30" t="s">
        <v>1207</v>
      </c>
      <c r="N1" s="30" t="s">
        <v>8</v>
      </c>
      <c r="O1" s="30" t="s">
        <v>10</v>
      </c>
      <c r="P1" s="30" t="s">
        <v>11</v>
      </c>
      <c r="Q1" s="30" t="s">
        <v>1203</v>
      </c>
      <c r="R1" s="26" t="s">
        <v>1056</v>
      </c>
      <c r="S1" s="8" t="s">
        <v>1073</v>
      </c>
      <c r="T1" s="8" t="s">
        <v>1058</v>
      </c>
      <c r="U1" s="8" t="s">
        <v>1075</v>
      </c>
      <c r="V1" s="8" t="s">
        <v>1060</v>
      </c>
      <c r="W1" s="8" t="s">
        <v>1088</v>
      </c>
      <c r="X1" s="8" t="s">
        <v>1062</v>
      </c>
      <c r="Y1" s="8" t="s">
        <v>1091</v>
      </c>
      <c r="Z1" s="8" t="s">
        <v>1064</v>
      </c>
      <c r="AA1" s="8" t="s">
        <v>1066</v>
      </c>
      <c r="AB1" s="8" t="s">
        <v>1068</v>
      </c>
      <c r="AC1" s="8" t="s">
        <v>1070</v>
      </c>
      <c r="AD1" s="26" t="s">
        <v>1057</v>
      </c>
      <c r="AE1" s="8" t="s">
        <v>1074</v>
      </c>
      <c r="AF1" s="8" t="s">
        <v>1059</v>
      </c>
      <c r="AG1" s="8" t="s">
        <v>1076</v>
      </c>
      <c r="AH1" s="8" t="s">
        <v>1061</v>
      </c>
      <c r="AI1" s="8" t="s">
        <v>1089</v>
      </c>
      <c r="AJ1" s="8" t="s">
        <v>1063</v>
      </c>
      <c r="AK1" s="8" t="s">
        <v>1092</v>
      </c>
      <c r="AL1" s="8" t="s">
        <v>1065</v>
      </c>
      <c r="AM1" s="8" t="s">
        <v>1067</v>
      </c>
      <c r="AN1" s="8" t="s">
        <v>1069</v>
      </c>
      <c r="AO1" s="8" t="s">
        <v>1071</v>
      </c>
      <c r="AP1" s="26" t="s">
        <v>1208</v>
      </c>
      <c r="AQ1" s="30" t="s">
        <v>1209</v>
      </c>
      <c r="AR1" s="30" t="s">
        <v>1210</v>
      </c>
      <c r="AS1" s="30" t="s">
        <v>1211</v>
      </c>
      <c r="AT1" s="30" t="s">
        <v>1212</v>
      </c>
      <c r="AU1" s="30" t="s">
        <v>1213</v>
      </c>
      <c r="AV1" s="30" t="s">
        <v>1214</v>
      </c>
      <c r="AW1" s="30" t="s">
        <v>1215</v>
      </c>
      <c r="AX1" s="30" t="s">
        <v>1216</v>
      </c>
      <c r="AY1" s="30" t="s">
        <v>1217</v>
      </c>
      <c r="AZ1" s="30" t="s">
        <v>1218</v>
      </c>
      <c r="BA1" s="30" t="s">
        <v>1219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'SegEnds_NonXtal_Prot#'!A114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'SegEnds_NonXtal_Prot#'!A124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'SegEnds_NonXtal_Prot#'!A125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'SegEnds_NonXtal_Prot#'!A126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'SegEnds_NonXtal_Prot#'!A149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'SegEnds_NonXtal_Prot#'!A160</f>
        <v>hcar2_human</v>
      </c>
      <c r="B13" s="1" t="str">
        <f t="shared" si="0"/>
        <v>VFRDDFIVKVLPPVLGLEFIFGLLGNGLALWIFCFHKSSRIFLFNLAVADFLLIICLPFLMDNYVRRGDIPCRLMLFMLAMNRQGSIIFLTVVAVDRYFRVVHSNRTAAIISCLLWGITIGLTVHLLKKICHTFQWHEAMFLLEFFLPLGIILFCSARIIWSLRQRHAKIKRAITFIMVVAIVFVICFLPSVVVRIRIFWLLHTNCEVYRSVDLAFFITLSFTYMNSMLDPVVYYFSSPSFPNFFSTLINR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VFRDDFIVKVLPPVLGLEFIFGLLGNGLALWIFCFH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SPSFPNFFSTLINR</v>
      </c>
      <c r="R13" s="5">
        <f>VLOOKUP($A13,'SegEnds_NonXtal_Prot#'!$A:$AL,3,FALSE)</f>
        <v>20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165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311</v>
      </c>
      <c r="AP13" s="5">
        <f t="shared" si="13"/>
        <v>35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25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13</v>
      </c>
    </row>
    <row r="14" spans="1:53" x14ac:dyDescent="0.2">
      <c r="A14" s="1" t="str">
        <f>'SegEnds_NonXtal_Prot#'!A173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'SegEnds_NonXtal_Prot#'!A181</f>
        <v>mrgrd_human</v>
      </c>
      <c r="B15" s="1" t="str">
        <f t="shared" si="0"/>
        <v>GSTVHTAYLVLSSLAMFTCLCGMAGNSMVIWLLGFRNPFCIYILNLAAADLLFLFSMASTLSLETQTDKVHELMKRLMYFAYTVGLSLLTAISTQRCLSVLFPRHLSAWVCGLLWTLCLLMNGLTSSFCDRCFRVDMVQAALIMGVLTPVMTLSSLTLFVWVRRSSQRQPTRLFVVVLASVLVFLICSLPLSIYWFVLYWLQVLCFSLSRLSSSVSSSANPVIYFLVGSRRSHRLPTRSLGTV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GSTVHTAYLVLSSLAMFTCLCGMAGNSMVIWLLGFR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GSRRSHRLPTRSLGTV</v>
      </c>
      <c r="R15" s="5">
        <f>VLOOKUP($A15,'SegEnds_NonXtal_Prot#'!$A:$AL,3,FALSE)</f>
        <v>20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295</v>
      </c>
      <c r="AP15" s="5">
        <f t="shared" si="13"/>
        <v>35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15</v>
      </c>
    </row>
    <row r="16" spans="1:53" x14ac:dyDescent="0.2">
      <c r="A16" s="1" t="str">
        <f>'SegEnds_NonXtal_Prot#'!A184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'SegEnds_NonXtal_Prot#'!A191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'SegEnds_NonXtal_Prot#'!A201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'SegEnds_NonXtal_Prot#'!A204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'SegEnds_NonXtal_Prot#'!A205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'SegEnds_NonXtal_Prot#'!A206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'SegEnds_NonXtal_Prot#'!A215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'SegEnds_NonXtal_Prot#'!A216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'SegEnds_NonXtal_Prot#'!A229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'SegEnds_NonXtal_Prot#'!A249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'SegEnds_NonXtal_Prot#'!A255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'SegEnds_NonXtal_Prot#'!A266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'SegEnds_NonXtal_Prot#'!A280</f>
        <v>gpr75_human</v>
      </c>
      <c r="B28" s="1" t="str">
        <f t="shared" si="0"/>
        <v>DLIHTATLVTCTFLLAVIFCLGSYGNFIVFLSFFDPTNFDFMILNLSFCDLFICGVTAPMFTFVLFFSSIPDAFCFTFHLTSSGFIIMSLKTVAVIALHRLRMVLGSFPCTVLLTLLLWATSFTLATLATLKTLIAGKGKAILSLYVVDFTFCVAVVSVSYIMIAQTLRKNAQVRKCPPNLSTAKDSKAVVTCVIIVLSVLVCCLPLGISLVQVVLSLYQFELFGFTLIFFKSGLNPFIYSRNSAGLRRKVLWCLQYIG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LIAGKGKAILSLYVVDFTFCVAVVSVSYIMIAQTLRKNAQVRKCPP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SAGLRRKVLWCLQYIG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195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395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15</v>
      </c>
    </row>
    <row r="29" spans="1:53" x14ac:dyDescent="0.2">
      <c r="A29" s="1" t="str">
        <f>'SegEnds_NonXtal_Prot#'!A297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'SegEnds_NonXtal_Prot#'!A326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'SegEnds_NonXtal_Prot#'!A332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'SegEnds_NonXtal_Prot#'!A352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'SegEnds_NonXtal_Prot#'!A363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'SegEnds_NonXtal_Prot#'!A371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'SegEnds_NonXtal_Prot#'!A375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'SegEnds_NonXtal_Prot#'!A393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'SegEnds_NonXtal_Prot#'!A402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'SegEnds_NonXtal_Prot#'!A408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LETETLNKYVVIIAYALVFLLSLLGNSLVMLVILYSSVTDVYLLNLALADLLFALTLPIWAASKVNGTFLCKVVSLLKEVNFYSGILLLACISVDRYLAIVHKRHLVKFVCLGCWGLSMNLSLPFFLFRTAKWRMVLRILPHTFGFIVPLFVMLFCYGFTLRTLFKAKHRAMRVIFAVVLIFLLCWLPYNLVLLADTLMRTQSCERRNNIGRALDATEILGFLHSCLNPIIYAFIGQNFRHGFLKILAMHG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LETETLNKYVVIIAYALVFLLSLLGNSLVMLVILYS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GQNFRHGFLKILAMHG</v>
      </c>
      <c r="R46" s="5">
        <f>VLOOKUP($A46,'SegEnds_NonXtal_Prot#'!$A:$AL,3,FALSE)</f>
        <v>32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324</v>
      </c>
      <c r="AP46" s="5">
        <f t="shared" si="13"/>
        <v>35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15</v>
      </c>
    </row>
    <row r="47" spans="1:53" x14ac:dyDescent="0.2">
      <c r="A47" s="1" t="str">
        <f>'SegEnds_NonXtal_Prot#'!A11</f>
        <v>cxcr2_human</v>
      </c>
      <c r="B47" s="1" t="str">
        <f t="shared" si="0"/>
        <v>PESLEINKYFVVIIYALVFLLSLLGNSLVMLVILYSSVTDVYLLNLALADLLFALTLPIWAASKVNGTFLCKVVSLLKEVNFYSGILLLACISVDRYLAIVHKRYLVKFICLSIWGLSLLLALPVLLFRTANWRMLLRILPQSFGFIVPLLIMLFCYGFTLRTLFKAKHRAMRVIFAVVLIFLLCWLPYNLVLLADTLMRTQTCERRNHIDRALDATEILGILHSCLNPLIYAFIGQKFRHGLLKILAIHG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PESLEINKYFVVIIYALVFLLSLLGNSLVMLVILYS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TANWRMLLRILPQSFGFIVPLLIMLFCYGFTLRTLFKA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</v>
      </c>
      <c r="R47" s="5">
        <f>VLOOKUP($A47,'SegEnds_NonXtal_Prot#'!$A:$AL,3,FALSE)</f>
        <v>41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204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333</v>
      </c>
      <c r="AP47" s="5">
        <f t="shared" si="13"/>
        <v>35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37</v>
      </c>
      <c r="AY47" s="4">
        <f t="shared" si="22"/>
        <v>34</v>
      </c>
      <c r="AZ47" s="4">
        <f t="shared" si="23"/>
        <v>32</v>
      </c>
      <c r="BA47" s="4">
        <f t="shared" si="24"/>
        <v>15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CVAGVIPVIYYSVLLGLGLPVSLLTAVALARLRPSYYYLLALTASDIIIQVVIVFAGFLLQGARQVPQAVVRTANILEFAANHASVWIAILLTVDRYTALCHSSPGRTRRAIAAVLSAALLTGIPFYWDEVLKWAHCLTVYFIPCGVFLVTNSAIIHRLRRLQPRVGKSTAILLGITTLFTLLWAPRVFVMLYHMYVVHLALDVANMVAMLHTAANFGLYCFVSKTFRATVRQVIH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392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295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25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PWQVAFIGITTGLLSLATVTGNLLVLISFKVNTVNNYFLLSLACADLIIGTFSMNLYTTYLLMGGTLACDLWLALDYVASNASVMNLLLISFDRYFSVTRTPRRAALMIGLAWLVSFVLWAPAILFWQYLVGQPIITFGTAMAAFYLPVTVMCTLYWRIYRETENRARELAALTFSLVKEKKAARTLSAILLAFILTWTPYNIMVLVSTFCPETLWELGYWLCYVNSTINPMCYALCNKAFRDTFRLLLLC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NKAFRDTFRLLLLC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435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PEEIFFTISIVGVLENLIVLLAVFKNAPMYFFICSLAISDMLGSLYKILENILIILRGSFETTADDIIDSLFVLSLLGSIFSLSVIAADRYITIFHTMRRTVVVLTVIWTFCTGTGITMVIFSHVPTVITFTSLFPLMLVFILCLYVHMFLLARSHSTLPRANMKGAITLTILLGVFIFCWAPFVLHVLLMTFCLFQVNGMLIMCNAVIDPFIYAFRSPELRDAFKKMIFCS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TMRRTVVVLTVIWTFCTGTGITMVIFS</v>
      </c>
      <c r="M90" s="4" t="str">
        <f t="shared" si="33"/>
        <v/>
      </c>
      <c r="N90" s="4" t="str">
        <f t="shared" si="34"/>
        <v>HVPTVITFTSLFPLMLVFILCLYVHMFLLARSH</v>
      </c>
      <c r="O90" s="4" t="str">
        <f t="shared" si="35"/>
        <v>STLPRANMKGAITLTILLGVFIFCWAPFVLHVLLMTFC</v>
      </c>
      <c r="P90" s="4" t="str">
        <f t="shared" si="36"/>
        <v>LFQVNGMLIMCNAVIDPFIYAFR</v>
      </c>
      <c r="Q90" s="4" t="str">
        <f t="shared" si="37"/>
        <v>SPELRDAFKKMIFCS</v>
      </c>
      <c r="R90" s="5">
        <f>VLOOKUP($A90,'SegEnds_NonXtal_Prot#'!$A:$AL,3,FALSE)</f>
        <v>27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171</v>
      </c>
      <c r="AA90" s="5">
        <f>VLOOKUP($A90,'SegEnds_NonXtal_Prot#'!$A:$AL,30,FALSE)</f>
        <v>208</v>
      </c>
      <c r="AB90" s="5">
        <f>VLOOKUP($A90,'SegEnds_NonXtal_Prot#'!$A:$AL,33,FALSE)</f>
        <v>257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169</v>
      </c>
      <c r="AK90" s="5" t="str">
        <f>VLOOKUP($A90,'SegEnds_NonXtal_Prot#'!$A:$AL,26,FALSE)</f>
        <v>-</v>
      </c>
      <c r="AL90" s="5">
        <f>VLOOKUP($A90,'SegEnds_NonXtal_Prot#'!$A:$AL,29,FALSE)</f>
        <v>203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294</v>
      </c>
      <c r="AP90" s="5">
        <f t="shared" si="38"/>
        <v>25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26</v>
      </c>
      <c r="AW90" s="4" t="str">
        <f t="shared" si="45"/>
        <v>-</v>
      </c>
      <c r="AX90" s="4">
        <f t="shared" si="46"/>
        <v>32</v>
      </c>
      <c r="AY90" s="4">
        <f t="shared" si="47"/>
        <v>37</v>
      </c>
      <c r="AZ90" s="4">
        <f t="shared" si="48"/>
        <v>22</v>
      </c>
      <c r="BA90" s="4">
        <f t="shared" si="49"/>
        <v>14</v>
      </c>
    </row>
    <row r="91" spans="1:53" x14ac:dyDescent="0.2">
      <c r="A91" s="1" t="str">
        <f>'SegEnds_NonXtal_Prot#'!A62</f>
        <v>ada1a_human</v>
      </c>
      <c r="B91" s="1" t="str">
        <f t="shared" si="25"/>
        <v>AILLGVILGGLILFGVLGNILVILSVACHSVTHYYIVNLAVADLLLTSTVLPFSAIFEVLGGRVFCNIWAAVDVLCCTASIMGLCIISIDRYIGVSYTQRRGLMALLCVWALSLVISIGPLFEPGYVLFSALGSFYLPLAIILVMYCRVYVVAKRESRGLKSGLLLKFSREKKAAKTLGIVVGCFVLCWLPFFLVMPIGSFFSETVFKIVFWLGYLNSCINPIIYPCSSQEFKKAFQNVLRI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SQEFKKAFQNVLRI</v>
      </c>
      <c r="R91" s="5">
        <f>VLOOKUP($A91,'SegEnds_NonXtal_Prot#'!$A:$AL,3,FALSE)</f>
        <v>26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343</v>
      </c>
      <c r="AP91" s="5">
        <f t="shared" si="38"/>
        <v>28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13</v>
      </c>
    </row>
    <row r="92" spans="1:53" x14ac:dyDescent="0.2">
      <c r="A92" s="1" t="str">
        <f>'SegEnds_NonXtal_Prot#'!A63</f>
        <v>ada1b_human</v>
      </c>
      <c r="B92" s="1" t="str">
        <f t="shared" si="25"/>
        <v>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44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29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95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29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TLTLVCLAGLLMLLTVFGNVLVIIAVFTSAPQNLFLVSLASADILVATLVIPFSLANEVMGGKAWCEIYLALDVLFCTSSIVHLCAISLDRYWSITQTPRRIKAIIITVWVISAVISFPPLIQKWYVISSCIGSFFAPCLIMILVYVRIYQIAKRRTRVPPSRRGRQNREKRFTFVLAVVIGVFVVCWFPFFFTYTLTAVGPRTLFKFFFWFGYCNSSLNPVIYTIFNHDFRRAFKKILCR</v>
      </c>
      <c r="C94" s="29" t="str">
        <f>IF(ISERROR(MATCH(A94,'SegEnds_Xtal_Prot#'!B:B, 0)), "NoXtal", "Xtal")</f>
        <v>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PRTLFKFFFWFGYCNSSLNPVIYTIF</v>
      </c>
      <c r="Q94" s="4" t="str">
        <f t="shared" si="37"/>
        <v>NHDFRRAFKKILCR</v>
      </c>
      <c r="R94" s="5">
        <f>VLOOKUP($A94,'SegEnds_NonXtal_Prot#'!$A:$AL,3,FALSE)</f>
        <v>33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404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443</v>
      </c>
      <c r="AP94" s="5">
        <f t="shared" si="38"/>
        <v>28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'SegEnds_NonXtal_Prot#'!A66</f>
        <v>ada2b_human</v>
      </c>
      <c r="B95" s="1" t="str">
        <f t="shared" si="25"/>
        <v>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11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29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SAGAVAGLAAVVGFLIVFTVVGNVLVVIAVLTSAPQNLFLVSLASADILVATLVMPFSLANELMAGQVWCGVYLALDVLFCTSSIVHLCAISLDRYWSVTQTPRRVKATIVAVWLISAVISFPPLVETWYILSSCIGSFFAPCLIMGLVYARIYRVAKLRTRTLSEKKVAQAREKRFTFVLAVVMGVFVLCWFPFFFSYSLYGICRPGPLFKFFFWIGYCNSSLNPVIYTVFNQDFRRSFKHILF</v>
      </c>
      <c r="C96" s="29" t="str">
        <f>IF(ISERROR(MATCH(A96,'SegEnds_Xtal_Prot#'!B:B, 0)), "NoXtal", "Xtal")</f>
        <v>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SAGAVAGLAAVVGFLIVFTVVGNVLVVIAVLTS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KVAQAREKRFTFVLAVVMGVFVLCWFPFFFSYSLYGICR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47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409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32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38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TLTNLFIMSLASADLVMGLLVVPFGATIVVWG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122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31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TLTNLFITSLACADLVMGLLVVPFGATLVVRG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105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31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QERDEVWVVGMGIVMSLIVLAIVFGNVLVITAIAKFTVTNYFITSLACADLVMGLAVVPFGAAHILMKGNFWCEFWTSIDVLCVTASIETLCVIAVDRYFAITSTKNKARVIILMVWIVSGLTSFLPIQMHNQAYAIASSIVSFYVPLVIMVFVYSRVFQEAKRQLQKIDKSESKFCLKEHKALKTLGIIMGTFTLCWLPFFIVNIVHVIQRKEVYILLNWIGYVNSGFNPLIYCRSPDFRIAFQELLC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TVTNYFITSLACADLVMGLAVVPFGAAHILMK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97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31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TMTNVFVTSLAAADLVMGLLVVPPAATLALTG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101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31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KVNERAFGAQLLPPLYSLVFVIGLVGNILVVLVLVQYNMTSIYLLNLAISDLLFLFTLPFWIDYKLKDGDAMCKILSGFYYTGLYSEIFFIILLTIDRYLAIVHTVTFGVITSIIIWALAILASMPGLYFSSLREWKLFQALKLNLFGLVLPLLVMIICYTGIIKILLRRKSKAVRLIFVIMIIFFLFWTPYNLTILISVFQDFLFECEQSRHLDLAVQVTEVIAYTHCCVNPVIYAFVGERFRKYLRQLFH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NMTSIYLLNLAISDLLFLFTLPFWIDYKLKD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97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30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KADTRALMAQFVPPLYSLVFTVGLLGNVVVVMILIKYIMTNIYLLNLAISDLLFLVTLPFWIHYVRGHGHGMCKLLSGFYHTGLYSEIFFIILLTIDRYLAIVHTVTFGVITSIVTWGLAVLAALPEFIFYTVYSWRHFHTLRMTIFCLVLPLLVMAICYTGIIKTLLRCKYKAIRLIFVIMAVFFIFWTPYNVAILLSSYQSILFDCERSKHLDLVMLVTEVIAYSHCCMNPVIYAFVGERFRKYLRHFFH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IMTNIYLLNLAISDLLFLVTLPFWIHYVRGH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97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30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ARVTRIFLVVVYSIVCFLGILGNGLVIIIATFKTVNMVWFLNLAVADFLFNVFLPIHITYAAMDGTAMCKISNFLLIHNMFTSVFLLTIISSDRCISVLLSVRLAYMACMVIWVLAFFLSSPSLVFRRHMVVTVTRFLCGFLVPVLIITACYLTIVCKLQRNTKKPFKIIVTIIITFFLCWCPYHTLNLLELHHAMPGSVFSLGLPLATALAIANSCMNPILYVFMGQDFKKFKVALFSRL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AGQGAAALVGGVLLIGAVLAGNSLVCVSVATETPTNSFIVSLAAADLLLALLVLPLFVYSEVQGSPRLCDALMAMDVMLCTASIFNLCAISVDRFVAVAVGSRRQLLLIGATWLLSAAVAAPVLCGDRDYVVYSSVCSFFLPCPLMLLLYWATFRGLQRWEVARRAKAKITGRERKAMRVLPVVVGAFLLCWTPFFVVHITQALCPPRLVSAVTWLGYVNSALNPVIYTVFNAEFRNVFRKALR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TPTNSFIVSLAAADLLLALLVLPLFVYSEVQG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98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31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'SegEnds_NonXtal_Prot#'!A99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'SegEnds_NonXtal_Prot#'!A100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'SegEnds_NonXtal_Prot#'!A101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'SegEnds_NonXtal_Prot#'!A102</f>
        <v>g37l1_human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'SegEnds_NonXtal_Prot#'!A103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'SegEnds_NonXtal_Prot#'!A104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'SegEnds_NonXtal_Prot#'!A105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'SegEnds_NonXtal_Prot#'!A106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'SegEnds_NonXtal_Prot#'!A107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'SegEnds_NonXtal_Prot#'!A108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'SegEnds_NonXtal_Prot#'!A109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'SegEnds_NonXtal_Prot#'!A110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'SegEnds_NonXtal_Prot#'!A111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'SegEnds_NonXtal_Prot#'!A112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'SegEnds_NonXtal_Prot#'!A113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'SegEnds_NonXtal_Prot#'!A115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'SegEnds_NonXtal_Prot#'!A116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'SegEnds_NonXtal_Prot#'!A117</f>
        <v>gp119_human</v>
      </c>
      <c r="B144" s="1" t="str">
        <f t="shared" si="50"/>
        <v>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0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32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'SegEnds_NonXtal_Prot#'!A118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'SegEnds_NonXtal_Prot#'!A119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'SegEnds_NonXtal_Prot#'!A120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'SegEnds_NonXtal_Prot#'!A121</f>
        <v>gp153_human</v>
      </c>
      <c r="B148" s="1" t="str">
        <f t="shared" si="50"/>
        <v>ERRLPGSAVGWLVCGGLSLLANAWGILSVGAKKPLEFLLCTLAATHMLNVAVPIATYSVVQLRNEGLCKVFVSTFYTLTLATCFSVTSLSYHRMWMVCWAKKQAVHTVMGIWMVSFILSALPAVGGLGFGVCFLLLVGGSVAMGVICTAIALFQTLAVQVGRQADRREPAKTSLQTTGLVTTIVFIYDCLMGFPVLVVSFSSLRAPWMALCVLWCSVAQALLLPVFLWACDRYRADLKAVRE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'SegEnds_NonXtal_Prot#'!A122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'SegEnds_NonXtal_Prot#'!A123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'SegEnds_NonXtal_Prot#'!A127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'SegEnds_NonXtal_Prot#'!A128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'SegEnds_NonXtal_Prot#'!A129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'SegEnds_NonXtal_Prot#'!A130</f>
        <v>gpr12_human</v>
      </c>
      <c r="B154" s="1" t="str">
        <f t="shared" si="50"/>
        <v>WDIVLCTSGTLISCENAIVVLIIFHNAPMFLLIGSLALADLLAGIGLITNFVQSEATKLVTIGLIVASFSASVCSLLAITVDRYLSLYYTVTFTYVMLVMLWGTSICLGLLPVMGWTKNNAAILSVSFLFMFALMLQLYIQICKIVMRHAHQIALATSHYVTTRKGVSTLAIILGTFAACWMPFTLYSLIADYTYTYATLLPATYNSIINPVIYAFRNQEIQKALCLICCGC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TVTFTYVMLVMLWGTSICLGLLPVMGW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NQEIQKALCLICCGC</v>
      </c>
      <c r="R154" s="5">
        <f>VLOOKUP($A154,'SegEnds_NonXtal_Prot#'!$A:$AL,3,FALSE)</f>
        <v>47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179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319</v>
      </c>
      <c r="AP154" s="5">
        <f t="shared" si="63"/>
        <v>25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26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14</v>
      </c>
    </row>
    <row r="155" spans="1:53" x14ac:dyDescent="0.2">
      <c r="A155" s="1" t="str">
        <f>'SegEnds_NonXtal_Prot#'!A131</f>
        <v>gpr15_human</v>
      </c>
      <c r="B155" s="1" t="str">
        <f t="shared" si="50"/>
        <v>HSHVPYTSVFLPVFYTAVFLTGVLGNLVLMGALHFKRLIDIFIINLAASDFIFLVTLPLWVDKEASLGSFLCKGSSYMISVNMHCSVLLLTCMSVDRYLAIVWRTDCAYVVCASIWFISCLLGLPTLLSRATPIKLIWSLVALIFTFFVPLLSIVTCYCCIARKLCAHGKHNKKLKKSIKIIFIVVAAFLVSWLPFNTFKFLAIVSHYLPSAILQLGMEVSGPLAFANSCVNPFIYYIFDSYIRRAIVHCLCPCL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HSHVPYTSVFLPVFYTAVFLTGVLGNLVLMGALHFK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DSYIRRAIVHCLCPCL</v>
      </c>
      <c r="R155" s="5">
        <f>VLOOKUP($A155,'SegEnds_NonXtal_Prot#'!$A:$AL,3,FALSE)</f>
        <v>26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188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144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321</v>
      </c>
      <c r="AP155" s="5">
        <f t="shared" si="63"/>
        <v>35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6</v>
      </c>
      <c r="AV155" s="4">
        <f t="shared" si="69"/>
        <v>26</v>
      </c>
      <c r="AW155" s="4">
        <f t="shared" si="70"/>
        <v>2</v>
      </c>
      <c r="AX155" s="4">
        <f t="shared" si="71"/>
        <v>37</v>
      </c>
      <c r="AY155" s="4">
        <f t="shared" si="72"/>
        <v>37</v>
      </c>
      <c r="AZ155" s="4">
        <f t="shared" si="73"/>
        <v>32</v>
      </c>
      <c r="BA155" s="4">
        <f t="shared" si="74"/>
        <v>15</v>
      </c>
    </row>
    <row r="156" spans="1:53" x14ac:dyDescent="0.2">
      <c r="A156" s="1" t="str">
        <f>'SegEnds_NonXtal_Prot#'!A132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'SegEnds_NonXtal_Prot#'!A133</f>
        <v>gpr18_human</v>
      </c>
      <c r="B157" s="1" t="str">
        <f t="shared" si="50"/>
        <v>SSHPDEYKIAALVFYSCIFIIGLFVNITALWVFSCTTTVTIYMMNVALVDLIFIMTLPFRMFYYAKGEYFCQILGALTVFYPSIALWLLAFISADRYMAIVQNTCKAVLACVGVWIMTLTTTTPLLLLYYLKAVNVLNLTRLTFFFLIPLFIMIGCYLVIIHNLLHGKLKPKVKEKSIRIIITLLVQVLVCFMPFHICFAFLMLGYNPWGAFTTFLMNLSTCLDVILYYIVSKQFQARVISVMLYRN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SSHPDEYKIAALVFYSCIFIIGLFVNITALWVFSCT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SKQFQARVISVMLYRN</v>
      </c>
      <c r="R157" s="5">
        <f>VLOOKUP($A157,'SegEnds_NonXtal_Prot#'!$A:$AL,3,FALSE)</f>
        <v>15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180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305</v>
      </c>
      <c r="AP157" s="5">
        <f t="shared" si="63"/>
        <v>35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37</v>
      </c>
      <c r="AY157" s="4">
        <f t="shared" si="72"/>
        <v>37</v>
      </c>
      <c r="AZ157" s="4">
        <f t="shared" si="73"/>
        <v>25</v>
      </c>
      <c r="BA157" s="4">
        <f t="shared" si="74"/>
        <v>15</v>
      </c>
    </row>
    <row r="158" spans="1:53" x14ac:dyDescent="0.2">
      <c r="A158" s="1" t="str">
        <f>'SegEnds_NonXtal_Prot#'!A134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'SegEnds_NonXtal_Prot#'!A135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'SegEnds_NonXtal_Prot#'!A136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'SegEnds_NonXtal_Prot#'!A137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'SegEnds_NonXtal_Prot#'!A138</f>
        <v>gpr3_human</v>
      </c>
      <c r="B162" s="1" t="str">
        <f t="shared" si="50"/>
        <v>WDVVLCISGTLVSCENALVVAIIVGTAPMFLLVGSLAVADLLAGLGLVLHFAGSAEMSLVLVGVLAMAFTASIGSLLAITVDRYLSLYNTVTRTYVMLALVWGGALGLGLLPVLAWSKNHLVVLAIAFFMVFGIMLQLYAQICRIVCRHAQQIALPASHYVATRKGIATLAVVLGAFAACWLPFTVYCLLGDAHYTYLTLLPATYNSMINPIIYAFRNQDVQKVLWAVCCCC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TVTRTYVMLALVWGGALGLGLLPVLAW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NQDVQKVLWAVCCCC</v>
      </c>
      <c r="R162" s="5">
        <f>VLOOKUP($A162,'SegEnds_NonXtal_Prot#'!$A:$AL,3,FALSE)</f>
        <v>43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175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315</v>
      </c>
      <c r="AP162" s="5">
        <f t="shared" si="63"/>
        <v>25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26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14</v>
      </c>
    </row>
    <row r="163" spans="1:53" x14ac:dyDescent="0.2">
      <c r="A163" s="1" t="str">
        <f>'SegEnds_NonXtal_Prot#'!A139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'SegEnds_NonXtal_Prot#'!A140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'SegEnds_NonXtal_Prot#'!A141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'SegEnds_NonXtal_Prot#'!A142</f>
        <v>gpr34_human</v>
      </c>
      <c r="B166" s="1" t="str">
        <f t="shared" si="50"/>
        <v>PMDEKLLSTVLTTSYSVIFIVGLVGNIIALYVFLGINSIQIYLLNVAIADLLLIFCLPFRIMYHINQGVILCKVVGTLFYMNMYISIILLGFISLDRYIKINRTTKQSIYVCCIVWMLALGGFLTMIILNAKGEAIFNFILVVMFWLIFLLIILSYIKIGKNLLRIKFPNSGKYATTARNSFIVLIIFTICFVPYHAFRFIYISSSCYWKEIVHKTNEIMLVLSSFNSCLDPVMYFLMSSNIRKIMCQLLFR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PMDEKLLSTVLTTSYSVIFIVGLVGNIIALYVFLGI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</v>
      </c>
      <c r="R166" s="5">
        <f>VLOOKUP($A166,'SegEnds_NonXtal_Prot#'!$A:$AL,3,FALSE)</f>
        <v>47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344</v>
      </c>
      <c r="AP166" s="5">
        <f t="shared" si="63"/>
        <v>35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13</v>
      </c>
    </row>
    <row r="167" spans="1:53" x14ac:dyDescent="0.2">
      <c r="A167" s="1" t="str">
        <f>'SegEnds_NonXtal_Prot#'!A143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LTWPPAIKLGFYAYLGVLLVLGLLLNSLALWVFCCRTETRIYMTNLAVADLCLLCTLPFVLHSLRDLCQLSQGIYLTNRYMSISLVTAIAVDRYVAVRHSPRQAAAVCAVLWVLVIGSLVARWLLGHNFNSMAFPLLGFYLPLAVVVFCSLKVVTALAQRVGQAEATRKAARMVWANLLVFVVCFLPLHVGLTVRLAVLETIRRALYITSKLSDANCCLDAICYYYMAKEFQEASALAVAPSA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AKEFQEASALAVAPSA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295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15</v>
      </c>
    </row>
    <row r="168" spans="1:53" x14ac:dyDescent="0.2">
      <c r="A168" s="1" t="str">
        <f>'SegEnds_NonXtal_Prot#'!A144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'SegEnds_NonXtal_Prot#'!A145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'SegEnds_NonXtal_Prot#'!A146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'SegEnds_NonXtal_Prot#'!A147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'SegEnds_NonXtal_Prot#'!A148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'SegEnds_NonXtal_Prot#'!A150</f>
        <v>gpr6_human</v>
      </c>
      <c r="B173" s="1" t="str">
        <f t="shared" si="50"/>
        <v>WDVLLCVSGTVIAGENALVVALIASTTPMFVLVGSLATADLLAGCGLILHFVPSETVSLLTVGFLVASFAASVSSLLAITVDRYLSLYNTLLGVHLLLAATWTVSLGLGLLPVLGWARSHVALLSAAFFMVFGIMLHLYVRICQVVWRHAHQIALAPPHLAATRKGVGTLAVVLGTFGASWLPFAIYCVVGSHEYTYATLLPATYNSMINPIIYAFRNQEIQRALWLLLCGC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TLLGVHLLLAATWTVSLGLGLLPVLGW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NQEIQRALWLLLCGC</v>
      </c>
      <c r="R173" s="5">
        <f>VLOOKUP($A173,'SegEnds_NonXtal_Prot#'!$A:$AL,3,FALSE)</f>
        <v>75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207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347</v>
      </c>
      <c r="AP173" s="5">
        <f t="shared" si="63"/>
        <v>25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26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14</v>
      </c>
    </row>
    <row r="174" spans="1:53" x14ac:dyDescent="0.2">
      <c r="A174" s="1" t="str">
        <f>'SegEnds_NonXtal_Prot#'!A151</f>
        <v>gpr61_human</v>
      </c>
      <c r="B174" s="1" t="str">
        <f t="shared" si="50"/>
        <v>SVALFFMLLLDLTAVAGNAAVMAVIAKTLRKFVFVFHLCLVDLLAALTLMPLAMLSSSALFGEVACRLYLFLSVCFVSLAILSVSAINVERYYYVVHTLGLVASVLVGVWVKALAMASVPVLGRVSWCQLFVVVFAVLYFLLPLLLILVVYCSMFRVARVAAMQHGPLPPHRTFGGGKAAVVLLAVGGQFLLCWLPYFSFHLYVALSTGQVESVVTWIGYFCFTSNPFFYGCLNRQIRGELSKQFVC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TLGLVASVLVGVWVKALAMASVPVLGRVSW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</v>
      </c>
      <c r="R174" s="5">
        <f>VLOOKUP($A174,'SegEnds_NonXtal_Prot#'!$A:$AL,3,FALSE)</f>
        <v>43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184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358</v>
      </c>
      <c r="AP174" s="5">
        <f t="shared" si="63"/>
        <v>27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29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13</v>
      </c>
    </row>
    <row r="175" spans="1:53" x14ac:dyDescent="0.2">
      <c r="A175" s="1" t="str">
        <f>'SegEnds_NonXtal_Prot#'!A152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'SegEnds_NonXtal_Prot#'!A153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'SegEnds_NonXtal_Prot#'!A154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'SegEnds_NonXtal_Prot#'!A155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'SegEnds_NonXtal_Prot#'!A156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'SegEnds_NonXtal_Prot#'!A157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'SegEnds_NonXtal_Prot#'!A158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'SegEnds_NonXtal_Prot#'!A159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'SegEnds_NonXtal_Prot#'!A161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'SegEnds_NonXtal_Prot#'!A162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'SegEnds_NonXtal_Prot#'!A163</f>
        <v>hrh2_human</v>
      </c>
      <c r="B185" s="1" t="str">
        <f t="shared" si="50"/>
        <v>STACKITITVVLAVLILITVAGNVVVCLAVGLNNLTNCFIVSLAITDLLLGLLVLPFSAIYQLSCGKVFCNIYTSLDVMLCTASILNLFMISLDRYCAVMDTPVRVAISLVLIWVISITLSFLSIHNEVYGLVDGLVTFYLPLLIMCITYYRIFKVARDQAKRINSWKAATIREHKATVTLAAVMGAFIICWFPYFTAFVYRGLRNEVLEAIVLWLGYANSALNPILYAALNRDFRTGYQQLFC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STACKITITVVLAVLILITVAGNVVVCLAVGLN</v>
      </c>
      <c r="G185" s="4" t="str">
        <f t="shared" si="52"/>
        <v>RRLR</v>
      </c>
      <c r="H185" s="4" t="str">
        <f t="shared" si="53"/>
        <v>NLTNCFIVSLAITDLLLGLLVLPFSAIYQLSC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14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82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155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32</v>
      </c>
      <c r="AQ185" s="4">
        <f t="shared" si="64"/>
        <v>3</v>
      </c>
      <c r="AR185" s="4">
        <f t="shared" si="65"/>
        <v>31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24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'SegEnds_NonXtal_Prot#'!A164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'SegEnds_NonXtal_Prot#'!A165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'SegEnds_NonXtal_Prot#'!A166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'SegEnds_NonXtal_Prot#'!A167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'SegEnds_NonXtal_Prot#'!A168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'SegEnds_NonXtal_Prot#'!A169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'SegEnds_NonXtal_Prot#'!A170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'SegEnds_NonXtal_Prot#'!A171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'SegEnds_NonXtal_Prot#'!A172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'SegEnds_NonXtal_Prot#'!A174</f>
        <v>mas_human</v>
      </c>
      <c r="B195" s="1" t="str">
        <f t="shared" si="75"/>
        <v>VGNAHRQIPIVHWVIMSISPVGFVENGILLWFLCFRNPFTVYITHLSIADISLLFCIFILSIDYALDSSGHYYTIVTLSVTFLFGYNTGLYLLTAISVERCLSVLYPKYQSALVCALLWALSCLVTTMEYVMCNDCRAVIIFIAILSFLVFTPLMLVSSTILVVKIRKNTWSSKLYIVIMVTIIIFLIFAMPMRLLYLLYYEYGNLHHISLLFSTINSSANPFIYFFVGSSKKKRFKESLKVVL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VGNAHRQIPIVHWVIMSISPVGFVENGILLWFLCFR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NDCRAVIIFIAILSFLVFTPLMLVSSTILVVKIRKNTW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GSSKKKRFKESLKVVL</v>
      </c>
      <c r="R195" s="5">
        <f>VLOOKUP($A195,'SegEnds_NonXtal_Prot#'!$A:$AL,3,FALSE)</f>
        <v>25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182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299</v>
      </c>
      <c r="AP195" s="5">
        <f t="shared" si="88"/>
        <v>35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37</v>
      </c>
      <c r="AY195" s="4">
        <f t="shared" si="97"/>
        <v>31</v>
      </c>
      <c r="AZ195" s="4">
        <f t="shared" si="98"/>
        <v>24</v>
      </c>
      <c r="BA195" s="4">
        <f t="shared" si="99"/>
        <v>15</v>
      </c>
    </row>
    <row r="196" spans="1:53" x14ac:dyDescent="0.2">
      <c r="A196" s="1" t="str">
        <f>'SegEnds_NonXtal_Prot#'!A175</f>
        <v>mas1l_human</v>
      </c>
      <c r="B196" s="1" t="str">
        <f t="shared" si="75"/>
        <v>VGQQALPLNIIAPKAVLVSLCGVLLNGTVFWLLCCGNPYMVYILHLVAADVIYLCCSAVGFLQVTLHGVVFFIPDFLAILSPFSFEVCLCLLVAISTERCVCVLFPKYTSNVVCTLIWGLPFCINIVKSLFLVKACVIFLKLSGLFHAILSLVMCVSSLTLLIRFLCCSQATRVYAVVQISAPMFLLWALPLSVAPLITDFKTSYLISLFLIINSSANPIIYFFVGSLRKKRLKESLRVIL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VGQQALPLNIIAPKAVLVSLCGVLLNGTVFWLLCCG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VKACVIFLKLSGLFHAILSLVMCVSSLTLLIRFLCCSQ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</v>
      </c>
      <c r="R196" s="5">
        <f>VLOOKUP($A196,'SegEnds_NonXtal_Prot#'!$A:$AL,3,FALSE)</f>
        <v>68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218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333</v>
      </c>
      <c r="AP196" s="5">
        <f t="shared" si="88"/>
        <v>35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37</v>
      </c>
      <c r="AY196" s="4">
        <f t="shared" si="97"/>
        <v>31</v>
      </c>
      <c r="AZ196" s="4">
        <f t="shared" si="98"/>
        <v>22</v>
      </c>
      <c r="BA196" s="4">
        <f t="shared" si="99"/>
        <v>15</v>
      </c>
    </row>
    <row r="197" spans="1:53" x14ac:dyDescent="0.2">
      <c r="A197" s="1" t="str">
        <f>'SegEnds_NonXtal_Prot#'!A176</f>
        <v>mc3r_human</v>
      </c>
      <c r="B197" s="1" t="str">
        <f t="shared" si="75"/>
        <v>KPEVFLSLGIVSLLENILVILAVVRNSPMYFFLCSLAVADMLVSVSNALETIMIAIVDQFIQHMDNIFDSMICISLVASICNLLAIAVDRYVTIFYTVRKALTLIVAIWVCCGVCGVVFIVYSSKMVIVCLITMFFAMMLLMGTLYVHMFLFARLHVKRIAQHSCMKGAVTITILLGVFIFCWAPFFLHLVLIITCHFNTYLVLIMCNSVIDPLIYAFRSLELRNTFREILCGC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TVRKALTLIVAIWVCCGVCGVVFIVYS</v>
      </c>
      <c r="M197" s="4" t="str">
        <f t="shared" si="83"/>
        <v/>
      </c>
      <c r="N197" s="4" t="str">
        <f t="shared" si="84"/>
        <v>SKMVIVCLITMFFAMMLLMGTLYVHMFLFARLHVKRIA</v>
      </c>
      <c r="O197" s="4" t="str">
        <f t="shared" si="85"/>
        <v>QHSCMKGAVTITILLGVFIFCWAPFFLHLVLIITC</v>
      </c>
      <c r="P197" s="4" t="str">
        <f t="shared" si="86"/>
        <v>HFNTYLVLIMCNSVIDPLIYAFR</v>
      </c>
      <c r="Q197" s="4" t="str">
        <f t="shared" si="87"/>
        <v>SLELRNTFREILCGC</v>
      </c>
      <c r="R197" s="5">
        <f>VLOOKUP($A197,'SegEnds_NonXtal_Prot#'!$A:$AL,3,FALSE)</f>
        <v>41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234</v>
      </c>
      <c r="AB197" s="5">
        <f>VLOOKUP($A197,'SegEnds_NonXtal_Prot#'!$A:$AL,33,FALSE)</f>
        <v>280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183</v>
      </c>
      <c r="AK197" s="5" t="str">
        <f>VLOOKUP($A197,'SegEnds_NonXtal_Prot#'!$A:$AL,26,FALSE)</f>
        <v>-</v>
      </c>
      <c r="AL197" s="5">
        <f>VLOOKUP($A197,'SegEnds_NonXtal_Prot#'!$A:$AL,29,FALSE)</f>
        <v>222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317</v>
      </c>
      <c r="AP197" s="5">
        <f t="shared" si="88"/>
        <v>25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37</v>
      </c>
      <c r="AY197" s="4">
        <f t="shared" si="97"/>
        <v>34</v>
      </c>
      <c r="AZ197" s="4">
        <f t="shared" si="98"/>
        <v>22</v>
      </c>
      <c r="BA197" s="4">
        <f t="shared" si="99"/>
        <v>14</v>
      </c>
    </row>
    <row r="198" spans="1:53" x14ac:dyDescent="0.2">
      <c r="A198" s="1" t="str">
        <f>'SegEnds_NonXtal_Prot#'!A177</f>
        <v>mc4r_human</v>
      </c>
      <c r="B198" s="1" t="str">
        <f t="shared" si="75"/>
        <v>SPEVFVTLGVISLLENILVIVAIAKNSPMYFFICSLAVADMLVSVSNGSETIVITLLQSFTVNIDNVIDSVICSSLLASICSLLSIAVDRYFTIFYTVKRVGIIISCIWAACTVSGILFIIYSSSAVIICLITMFFTMLALMASLYVHMFLMARLHIKRIAQGANMKGAITLTILIGVFVVCWAPFFLHLIFYISCHFNLYLILIMCNSIIDPLIYALRSQELRKTFKEIICCY</v>
      </c>
      <c r="C198" s="29" t="str">
        <f>IF(ISERROR(MATCH(A198,'SegEnds_Xtal_Prot#'!B:B, 0)), "NoXtal", "Xtal")</f>
        <v>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TVKRVGIIISCIWAACTVSGILFIIYS</v>
      </c>
      <c r="M198" s="4" t="str">
        <f t="shared" si="83"/>
        <v/>
      </c>
      <c r="N198" s="4" t="str">
        <f t="shared" si="84"/>
        <v>SSAVIICLITMFFTMLALMASLYVHMFLMARLHIKRIA</v>
      </c>
      <c r="O198" s="4" t="str">
        <f t="shared" si="85"/>
        <v>QGANMKGAITLTILIGVFVVCWAPFFLHLIFYISC</v>
      </c>
      <c r="P198" s="4" t="str">
        <f t="shared" si="86"/>
        <v>HFNLYLILIMCNSIIDPLIYALR</v>
      </c>
      <c r="Q198" s="4" t="str">
        <f t="shared" si="87"/>
        <v>SQELRKTFKEIICCY</v>
      </c>
      <c r="R198" s="5">
        <f>VLOOKUP($A198,'SegEnds_NonXtal_Prot#'!$A:$AL,3,FALSE)</f>
        <v>47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190</v>
      </c>
      <c r="AA198" s="5">
        <f>VLOOKUP($A198,'SegEnds_NonXtal_Prot#'!$A:$AL,30,FALSE)</f>
        <v>237</v>
      </c>
      <c r="AB198" s="5">
        <f>VLOOKUP($A198,'SegEnds_NonXtal_Prot#'!$A:$AL,33,FALSE)</f>
        <v>283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188</v>
      </c>
      <c r="AK198" s="5" t="str">
        <f>VLOOKUP($A198,'SegEnds_NonXtal_Prot#'!$A:$AL,26,FALSE)</f>
        <v>-</v>
      </c>
      <c r="AL198" s="5">
        <f>VLOOKUP($A198,'SegEnds_NonXtal_Prot#'!$A:$AL,29,FALSE)</f>
        <v>227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320</v>
      </c>
      <c r="AP198" s="5">
        <f t="shared" si="88"/>
        <v>25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37</v>
      </c>
      <c r="AY198" s="4">
        <f t="shared" si="97"/>
        <v>34</v>
      </c>
      <c r="AZ198" s="4">
        <f t="shared" si="98"/>
        <v>22</v>
      </c>
      <c r="BA198" s="4">
        <f t="shared" si="99"/>
        <v>14</v>
      </c>
    </row>
    <row r="199" spans="1:53" x14ac:dyDescent="0.2">
      <c r="A199" s="1" t="str">
        <f>'SegEnds_NonXtal_Prot#'!A178</f>
        <v>mc5r_human</v>
      </c>
      <c r="B199" s="1" t="str">
        <f t="shared" si="75"/>
        <v>AVEVFLTLGVISLLENILVIGAIVKNSPMYFFVCSLAVADMLVSMSSAWETITIYLLDAFVRHIDNVFDSMICISVVASMCSLLAIAVDRYVTIFYTARRSGAIIAGIWAFCTGCGIVFILYSSTYVILCLISMFFAMLFLLVSLYIHMFLLARTHVKRIAQRTSMQGAVTVTMLLGVFTVCWAPFFLHLTLMLSCHFNMYLILIMCNSVMDPLIYAFRSQEMRKTFKEIICCR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AVEVFLTLGVISLLENILVIGAIVKN</v>
      </c>
      <c r="G199" s="4" t="str">
        <f t="shared" si="77"/>
        <v>KNLH</v>
      </c>
      <c r="H199" s="4" t="str">
        <f t="shared" si="78"/>
        <v>SPMYFFVCSLAVADMLVSMSSAWETITIYLL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TARRSGAIIAGIWAFCTGCGIVFILYS</v>
      </c>
      <c r="M199" s="4" t="str">
        <f t="shared" si="83"/>
        <v/>
      </c>
      <c r="N199" s="4" t="str">
        <f t="shared" si="84"/>
        <v>STYVILCLISMFFAMLFLLVSLYIHMFLLARTHVKRIA</v>
      </c>
      <c r="O199" s="4" t="str">
        <f t="shared" si="85"/>
        <v>QRTSMQGAVTVTMLLGVFTVCWAPFFLHLTLMLSC</v>
      </c>
      <c r="P199" s="4" t="str">
        <f t="shared" si="86"/>
        <v>HFNMYLILIMCNSVMDPLIYAFR</v>
      </c>
      <c r="Q199" s="4" t="str">
        <f t="shared" si="87"/>
        <v>SQEMRKTFKEIICCR</v>
      </c>
      <c r="R199" s="5">
        <f>VLOOKUP($A199,'SegEnds_NonXtal_Prot#'!$A:$AL,3,FALSE)</f>
        <v>39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183</v>
      </c>
      <c r="AA199" s="5">
        <f>VLOOKUP($A199,'SegEnds_NonXtal_Prot#'!$A:$AL,30,FALSE)</f>
        <v>230</v>
      </c>
      <c r="AB199" s="5">
        <f>VLOOKUP($A199,'SegEnds_NonXtal_Prot#'!$A:$AL,33,FALSE)</f>
        <v>276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99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181</v>
      </c>
      <c r="AK199" s="5" t="str">
        <f>VLOOKUP($A199,'SegEnds_NonXtal_Prot#'!$A:$AL,26,FALSE)</f>
        <v>-</v>
      </c>
      <c r="AL199" s="5">
        <f>VLOOKUP($A199,'SegEnds_NonXtal_Prot#'!$A:$AL,29,FALSE)</f>
        <v>220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313</v>
      </c>
      <c r="AP199" s="5">
        <f t="shared" si="88"/>
        <v>25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26</v>
      </c>
      <c r="AW199" s="4" t="str">
        <f t="shared" si="95"/>
        <v>-</v>
      </c>
      <c r="AX199" s="4">
        <f t="shared" si="96"/>
        <v>37</v>
      </c>
      <c r="AY199" s="4">
        <f t="shared" si="97"/>
        <v>34</v>
      </c>
      <c r="AZ199" s="4">
        <f t="shared" si="98"/>
        <v>22</v>
      </c>
      <c r="BA199" s="4">
        <f t="shared" si="99"/>
        <v>14</v>
      </c>
    </row>
    <row r="200" spans="1:53" x14ac:dyDescent="0.2">
      <c r="A200" s="1" t="str">
        <f>'SegEnds_NonXtal_Prot#'!A179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'SegEnds_NonXtal_Prot#'!A180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'SegEnds_NonXtal_Prot#'!A182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'SegEnds_NonXtal_Prot#'!A183</f>
        <v>mrgrf_human</v>
      </c>
      <c r="B203" s="1" t="str">
        <f t="shared" si="75"/>
        <v>QIAMLPPPAVMNYIFLLLCLCGLVGNGLVLWFFGFSNPFSIYFLHLASADVGYLFSKAVFSILNTGGADYIRSVCRVLGLCMFLTGVSLLPAVSAERCASVIFPKRLSAVVCALLWVLSLLVTCLHNYFCAACRHMDIFLGILLFLLCCPLMVLPCLALILHVECRARSAKLNHVILAMVSVFLVSSIYLGIDWFLFWVFPFPEYVTDLCICINSSAKPIVYFLAGRDKSQRLWEPLRVVF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QIAMLPPPAVMNYIFLLLCLCGLVGNGLVLWFFGFS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GRDKSQRLWEPLRVVF</v>
      </c>
      <c r="R203" s="5">
        <f>VLOOKUP($A203,'SegEnds_NonXtal_Prot#'!$A:$AL,3,FALSE)</f>
        <v>37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310</v>
      </c>
      <c r="AP203" s="5">
        <f t="shared" si="88"/>
        <v>35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15</v>
      </c>
    </row>
    <row r="204" spans="1:53" x14ac:dyDescent="0.2">
      <c r="A204" s="1" t="str">
        <f>'SegEnds_NonXtal_Prot#'!A185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'SegEnds_NonXtal_Prot#'!A186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'SegEnds_NonXtal_Prot#'!A187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'SegEnds_NonXtal_Prot#'!A188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'SegEnds_NonXtal_Prot#'!A189</f>
        <v>mshr_human</v>
      </c>
      <c r="B208" s="1" t="str">
        <f t="shared" si="75"/>
        <v>SDGLFLSLGLVSLVENALVVATIAKNSPMYCFICCLALSDLLVSGSNVLETAVILLLAAVLQQLDNVIDVITCSSMLSSLCFLGAIAVDRYISIFYTLPRARRAVAAIWVASVVFSTLFIAYYHVAVLLCLVVFFLAMLVLMAVLYVHMLARACQHAQGIAQGFGLKGAVTLTILLGIFFLCWGPFFLHLTLIVLCNFNLFLALIICNAIIDPLIYAFHSQELRRTLKEVLTCS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TLPRARRAVAAIWVASVVFSTLFIAYY</v>
      </c>
      <c r="M208" s="4" t="str">
        <f t="shared" si="83"/>
        <v/>
      </c>
      <c r="N208" s="4" t="str">
        <f t="shared" si="84"/>
        <v>HVAVLLCLVVFFLAMLVLMAVLYVHMLARACQHAQGIA</v>
      </c>
      <c r="O208" s="4" t="str">
        <f t="shared" si="85"/>
        <v>QGFGLKGAVTLTILLGIFFLCWGPFFLHLTLIVLC</v>
      </c>
      <c r="P208" s="4" t="str">
        <f t="shared" si="86"/>
        <v>NFNLFLALIICNAIIDPLIYAFH</v>
      </c>
      <c r="Q208" s="4" t="str">
        <f t="shared" si="87"/>
        <v>SQELRRTLKEVLTCS</v>
      </c>
      <c r="R208" s="5">
        <f>VLOOKUP($A208,'SegEnds_NonXtal_Prot#'!$A:$AL,3,FALSE)</f>
        <v>41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185</v>
      </c>
      <c r="AA208" s="5">
        <f>VLOOKUP($A208,'SegEnds_NonXtal_Prot#'!$A:$AL,30,FALSE)</f>
        <v>233</v>
      </c>
      <c r="AB208" s="5">
        <f>VLOOKUP($A208,'SegEnds_NonXtal_Prot#'!$A:$AL,33,FALSE)</f>
        <v>279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183</v>
      </c>
      <c r="AK208" s="5" t="str">
        <f>VLOOKUP($A208,'SegEnds_NonXtal_Prot#'!$A:$AL,26,FALSE)</f>
        <v>-</v>
      </c>
      <c r="AL208" s="5">
        <f>VLOOKUP($A208,'SegEnds_NonXtal_Prot#'!$A:$AL,29,FALSE)</f>
        <v>222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316</v>
      </c>
      <c r="AP208" s="5">
        <f t="shared" si="88"/>
        <v>25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37</v>
      </c>
      <c r="AY208" s="4">
        <f t="shared" si="97"/>
        <v>34</v>
      </c>
      <c r="AZ208" s="4">
        <f t="shared" si="98"/>
        <v>22</v>
      </c>
      <c r="BA208" s="4">
        <f t="shared" si="99"/>
        <v>14</v>
      </c>
    </row>
    <row r="209" spans="1:53" x14ac:dyDescent="0.2">
      <c r="A209" s="1" t="str">
        <f>'SegEnds_NonXtal_Prot#'!A190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'SegEnds_NonXtal_Prot#'!A192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'SegEnds_NonXtal_Prot#'!A193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'SegEnds_NonXtal_Prot#'!A194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'SegEnds_NonXtal_Prot#'!A195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'SegEnds_NonXtal_Prot#'!A196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'SegEnds_NonXtal_Prot#'!A197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'SegEnds_NonXtal_Prot#'!A198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'SegEnds_NonXtal_Prot#'!A199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'SegEnds_NonXtal_Prot#'!A200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'SegEnds_NonXtal_Prot#'!A202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'SegEnds_NonXtal_Prot#'!A203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'SegEnds_NonXtal_Prot#'!A207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'SegEnds_NonXtal_Prot#'!A208</f>
        <v>opsd_todpa</v>
      </c>
      <c r="B222" s="1" t="str">
        <f t="shared" si="75"/>
        <v>DAVYYSLGIFIGICGIIGCGGNGIVIYLFTKTTPANMFIINLAFSDFTFSLVNGFPLMTISCFGFAACKVYGFIGGIFGFMSIMTMAMISIDRYNVIGRSHRRAFIMIIFVWLWSVLWAIGPIFTTRSNILCMFILGFFGPILIIFFCYFNIVMSVSNHEKEMAAMAKKELRKAQAGANAEMRLAKISIVIVSQFLLSWSPYAVVALLAQFGTPYAAQLPVMFAKASAIHNPMIYSVSHPKFREAISQTFP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HPKFREAISQTFP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196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97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146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331</v>
      </c>
      <c r="AP222" s="5">
        <f t="shared" si="88"/>
        <v>31</v>
      </c>
      <c r="AQ222" s="4">
        <f t="shared" si="89"/>
        <v>3</v>
      </c>
      <c r="AR222" s="4">
        <f t="shared" si="90"/>
        <v>30</v>
      </c>
      <c r="AS222" s="4">
        <f t="shared" si="91"/>
        <v>3</v>
      </c>
      <c r="AT222" s="4">
        <f t="shared" si="92"/>
        <v>35</v>
      </c>
      <c r="AU222" s="4">
        <f t="shared" si="93"/>
        <v>6</v>
      </c>
      <c r="AV222" s="4">
        <f t="shared" si="94"/>
        <v>24</v>
      </c>
      <c r="AW222" s="4">
        <f t="shared" si="95"/>
        <v>2</v>
      </c>
      <c r="AX222" s="4">
        <f t="shared" si="96"/>
        <v>43</v>
      </c>
      <c r="AY222" s="4">
        <f t="shared" si="97"/>
        <v>43</v>
      </c>
      <c r="AZ222" s="4">
        <f t="shared" si="98"/>
        <v>25</v>
      </c>
      <c r="BA222" s="4">
        <f t="shared" si="99"/>
        <v>12</v>
      </c>
    </row>
    <row r="223" spans="1:53" x14ac:dyDescent="0.2">
      <c r="A223" s="1" t="str">
        <f>'SegEnds_NonXtal_Prot#'!A209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'SegEnds_NonXtal_Prot#'!A210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'SegEnds_NonXtal_Prot#'!A211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'SegEnds_NonXtal_Prot#'!A212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'SegEnds_NonXtal_Prot#'!A213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'SegEnds_NonXtal_Prot#'!A214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'SegEnds_NonXtal_Prot#'!A217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'SegEnds_NonXtal_Prot#'!A218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'SegEnds_NonXtal_Prot#'!A219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'SegEnds_NonXtal_Prot#'!A220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'SegEnds_NonXtal_Prot#'!A221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'SegEnds_NonXtal_Prot#'!A222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'SegEnds_NonXtal_Prot#'!A223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'SegEnds_NonXtal_Prot#'!A224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'SegEnds_NonXtal_Prot#'!A225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'SegEnds_NonXtal_Prot#'!A226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'SegEnds_NonXtal_Prot#'!A227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'SegEnds_NonXtal_Prot#'!A228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'SegEnds_NonXtal_Prot#'!A230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'SegEnds_NonXtal_Prot#'!A231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'SegEnds_NonXtal_Prot#'!A232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'SegEnds_NonXtal_Prot#'!A233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'SegEnds_NonXtal_Prot#'!A234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'SegEnds_NonXtal_Prot#'!A235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'SegEnds_NonXtal_Prot#'!A236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'SegEnds_NonXtal_Prot#'!A237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'SegEnds_NonXtal_Prot#'!A238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'SegEnds_NonXtal_Prot#'!A239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'SegEnds_NonXtal_Prot#'!A240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'SegEnds_NonXtal_Prot#'!A242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'SegEnds_NonXtal_Prot#'!A243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'SegEnds_NonXtal_Prot#'!A244</f>
        <v>taar2_human</v>
      </c>
      <c r="B254" s="1" t="str">
        <f t="shared" si="75"/>
        <v>RVAMYSFMAGSIFITIFGNLAMIISISYFTPTNFLILSMAITDFLLGFTIMPYSMIRSVENGLTFCKIYYSFDLMLSITSIFHLCSVAIDRFYAICYTIPVIKRLLLLCWSVPGAFAFGVVFNKLWGTTLFMAGFFTPGSMMVGIYGKIFAVSRKHAHAINNQNNQVKKDKKAAKTLGIVIGVFLLCWFPCFFTILLDPFLPVVLFDALTWFGYFNSTCNPLIYGFFYPWFRRALKYILLG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YPWFRRALKYILLG</v>
      </c>
      <c r="R254" s="5">
        <f>VLOOKUP($A254,'SegEnds_NonXtal_Prot#'!$A:$AL,3,FALSE)</f>
        <v>43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332</v>
      </c>
      <c r="AP254" s="5">
        <f t="shared" si="88"/>
        <v>28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'SegEnds_NonXtal_Prot#'!A245</f>
        <v>taar3_human</v>
      </c>
      <c r="B255" s="1" t="str">
        <f t="shared" si="75"/>
        <v>LFSCPGDNVFGYDWSHDYPLFGNLVIMVSISHFSPTNFLILSMATTDFLLGFVIMPYSIMRSVESGDGFCKFHTSFDMMLRLTSIFHLCSIAIDRFYAVCYTNSTIKQLLAFCWSVPALFSFGLVLNKFWGTILFTTCFFTPGSIMVGIYGKIFIVSKQHARVISHVKKHLSKKKDRKAAKTLGIVMGVFLACWLPCFLAVLIDPYLPILILDLLVWLRYFNSTCNPLIHGFFNPWFQKAFKYIVS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LFSCPGDNVFGYDWSHDYPLFGNLVIMVSISHF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27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32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'SegEnds_NonXtal_Prot#'!A246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'SegEnds_NonXtal_Prot#'!A247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'SegEnds_NonXtal_Prot#'!A248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'SegEnds_NonXtal_Prot#'!A250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'SegEnds_NonXtal_Prot#'!A251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'SegEnds_NonXtal_Prot#'!A252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'SegEnds_NonXtal_Prot#'!A253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'SegEnds_NonXtal_Prot#'!A254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'SegEnds_NonXtal_Prot#'!A256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'SegEnds_NonXtal_Prot#'!A257</f>
        <v>hrh3_human</v>
      </c>
      <c r="B265" s="1" t="str">
        <f t="shared" si="100"/>
        <v>SAAWTAVLAALMALLIVATVLGNALVMLAFVADTQNNFFLLNLAISDFLVGAFCIPLYVPYVLTGGRGLCKLWLVVDYLLCTSSAFNIVLISYDRFLSVTRDTRRAVRKMLLVWVLAFLLYGPAILSNWYFLITASTLEFFTPFLSVTFFNLSIYLNIQRRTRLRLDGRFRLSRDRKVAKSLAVIVSIFGLCWAPYTLLMIIRAACPDYWYETSFWLLWANSAVNPVLYPLCHHSFRRAFTKLLC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SAAWTAVLAALMALLIVATVLGNALVMLAFVAD</v>
      </c>
      <c r="G265" s="4" t="str">
        <f t="shared" si="102"/>
        <v>SSLR</v>
      </c>
      <c r="H265" s="4" t="str">
        <f t="shared" si="103"/>
        <v>TQNNFFLLNLAISDFLVGAFCIPLYVPYVLTG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30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98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32</v>
      </c>
      <c r="AQ265" s="4">
        <f t="shared" si="114"/>
        <v>3</v>
      </c>
      <c r="AR265" s="4">
        <f t="shared" si="115"/>
        <v>31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'SegEnds_NonXtal_Prot#'!A258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'SegEnds_NonXtal_Prot#'!A259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'SegEnds_NonXtal_Prot#'!A260</f>
        <v>ccr6_human</v>
      </c>
      <c r="B268" s="1" t="str">
        <f t="shared" si="100"/>
        <v>QEVRQFSRLFVPIAYSLICVFGLLGNILVVITFAFYSMTDVYLLNMAIADILFVLTLPFWAVSHATGSNATCKLLKGIYAINFNCGMLLLTCISMDRYIAIVQTLPRSKIICLVVWGLSVIISSSTFVFNPIRWKLLMLGLELLFGFFIPLMFMIFCYTFIVKTLVQARHKAIRVIIAVVLVFLACQIPHNMVLLVTAANLGKMSCQSEKLIGYTKTVTEVLAFLHCCLNPVLYAFIGQKFRNYFLKILKDLW</v>
      </c>
      <c r="C268" s="29" t="str">
        <f>IF(ISERROR(MATCH(A268,'SegEnds_Xtal_Prot#'!B:B, 0)), "NoXtal", "Xtal")</f>
        <v>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QEVRQFSRLFVPIAYSLICVFGLLGNILVVITFAFY</v>
      </c>
      <c r="G268" s="4" t="str">
        <f t="shared" si="102"/>
        <v>KKAR</v>
      </c>
      <c r="H268" s="4" t="str">
        <f t="shared" si="103"/>
        <v>SMTDVYLLNMAIADILFVLTLPFWAVSHATG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PIRWKLLMLGLELLFGFFIPLMFMIFCYTFIVKTLVQA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</v>
      </c>
      <c r="R268" s="5">
        <f>VLOOKUP($A268,'SegEnds_NonXtal_Prot#'!$A:$AL,3,FALSE)</f>
        <v>39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207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109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156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335</v>
      </c>
      <c r="AP268" s="5">
        <f t="shared" si="113"/>
        <v>35</v>
      </c>
      <c r="AQ268" s="4">
        <f t="shared" si="114"/>
        <v>3</v>
      </c>
      <c r="AR268" s="4">
        <f t="shared" si="115"/>
        <v>30</v>
      </c>
      <c r="AS268" s="4">
        <f t="shared" si="116"/>
        <v>3</v>
      </c>
      <c r="AT268" s="4">
        <f t="shared" si="117"/>
        <v>35</v>
      </c>
      <c r="AU268" s="4">
        <f t="shared" si="118"/>
        <v>6</v>
      </c>
      <c r="AV268" s="4">
        <f t="shared" si="119"/>
        <v>26</v>
      </c>
      <c r="AW268" s="4">
        <f t="shared" si="120"/>
        <v>2</v>
      </c>
      <c r="AX268" s="4">
        <f t="shared" si="121"/>
        <v>37</v>
      </c>
      <c r="AY268" s="4">
        <f t="shared" si="122"/>
        <v>35</v>
      </c>
      <c r="AZ268" s="4">
        <f t="shared" si="123"/>
        <v>32</v>
      </c>
      <c r="BA268" s="4">
        <f t="shared" si="124"/>
        <v>15</v>
      </c>
    </row>
    <row r="269" spans="1:53" x14ac:dyDescent="0.2">
      <c r="A269" s="1" t="str">
        <f>'SegEnds_NonXtal_Prot#'!A261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'SegEnds_NonXtal_Prot#'!A262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'SegEnds_NonXtal_Prot#'!A263</f>
        <v>cxcr6_human</v>
      </c>
      <c r="B271" s="1" t="str">
        <f t="shared" si="100"/>
        <v>QDFLQFSKVFLPCMYLVVFVCGLVGNSLVLVISIFYSLTDVFLVNLPLADLVFVCTLPFWAYAGIHGQVMCKSLLGIYTINFYTSMLILTCITVDRFIVVVKRMTWGKVTSLLIWVISLLVSLPQIIYGDEAISTVVLATQMTLGFFLPLLTMIVCYSVIIKTLLHAKHRSLKIIFLVMAVFLLTQMPFNLMKFIRSTHEYYAMTSFHYTIMVTEAIAYLRACLNPVLYAFVSLKFRKNFWKLVKDIG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QDFLQFSKVFLPCMYLVVFVCGLVGNSLVLVISIFY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DEAISTVVLATQMTLGFFLPLLTMIVCYSVIIKTLLHA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</v>
      </c>
      <c r="R271" s="5">
        <f>VLOOKUP($A271,'SegEnds_NonXtal_Prot#'!$A:$AL,3,FALSE)</f>
        <v>24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184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140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307</v>
      </c>
      <c r="AP271" s="5">
        <f t="shared" si="113"/>
        <v>35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6</v>
      </c>
      <c r="AV271" s="4">
        <f t="shared" si="119"/>
        <v>26</v>
      </c>
      <c r="AW271" s="4">
        <f t="shared" si="120"/>
        <v>2</v>
      </c>
      <c r="AX271" s="4">
        <f t="shared" si="121"/>
        <v>37</v>
      </c>
      <c r="AY271" s="4">
        <f t="shared" si="122"/>
        <v>31</v>
      </c>
      <c r="AZ271" s="4">
        <f t="shared" si="123"/>
        <v>32</v>
      </c>
      <c r="BA271" s="4">
        <f t="shared" si="124"/>
        <v>15</v>
      </c>
    </row>
    <row r="272" spans="1:53" x14ac:dyDescent="0.2">
      <c r="A272" s="1" t="str">
        <f>'SegEnds_NonXtal_Prot#'!A264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'SegEnds_NonXtal_Prot#'!A265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'SegEnds_NonXtal_Prot#'!A267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'SegEnds_NonXtal_Prot#'!A268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'SegEnds_NonXtal_Prot#'!A269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'SegEnds_NonXtal_Prot#'!A270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'SegEnds_NonXtal_Prot#'!A271</f>
        <v>gp146_human</v>
      </c>
      <c r="B278" s="1" t="str">
        <f t="shared" si="100"/>
        <v>QDLQLGLSLLSLLGLVVGVPVGLCYNALLVLANLHSYFVNMAVAGLVLSALAPVHLLGPPSSRGGEVHVALQIPFNVSSLVAMYSTALLSLDHYIERALSVYNTRHVCGFVWGGALLTSFSSLLFYKMQNAEAADATLVFIGYVVPALATLYALVLLSRVRREDRDTGRLEPSAHRLLVATVCTQFGLWTPHYLILLGHTVIISRDAHYLGLLHFVKDFSKLLAFSSSFVTPLLYRYMNQSFPSKLQRLMKKLP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NQSFPSKLQRLMKKLP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180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315</v>
      </c>
      <c r="AP278" s="5">
        <f t="shared" si="113"/>
        <v>35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37</v>
      </c>
      <c r="AY278" s="4">
        <f t="shared" si="122"/>
        <v>40</v>
      </c>
      <c r="AZ278" s="4">
        <f t="shared" si="123"/>
        <v>32</v>
      </c>
      <c r="BA278" s="4">
        <f t="shared" si="124"/>
        <v>15</v>
      </c>
    </row>
    <row r="279" spans="1:53" x14ac:dyDescent="0.2">
      <c r="A279" s="1" t="str">
        <f>'SegEnds_NonXtal_Prot#'!A272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'SegEnds_NonXtal_Prot#'!A273</f>
        <v>gp150_human</v>
      </c>
      <c r="B280" s="1" t="str">
        <f t="shared" si="100"/>
        <v>PPSRRVRLVFLGVILVVAVAGNTTVLCRLCGGRKMDFLLVQLALADLYACGGTALSQLAWELLGAATGDLACRFLQLLQASGRGASAHLVVLIALERRRAVRLHGRPLPARALAALGWLLALLLALPPAFVLQVYAFYEAVAGFVAPVTVLGVACGHLLSVWWRHRPQAPAPAPSALPRAKVQSLKMSLLLALLFVGCELPYFAARLAAAWSGEGLSAALRVVAMANSALNPFVYLFFQAGDCRLRRQLRK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PPSRRVRLVFLGVILVVAVAGNTTVLCRLCGG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HGRPLPARALAALGWLLALLLALPPAFV</v>
      </c>
      <c r="M280" s="4" t="str">
        <f t="shared" si="108"/>
        <v>CHG</v>
      </c>
      <c r="N280" s="4" t="str">
        <f t="shared" si="109"/>
        <v>LQVYAFYEAVAGFVAPVTVLGVACGHLLSVWWRHRPQAPA</v>
      </c>
      <c r="O280" s="4" t="str">
        <f t="shared" si="110"/>
        <v>PAPSALPRAKVQSLKMSLLLALLFVGCELPYFAARLAAAWS</v>
      </c>
      <c r="P280" s="4" t="str">
        <f t="shared" si="111"/>
        <v>GEGLSAALRVVAMANSALNPFVYLFF</v>
      </c>
      <c r="Q280" s="4" t="str">
        <f t="shared" si="112"/>
        <v>QAGDCRLRRQLRK</v>
      </c>
      <c r="R280" s="5">
        <f>VLOOKUP($A280,'SegEnds_NonXtal_Prot#'!$A:$AL,3,FALSE)</f>
        <v>39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155</v>
      </c>
      <c r="Y280" s="5">
        <f>VLOOKUP($A280,'SegEnds_NonXtal_Prot#'!$A:$AL,24,FALSE)</f>
        <v>217</v>
      </c>
      <c r="Z280" s="5">
        <f>VLOOKUP($A280,'SegEnds_NonXtal_Prot#'!$A:$AL,27,FALSE)</f>
        <v>229</v>
      </c>
      <c r="AA280" s="5">
        <f>VLOOKUP($A280,'SegEnds_NonXtal_Prot#'!$A:$AL,30,FALSE)</f>
        <v>281</v>
      </c>
      <c r="AB280" s="5">
        <f>VLOOKUP($A280,'SegEnds_NonXtal_Prot#'!$A:$AL,33,FALSE)</f>
        <v>330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182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31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27</v>
      </c>
      <c r="AW280" s="4">
        <f t="shared" si="120"/>
        <v>2</v>
      </c>
      <c r="AX280" s="4">
        <f t="shared" si="121"/>
        <v>39</v>
      </c>
      <c r="AY280" s="4">
        <f t="shared" si="122"/>
        <v>40</v>
      </c>
      <c r="AZ280" s="4">
        <f t="shared" si="123"/>
        <v>25</v>
      </c>
      <c r="BA280" s="4">
        <f t="shared" si="124"/>
        <v>12</v>
      </c>
    </row>
    <row r="281" spans="1:53" x14ac:dyDescent="0.2">
      <c r="A281" s="1" t="str">
        <f>'SegEnds_NonXtal_Prot#'!A274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'SegEnds_NonXtal_Prot#'!A275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'SegEnds_NonXtal_Prot#'!A276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'SegEnds_NonXtal_Prot#'!A277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'SegEnds_NonXtal_Prot#'!A278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'SegEnds_NonXtal_Prot#'!A279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'SegEnds_NonXtal_Prot#'!A281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'SegEnds_NonXtal_Prot#'!A282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'SegEnds_NonXtal_Prot#'!A283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'SegEnds_NonXtal_Prot#'!A284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'SegEnds_NonXtal_Prot#'!A285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'SegEnds_NonXtal_Prot#'!A286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'SegEnds_NonXtal_Prot#'!A287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'SegEnds_NonXtal_Prot#'!A288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'SegEnds_NonXtal_Prot#'!A289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'SegEnds_NonXtal_Prot#'!A290</f>
        <v>npy2r_human</v>
      </c>
      <c r="B296" s="1" t="str">
        <f t="shared" si="100"/>
        <v>LIEVQVVLILAYCSIILLGVIGNSLVIHVVIKFTVTNFFIANLAVADLLVNTLCLPFTLTYTLMGGPVLCHLVPYAQGLAVQVSTITLTVIALDRHRCIVYSKRISFLIIGLAWGISALLASPLAIFRKSIYGTVYSLSSLLILYVLPLGIISFSYTRIWSKLKNHVSPGNDHYHQRRQKTTKMLVCVVVVFAVSWLPLHAFQLAVDIDLKEYKLIFTVFHIIAMCSTFANPLLYGWMNSNYRKAFLSAF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LIEVQVVLILAYCSIILLGVIGNSLVIHVVIKF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KSIYGTVYSLSSLLILYVLPLGIISFSYTRIWSKLKNHVSPG</v>
      </c>
      <c r="O296" s="4" t="str">
        <f t="shared" si="110"/>
        <v>NDHYHQRRQKTTKMLVCVVVVFAVSWLPLHAFQLAVDID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46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212</v>
      </c>
      <c r="AA296" s="5">
        <f>VLOOKUP($A296,'SegEnds_NonXtal_Prot#'!$A:$AL,30,FALSE)</f>
        <v>256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32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41</v>
      </c>
      <c r="AY296" s="4">
        <f t="shared" si="122"/>
        <v>38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'SegEnds_NonXtal_Prot#'!A291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'SegEnds_NonXtal_Prot#'!A292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'SegEnds_NonXtal_Prot#'!A293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'SegEnds_NonXtal_Prot#'!A294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'SegEnds_NonXtal_Prot#'!A295</f>
        <v>oxyr_human</v>
      </c>
      <c r="B301" s="1" t="str">
        <f t="shared" si="100"/>
        <v>ARVEVAVLCLILLLALSGNACVLLALRTTSRLFFFMKHLSIADLVVAVFQVLPQLLWDIYGPDLLCRLVKYLQVVGMFASTYLLLLMSLDRCLAICQRRRTDRLAVLATWLGCLVASAPQVHIFWGPKAYITWITLAVYIVPVIVLAACYGLISFKIWQNLRLKTAAAKLISKAKIRTVKMTFIIVLAFIVCWTPFFFVQMWSVWDEASAFIIVMLLASLNSCCNPWIYMLFTGHLFHELVQRFLCCSA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TGHLFHELVQRFLCCSA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16</v>
      </c>
    </row>
    <row r="302" spans="1:53" x14ac:dyDescent="0.2">
      <c r="A302" s="1" t="str">
        <f>'SegEnds_NonXtal_Prot#'!A296</f>
        <v>pkr1_human</v>
      </c>
      <c r="B302" s="1" t="str">
        <f t="shared" si="100"/>
        <v>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'SegEnds_NonXtal_Prot#'!A298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'SegEnds_NonXtal_Prot#'!A299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'SegEnds_NonXtal_Prot#'!A304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'SegEnds_NonXtal_Prot#'!A305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'SegEnds_NonXtal_Prot#'!A306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'SegEnds_NonXtal_Prot#'!A307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'SegEnds_NonXtal_Prot#'!A308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'SegEnds_NonXtal_Prot#'!A309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'SegEnds_NonXtal_Prot#'!A310</f>
        <v>gipr_human</v>
      </c>
      <c r="B311" s="1" t="str">
        <f t="shared" si="100"/>
        <v>FLDQRLILERLQVMYTVGYSLSLATLLLALLILSLFCTRNYIHINLFTSFMLRAAAILSRDRLLAACRTAQIVTQYCVGANYTWLLVEGVYLHSLLVLGHFRYYLLLGWGAPALFVIPWVIVRYLYEWWIIRTPILMTILINFLIFIRILGILLSKLRTDYRLRLARSTLTLVPLLGVHEVVFAPGALRFAKLGFEIFLSSFQGFLVSVLYCFINKEVQSEIRRGWHHCRLRRSLGEEQR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296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31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'SegEnds_NonXtal_Prot#'!A311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'SegEnds_NonXtal_Prot#'!A312</f>
        <v>glp2r_human</v>
      </c>
      <c r="B313" s="1" t="str">
        <f t="shared" si="100"/>
        <v>NVDRYALLSTLQLMYTVGYSFSLISLFLALTLLLFLCTRNYIHMNLFASFILRTLAVLVKDVVFTSCRSVQVLLHYFVGANYLWLLVEGLYLHTLLEPRLWPRYLLLGWAFPVLFVVPWGFARAHLEWWIIRGPMMLCVTVNFFIFLKILKLLISKLKADYKYRLAKSTLVLIPLLGVHEILFSFGFAKLIRLFIQLTLSSFHGFLVALQYGFANGEVKAELRKYWVRFLLARHSGCRAC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340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31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'SegEnds_NonXtal_Prot#'!A313</f>
        <v>glr_human</v>
      </c>
      <c r="B314" s="1" t="str">
        <f t="shared" si="100"/>
        <v>QKEVAKMYSSFQVMYTVGYSLSLGALLLALAILGGLCTRNAIHANLFASFVLKASSVLVIDGLLRTRYSAVAGCRVAAVFMQYGIVANYCWLLVEGLYLHNLLGLSFFSLYLGIGWGAPMLFVVPWAVVKCLFEWWILRFPVFLAILINFFIFVRIVQLLVAKLRADYKFRLAKSTLTLIPLLGVHEVVFAFQGTLRSAKLFFDLFLSSFQGLLVAVLYCFLNKEVQSELRRRWHRWRLGKVLWEERN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304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31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'SegEnds_NonXtal_Prot#'!A314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'SegEnds_NonXtal_Prot#'!A315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'SegEnds_NonXtal_Prot#'!A316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'SegEnds_NonXtal_Prot#'!A317</f>
        <v>sctr_human</v>
      </c>
      <c r="B318" s="1" t="str">
        <f t="shared" si="100"/>
        <v>NDSSNEKRHSYLLKLKVMYTVGYSSSLVMLLVALGILCAFCTRNYIHMHLFVSFILRALSNFIKDAVLRAGCKLVMVLFQYCIMANYSWLLVEGLYLHTLLAIKYLQGFVAFGWGSPAIFVALWAIARHFLENASIWWIIRGPVILSILINFILFINILRILMRKLNEVSHYKRLARSTLLLIPLFGIHYIVFAFSMEIQLFFELALGSFQGLVVAVLYCFLNGEVQLEVQKKWQQWHLREFPLHPVA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'SegEnds_NonXtal_Prot#'!A318</f>
        <v>vipr1_human</v>
      </c>
      <c r="B319" s="1" t="str">
        <f t="shared" si="100"/>
        <v>AASLDEQQTMFYGSVKTGYTIGYGLSLATLLVATAILSLFCTRNYIHMHLFISFILRAAAVFIKDLALSVGCKAAMVFFQYCVMANFFWLLVEGLYLYTLLAVKYFWGYILIGWGVPSTFTMVWTIARIHFENSSLWWIIKGPILTSILVNFILFICIIRILLQKLSDSSPYSRLARSTLLLIPLFGVHYIMFAFFPEVKMVFELVVGSFQGFVVAILYCFLNGEVQAELRRKWRRWHLQGVLGWNPK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'SegEnds_NonXtal_Prot#'!A319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'SegEnds_NonXtal_Prot#'!A320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'SegEnds_NonXtal_Prot#'!A321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'SegEnds_NonXtal_Prot#'!A322</f>
        <v>agra3_human</v>
      </c>
      <c r="B323" s="1" t="str">
        <f t="shared" si="125"/>
        <v>ELYTQAASLLHPVVYTTAIILLLCLLAVIVSYIYHHSLISLKSWHMLVNLCFHIFLTCVVFVGGISICQAVGIILHYSTLATVLWVGVTARNIYKQVTKPMLRFYLIGGGIPIIVCGITAAANIKNYWEPSLGAFYGPASFITFVNCMYFLSIFIQLKRHPTFHSQLLGASLTLLLYVALWMFGALPLDLVFSFVFGATSLSFSAFFVVHHCVNREDVRLAWIMTCCPGRS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873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27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'SegEnds_NonXtal_Prot#'!A323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'SegEnds_NonXtal_Prot#'!A324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'SegEnds_NonXtal_Prot#'!A325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'SegEnds_NonXtal_Prot#'!A327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'SegEnds_NonXtal_Prot#'!A328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'SegEnds_NonXtal_Prot#'!A329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'SegEnds_NonXtal_Prot#'!A330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'SegEnds_NonXtal_Prot#'!A331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'SegEnds_NonXtal_Prot#'!A333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'SegEnds_NonXtal_Prot#'!A334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'SegEnds_NonXtal_Prot#'!A335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'SegEnds_NonXtal_Prot#'!A336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'SegEnds_NonXtal_Prot#'!A337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'SegEnds_NonXtal_Prot#'!A338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'SegEnds_NonXtal_Prot#'!A339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'SegEnds_NonXtal_Prot#'!A340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'SegEnds_NonXtal_Prot#'!A341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'SegEnds_NonXtal_Prot#'!A342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'SegEnds_NonXtal_Prot#'!A343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'SegEnds_NonXtal_Prot#'!A344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'SegEnds_NonXtal_Prot#'!A345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'SegEnds_NonXtal_Prot#'!A346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'SegEnds_NonXtal_Prot#'!A347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'SegEnds_NonXtal_Prot#'!A348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'SegEnds_NonXtal_Prot#'!A349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'SegEnds_NonXtal_Prot#'!A350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'SegEnds_NonXtal_Prot#'!A351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'SegEnds_NonXtal_Prot#'!A353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'SegEnds_NonXtal_Prot#'!A354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'SegEnds_NonXtal_Prot#'!A355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'SegEnds_NonXtal_Prot#'!A356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'SegEnds_NonXtal_Prot#'!A357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'SegEnds_NonXtal_Prot#'!A358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'SegEnds_NonXtal_Prot#'!A359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'SegEnds_NonXtal_Prot#'!A360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'SegEnds_NonXtal_Prot#'!A361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'SegEnds_NonXtal_Prot#'!A362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'SegEnds_NonXtal_Prot#'!A364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'SegEnds_NonXtal_Prot#'!A365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'SegEnds_NonXtal_Prot#'!A366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'SegEnds_NonXtal_Prot#'!A367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'SegEnds_NonXtal_Prot#'!A368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'SegEnds_NonXtal_Prot#'!A369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'SegEnds_NonXtal_Prot#'!A370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'SegEnds_NonXtal_Prot#'!A372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'SegEnds_NonXtal_Prot#'!A373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'SegEnds_NonXtal_Prot#'!A374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'SegEnds_NonXtal_Prot#'!A376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'SegEnds_NonXtal_Prot#'!A377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'SegEnds_NonXtal_Prot#'!A378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'SegEnds_NonXtal_Prot#'!A379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'SegEnds_NonXtal_Prot#'!A380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'SegEnds_NonXtal_Prot#'!A381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'SegEnds_NonXtal_Prot#'!A382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'SegEnds_NonXtal_Prot#'!A383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'SegEnds_NonXtal_Prot#'!A384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'SegEnds_NonXtal_Prot#'!A388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'SegEnds_NonXtal_Prot#'!A385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'SegEnds_NonXtal_Prot#'!A390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'SegEnds_NonXtal_Prot#'!A391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'SegEnds_NonXtal_Prot#'!A389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'SegEnds_NonXtal_Prot#'!A392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'SegEnds_NonXtal_Prot#'!A394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'SegEnds_NonXtal_Prot#'!A395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'SegEnds_NonXtal_Prot#'!A396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'SegEnds_NonXtal_Prot#'!A397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'SegEnds_NonXtal_Prot#'!A398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'SegEnds_NonXtal_Prot#'!A399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'SegEnds_NonXtal_Prot#'!A400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'SegEnds_NonXtal_Prot#'!A401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'SegEnds_NonXtal_Prot#'!A403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'SegEnds_NonXtal_Prot#'!A404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'SegEnds_NonXtal_Prot#'!A405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'SegEnds_NonXtal_Prot#'!A406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'SegEnds_NonXtal_Prot#'!A407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'SegEnds_NonXtal_Prot#'!A409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'SegEnds_NonXtal_Prot#'!A410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'SegEnds_NonXtal_Prot#'!A411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'SegEnds_NonXtal_Prot#'!A412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'SegEnds_NonXtal_Prot#'!A413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'SegEnds_NonXtal_Prot#'!A414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'SegEnds_NonXtal_Prot#'!A415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'SegEnds_NonXtal_Prot#'!A416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6"/>
  <sheetViews>
    <sheetView topLeftCell="A26" workbookViewId="0">
      <selection activeCell="B40" sqref="B40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1153</v>
      </c>
      <c r="B1" s="32" t="s">
        <v>1111</v>
      </c>
      <c r="C1" s="32" t="s">
        <v>1399</v>
      </c>
      <c r="D1" s="33" t="s">
        <v>1223</v>
      </c>
      <c r="E1" s="32" t="s">
        <v>1400</v>
      </c>
      <c r="F1" s="32" t="s">
        <v>1401</v>
      </c>
      <c r="G1" s="85" t="s">
        <v>1364</v>
      </c>
      <c r="H1" s="32" t="s">
        <v>1489</v>
      </c>
    </row>
    <row r="2" spans="1:12" s="10" customFormat="1" x14ac:dyDescent="0.2">
      <c r="A2" s="3" t="s">
        <v>468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453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472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461</v>
      </c>
      <c r="B5" s="1" t="s">
        <v>158</v>
      </c>
      <c r="C5" t="s">
        <v>905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481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456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925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467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463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475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457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459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464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465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466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476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471</v>
      </c>
      <c r="B18" s="1" t="s">
        <v>1167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474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460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458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1182</v>
      </c>
      <c r="B22" s="1" t="s">
        <v>32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1192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1197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1190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1188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1179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1186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1180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1181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1185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1178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1177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1183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1193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1187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1191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1409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1189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1695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1172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1173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1174</v>
      </c>
      <c r="B43" s="1" t="s">
        <v>402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415</v>
      </c>
      <c r="B44" s="1" t="s">
        <v>400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416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1196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1195</v>
      </c>
      <c r="B47" s="1" t="s">
        <v>402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1176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1194</v>
      </c>
      <c r="B49" s="1" t="s">
        <v>402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1175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1693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1184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477</v>
      </c>
      <c r="B53" s="1" t="s">
        <v>201</v>
      </c>
      <c r="C53" t="s">
        <v>1167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480</v>
      </c>
      <c r="B54" s="1" t="s">
        <v>363</v>
      </c>
      <c r="C54" t="s">
        <v>1167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1694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417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482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462</v>
      </c>
      <c r="B58" s="1" t="s">
        <v>132</v>
      </c>
      <c r="C58" t="s">
        <v>913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470</v>
      </c>
      <c r="B59" s="1" t="s">
        <v>1167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455</v>
      </c>
      <c r="B60" s="1" t="s">
        <v>359</v>
      </c>
      <c r="C60" t="s">
        <v>1171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454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478</v>
      </c>
      <c r="B62" s="1" t="s">
        <v>177</v>
      </c>
      <c r="C62" t="s">
        <v>351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452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473</v>
      </c>
      <c r="B64" s="1" t="s">
        <v>277</v>
      </c>
      <c r="C64" t="s">
        <v>919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155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Xtal</v>
      </c>
      <c r="J71" s="3"/>
    </row>
    <row r="72" spans="1:10" x14ac:dyDescent="0.2">
      <c r="A72" s="3" t="s">
        <v>157</v>
      </c>
      <c r="B72" s="1" t="s">
        <v>157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157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155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155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1170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296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469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150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905</v>
      </c>
      <c r="C104" t="s">
        <v>905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905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905</v>
      </c>
      <c r="B106" s="1" t="s">
        <v>905</v>
      </c>
      <c r="C106" t="s">
        <v>905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905</v>
      </c>
      <c r="C107" t="s">
        <v>905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907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191</v>
      </c>
      <c r="C111" t="s">
        <v>907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133</v>
      </c>
      <c r="C112" t="s">
        <v>907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907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907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907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157</v>
      </c>
      <c r="C116" t="s">
        <v>907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907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907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907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907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907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907</v>
      </c>
      <c r="B122" s="1" t="s">
        <v>907</v>
      </c>
      <c r="C122" t="s">
        <v>907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156</v>
      </c>
      <c r="C123" t="s">
        <v>907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156</v>
      </c>
      <c r="C124" t="s">
        <v>907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359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5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174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335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174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174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174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174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1167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1167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1167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1167</v>
      </c>
      <c r="B174" s="1" t="s">
        <v>1167</v>
      </c>
      <c r="C174" t="s">
        <v>1167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1167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1167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1167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1167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1690</v>
      </c>
      <c r="B182" s="1" t="s">
        <v>1690</v>
      </c>
      <c r="C182" t="s">
        <v>193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ref="G182" si="3">OR(D182=F182,AND(D182="T",F182="A"),AND(D182="B2",F182="B1"),D182="O")</f>
        <v>1</v>
      </c>
      <c r="H182" s="10" t="str">
        <f>IF(ISERROR(MATCH(A182,'SegEnds_Xtal_Prot#'!B:B, 0)), "NoXtal", "Xtal")</f>
        <v>Xtal</v>
      </c>
      <c r="J182" s="3"/>
    </row>
    <row r="183" spans="1:10" x14ac:dyDescent="0.2">
      <c r="A183" s="3" t="s">
        <v>156</v>
      </c>
      <c r="B183" s="1" t="s">
        <v>156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Xtal</v>
      </c>
      <c r="J183" s="3"/>
    </row>
    <row r="184" spans="1:10" x14ac:dyDescent="0.2">
      <c r="A184" s="3" t="s">
        <v>272</v>
      </c>
      <c r="B184" s="1" t="s">
        <v>1170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263</v>
      </c>
      <c r="B185" s="1" t="s">
        <v>192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365</v>
      </c>
      <c r="B186" s="1" t="s">
        <v>363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262</v>
      </c>
      <c r="B187" s="1" t="s">
        <v>133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265</v>
      </c>
      <c r="B188" s="1" t="s">
        <v>174</v>
      </c>
      <c r="C188" t="s">
        <v>192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NoXtal</v>
      </c>
      <c r="J188" s="3"/>
    </row>
    <row r="189" spans="1:10" x14ac:dyDescent="0.2">
      <c r="A189" s="3" t="s">
        <v>196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Xtal</v>
      </c>
      <c r="J189" s="3"/>
    </row>
    <row r="190" spans="1:10" x14ac:dyDescent="0.2">
      <c r="A190" s="3" t="s">
        <v>195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273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254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1692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316</v>
      </c>
      <c r="B194" s="1" t="s">
        <v>196</v>
      </c>
      <c r="C194" t="s">
        <v>196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NoXtal</v>
      </c>
      <c r="J194" s="3"/>
    </row>
    <row r="195" spans="1:10" x14ac:dyDescent="0.2">
      <c r="A195" s="3" t="s">
        <v>1168</v>
      </c>
      <c r="B195" s="1" t="s">
        <v>1168</v>
      </c>
      <c r="C195" t="s">
        <v>1168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si="2"/>
        <v>1</v>
      </c>
      <c r="H195" s="10" t="str">
        <f>IF(ISERROR(MATCH(A195,'SegEnds_Xtal_Prot#'!B:B, 0)), "NoXtal", "Xtal")</f>
        <v>Xtal</v>
      </c>
      <c r="J195" s="3"/>
    </row>
    <row r="196" spans="1:10" x14ac:dyDescent="0.2">
      <c r="A196" s="3" t="s">
        <v>197</v>
      </c>
      <c r="B196" s="1" t="s">
        <v>355</v>
      </c>
      <c r="C196" t="s">
        <v>1168</v>
      </c>
      <c r="D196" s="28" t="str">
        <f>VLOOKUP(A196,Classification!$A:$D,2,FALSE)</f>
        <v>A</v>
      </c>
      <c r="E196" s="49" t="str">
        <f>VLOOKUP(B196,Classification!$A:$D,2,FALSE)</f>
        <v>A</v>
      </c>
      <c r="F196" s="15" t="str">
        <f>VLOOKUP(C196,Classification!$A:$D,2,FALSE)</f>
        <v>A</v>
      </c>
      <c r="G196" s="15" t="b">
        <f t="shared" ref="G196:G259" si="4">OR(D196=F196,AND(D196="T",F196="A"),AND(D196="B2",F196="B1"),D196="O")</f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403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4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410</v>
      </c>
      <c r="B198" s="1" t="s">
        <v>407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4"/>
        <v>1</v>
      </c>
      <c r="H198" s="10" t="str">
        <f>IF(ISERROR(MATCH(A198,'SegEnds_Xtal_Prot#'!B:B, 0)), "NoXtal", "Xtal")</f>
        <v>NoXtal</v>
      </c>
      <c r="J198" s="3"/>
    </row>
    <row r="199" spans="1:10" x14ac:dyDescent="0.2">
      <c r="A199" s="3" t="s">
        <v>405</v>
      </c>
      <c r="B199" s="1" t="s">
        <v>405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4"/>
        <v>1</v>
      </c>
      <c r="H199" s="10" t="str">
        <f>IF(ISERROR(MATCH(A199,'SegEnds_Xtal_Prot#'!B:B, 0)), "NoXtal", "Xtal")</f>
        <v>Xtal</v>
      </c>
      <c r="J199" s="3"/>
    </row>
    <row r="200" spans="1:10" x14ac:dyDescent="0.2">
      <c r="A200" s="3" t="s">
        <v>412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4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407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4"/>
        <v>1</v>
      </c>
      <c r="H201" s="10" t="str">
        <f>IF(ISERROR(MATCH(A201,'SegEnds_Xtal_Prot#'!B:B, 0)), "NoXtal", "Xtal")</f>
        <v>Xtal</v>
      </c>
      <c r="J201" s="3"/>
    </row>
    <row r="202" spans="1:10" x14ac:dyDescent="0.2">
      <c r="A202" s="3" t="s">
        <v>411</v>
      </c>
      <c r="B202" s="1" t="s">
        <v>407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4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404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4"/>
        <v>1</v>
      </c>
      <c r="H203" s="10" t="str">
        <f>IF(ISERROR(MATCH(A203,'SegEnds_Xtal_Prot#'!B:B, 0)), "NoXtal", "Xtal")</f>
        <v>NoXtal</v>
      </c>
      <c r="J203" s="3"/>
    </row>
    <row r="204" spans="1:10" x14ac:dyDescent="0.2">
      <c r="A204" s="3" t="s">
        <v>32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4"/>
        <v>1</v>
      </c>
      <c r="H204" s="10" t="str">
        <f>IF(ISERROR(MATCH(A204,'SegEnds_Xtal_Prot#'!B:B, 0)), "NoXtal", "Xtal")</f>
        <v>Xtal</v>
      </c>
      <c r="J204" s="3"/>
    </row>
    <row r="205" spans="1:10" x14ac:dyDescent="0.2">
      <c r="A205" s="3" t="s">
        <v>406</v>
      </c>
      <c r="B205" s="1" t="s">
        <v>32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4"/>
        <v>1</v>
      </c>
      <c r="H205" s="10" t="str">
        <f>IF(ISERROR(MATCH(A205,'SegEnds_Xtal_Prot#'!B:B, 0)), "NoXtal", "Xtal")</f>
        <v>NoXtal</v>
      </c>
      <c r="J205" s="3"/>
    </row>
    <row r="206" spans="1:10" x14ac:dyDescent="0.2">
      <c r="A206" s="3" t="s">
        <v>408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4"/>
        <v>1</v>
      </c>
      <c r="H206" s="10" t="str">
        <f>IF(ISERROR(MATCH(A206,'SegEnds_Xtal_Prot#'!B:B, 0)), "NoXtal", "Xtal")</f>
        <v>Xtal</v>
      </c>
      <c r="J206" s="3"/>
    </row>
    <row r="207" spans="1:10" x14ac:dyDescent="0.2">
      <c r="A207" s="3" t="s">
        <v>409</v>
      </c>
      <c r="B207" s="1" t="s">
        <v>408</v>
      </c>
      <c r="C207" t="s">
        <v>32</v>
      </c>
      <c r="D207" s="28" t="str">
        <f>VLOOKUP(A207,Classification!$A:$D,2,FALSE)</f>
        <v>B1</v>
      </c>
      <c r="E207" s="49" t="str">
        <f>VLOOKUP(B207,Classification!$A:$D,2,FALSE)</f>
        <v>B1</v>
      </c>
      <c r="F207" s="15" t="str">
        <f>VLOOKUP(C207,Classification!$A:$D,2,FALSE)</f>
        <v>B1</v>
      </c>
      <c r="G207" s="15" t="b">
        <f t="shared" si="4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123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4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122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4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124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4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113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4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121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4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114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4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106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4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111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4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112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4"/>
        <v>1</v>
      </c>
      <c r="H216" s="10" t="str">
        <f>IF(ISERROR(MATCH(A216,'SegEnds_Xtal_Prot#'!B:B, 0)), "NoXtal", "Xtal")</f>
        <v>NoXtal</v>
      </c>
      <c r="J216" s="3"/>
    </row>
    <row r="217" spans="1:10" x14ac:dyDescent="0.2">
      <c r="A217" s="3" t="s">
        <v>40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4"/>
        <v>1</v>
      </c>
      <c r="H217" s="10" t="str">
        <f>IF(ISERROR(MATCH(A217,'SegEnds_Xtal_Prot#'!B:B, 0)), "NoXtal", "Xtal")</f>
        <v>Xtal</v>
      </c>
      <c r="J217" s="3"/>
    </row>
    <row r="218" spans="1:10" x14ac:dyDescent="0.2">
      <c r="A218" s="3" t="s">
        <v>108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4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109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4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110</v>
      </c>
      <c r="B220" s="1" t="s">
        <v>40</v>
      </c>
      <c r="C220" t="s">
        <v>40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4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118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4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116</v>
      </c>
      <c r="B222" s="1" t="s">
        <v>41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4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115</v>
      </c>
      <c r="B223" s="1" t="s">
        <v>40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4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120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4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117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4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119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4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107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4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105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4"/>
        <v>1</v>
      </c>
      <c r="H228" s="10" t="str">
        <f>IF(ISERROR(MATCH(A228,'SegEnds_Xtal_Prot#'!B:B, 0)), "NoXtal", "Xtal")</f>
        <v>NoXtal</v>
      </c>
      <c r="J228" s="3"/>
    </row>
    <row r="229" spans="1:10" x14ac:dyDescent="0.2">
      <c r="A229" s="3" t="s">
        <v>41</v>
      </c>
      <c r="B229" s="1" t="s">
        <v>41</v>
      </c>
      <c r="C229" t="s">
        <v>41</v>
      </c>
      <c r="D229" s="28" t="str">
        <f>VLOOKUP(A229,Classification!$A:$D,2,FALSE)</f>
        <v>C</v>
      </c>
      <c r="E229" s="49" t="str">
        <f>VLOOKUP(B229,Classification!$A:$D,2,FALSE)</f>
        <v>C</v>
      </c>
      <c r="F229" s="15" t="str">
        <f>VLOOKUP(C229,Classification!$A:$D,2,FALSE)</f>
        <v>C</v>
      </c>
      <c r="G229" s="15" t="b">
        <f t="shared" si="4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277</v>
      </c>
      <c r="B230" s="1" t="s">
        <v>277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4"/>
        <v>1</v>
      </c>
      <c r="H230" s="10" t="str">
        <f>IF(ISERROR(MATCH(A230,'SegEnds_Xtal_Prot#'!B:B, 0)), "NoXtal", "Xtal")</f>
        <v>Xtal</v>
      </c>
      <c r="J230" s="3"/>
    </row>
    <row r="231" spans="1:10" x14ac:dyDescent="0.2">
      <c r="A231" s="3" t="s">
        <v>218</v>
      </c>
      <c r="B231" s="1" t="s">
        <v>174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4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225</v>
      </c>
      <c r="B232" s="1" t="s">
        <v>354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4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244</v>
      </c>
      <c r="B233" s="1" t="s">
        <v>277</v>
      </c>
      <c r="C233" t="s">
        <v>277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4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248</v>
      </c>
      <c r="B234" s="1" t="s">
        <v>296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4"/>
        <v>1</v>
      </c>
      <c r="H234" s="10" t="str">
        <f>IF(ISERROR(MATCH(A234,'SegEnds_Xtal_Prot#'!B:B, 0)), "NoXtal", "Xtal")</f>
        <v>NoXtal</v>
      </c>
      <c r="J234" s="3"/>
    </row>
    <row r="235" spans="1:10" x14ac:dyDescent="0.2">
      <c r="A235" s="3" t="s">
        <v>103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4"/>
        <v>1</v>
      </c>
      <c r="H235" s="10" t="str">
        <f>IF(ISERROR(MATCH(A235,'SegEnds_Xtal_Prot#'!B:B, 0)), "NoXtal", "Xtal")</f>
        <v>Xtal</v>
      </c>
      <c r="J235" s="3"/>
    </row>
    <row r="236" spans="1:10" x14ac:dyDescent="0.2">
      <c r="A236" s="3" t="s">
        <v>285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4"/>
        <v>1</v>
      </c>
      <c r="H236" s="10" t="str">
        <f>IF(ISERROR(MATCH(A236,'SegEnds_Xtal_Prot#'!B:B, 0)), "NoXtal", "Xtal")</f>
        <v>NoXtal</v>
      </c>
      <c r="J236" s="3"/>
    </row>
    <row r="237" spans="1:10" x14ac:dyDescent="0.2">
      <c r="A237" s="3" t="s">
        <v>286</v>
      </c>
      <c r="B237" s="1" t="s">
        <v>103</v>
      </c>
      <c r="C237" t="s">
        <v>103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4"/>
        <v>1</v>
      </c>
      <c r="H237" s="10" t="str">
        <f>IF(ISERROR(MATCH(A237,'SegEnds_Xtal_Prot#'!B:B, 0)), "NoXtal", "Xtal")</f>
        <v>NoXtal</v>
      </c>
      <c r="I237" s="10"/>
      <c r="J237" s="3"/>
    </row>
    <row r="238" spans="1:10" x14ac:dyDescent="0.2">
      <c r="A238" s="3" t="s">
        <v>183</v>
      </c>
      <c r="B238" s="1" t="s">
        <v>183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4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182</v>
      </c>
      <c r="B239" s="1" t="s">
        <v>182</v>
      </c>
      <c r="C239" t="s">
        <v>182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4"/>
        <v>1</v>
      </c>
      <c r="H239" s="10" t="str">
        <f>IF(ISERROR(MATCH(A239,'SegEnds_Xtal_Prot#'!B:B, 0)), "NoXtal", "Xtal")</f>
        <v>Xtal</v>
      </c>
      <c r="J239" s="3"/>
    </row>
    <row r="240" spans="1:10" x14ac:dyDescent="0.2">
      <c r="A240" s="3" t="s">
        <v>361</v>
      </c>
      <c r="B240" s="1" t="s">
        <v>363</v>
      </c>
      <c r="C240" t="s">
        <v>909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4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208</v>
      </c>
      <c r="B241" s="1" t="s">
        <v>127</v>
      </c>
      <c r="C241" t="s">
        <v>909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4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329</v>
      </c>
      <c r="B242" s="1" t="s">
        <v>909</v>
      </c>
      <c r="C242" t="s">
        <v>909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4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127</v>
      </c>
      <c r="B243" s="1" t="s">
        <v>127</v>
      </c>
      <c r="C243" t="s">
        <v>909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4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909</v>
      </c>
      <c r="B244" s="1" t="s">
        <v>909</v>
      </c>
      <c r="C244" t="s">
        <v>909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4"/>
        <v>1</v>
      </c>
      <c r="H244" s="10" t="str">
        <f>IF(ISERROR(MATCH(A244,'SegEnds_Xtal_Prot#'!B:B, 0)), "NoXtal", "Xtal")</f>
        <v>Xtal</v>
      </c>
      <c r="J244" s="3"/>
    </row>
    <row r="245" spans="1:10" x14ac:dyDescent="0.2">
      <c r="A245" s="3" t="s">
        <v>309</v>
      </c>
      <c r="B245" s="1" t="s">
        <v>127</v>
      </c>
      <c r="C245" t="s">
        <v>909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4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215</v>
      </c>
      <c r="B246" s="1" t="s">
        <v>133</v>
      </c>
      <c r="C246" t="s">
        <v>909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4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317</v>
      </c>
      <c r="B247" s="1" t="s">
        <v>909</v>
      </c>
      <c r="C247" t="s">
        <v>909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4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318</v>
      </c>
      <c r="B248" s="1" t="s">
        <v>909</v>
      </c>
      <c r="C248" t="s">
        <v>909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4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255</v>
      </c>
      <c r="B249" s="1" t="s">
        <v>909</v>
      </c>
      <c r="C249" t="s">
        <v>909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4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223</v>
      </c>
      <c r="B250" s="1" t="s">
        <v>201</v>
      </c>
      <c r="C250" t="s">
        <v>909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4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320</v>
      </c>
      <c r="B251" s="1" t="s">
        <v>334</v>
      </c>
      <c r="C251" t="s">
        <v>911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4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267</v>
      </c>
      <c r="B252" s="1" t="s">
        <v>913</v>
      </c>
      <c r="C252" t="s">
        <v>911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4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299</v>
      </c>
      <c r="B253" s="1" t="s">
        <v>334</v>
      </c>
      <c r="C253" t="s">
        <v>911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4"/>
        <v>1</v>
      </c>
      <c r="H253" s="10" t="str">
        <f>IF(ISERROR(MATCH(A253,'SegEnds_Xtal_Prot#'!B:B, 0)), "NoXtal", "Xtal")</f>
        <v>NoXtal</v>
      </c>
      <c r="J253" s="3"/>
    </row>
    <row r="254" spans="1:10" x14ac:dyDescent="0.2">
      <c r="A254" s="3" t="s">
        <v>334</v>
      </c>
      <c r="B254" s="1" t="s">
        <v>334</v>
      </c>
      <c r="C254" s="1" t="s">
        <v>334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4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911</v>
      </c>
      <c r="B255" s="1" t="s">
        <v>334</v>
      </c>
      <c r="C255" t="s">
        <v>911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4"/>
        <v>1</v>
      </c>
      <c r="H255" s="10" t="str">
        <f>IF(ISERROR(MATCH(A255,'SegEnds_Xtal_Prot#'!B:B, 0)), "NoXtal", "Xtal")</f>
        <v>Xtal</v>
      </c>
      <c r="J255" s="3"/>
    </row>
    <row r="256" spans="1:10" x14ac:dyDescent="0.2">
      <c r="A256" s="3" t="s">
        <v>383</v>
      </c>
      <c r="B256" s="1" t="s">
        <v>334</v>
      </c>
      <c r="C256" t="s">
        <v>911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4"/>
        <v>1</v>
      </c>
      <c r="H256" s="10" t="str">
        <f>IF(ISERROR(MATCH(A256,'SegEnds_Xtal_Prot#'!B:B, 0)), "NoXtal", "Xtal")</f>
        <v>NoXtal</v>
      </c>
      <c r="J256" s="3"/>
    </row>
    <row r="257" spans="1:10" x14ac:dyDescent="0.2">
      <c r="A257" s="3" t="s">
        <v>359</v>
      </c>
      <c r="B257" s="1" t="s">
        <v>359</v>
      </c>
      <c r="C257" t="s">
        <v>911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4"/>
        <v>1</v>
      </c>
      <c r="H257" s="10" t="str">
        <f>IF(ISERROR(MATCH(A257,'SegEnds_Xtal_Prot#'!B:B, 0)), "NoXtal", "Xtal")</f>
        <v>Xtal</v>
      </c>
      <c r="J257" s="3"/>
    </row>
    <row r="258" spans="1:10" x14ac:dyDescent="0.2">
      <c r="A258" s="3" t="s">
        <v>199</v>
      </c>
      <c r="B258" s="1" t="s">
        <v>1171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4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250</v>
      </c>
      <c r="B259" s="1" t="s">
        <v>201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si="4"/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164</v>
      </c>
      <c r="B260" s="1" t="s">
        <v>165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ref="G260:G323" si="5">OR(D260=F260,AND(D260="T",F260="A"),AND(D260="B2",F260="B1"),D260="O")</f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307</v>
      </c>
      <c r="B261" s="1" t="s">
        <v>165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5"/>
        <v>1</v>
      </c>
      <c r="H261" s="10" t="str">
        <f>IF(ISERROR(MATCH(A261,'SegEnds_Xtal_Prot#'!B:B, 0)), "NoXtal", "Xtal")</f>
        <v>NoXtal</v>
      </c>
      <c r="J261" s="3"/>
    </row>
    <row r="262" spans="1:10" x14ac:dyDescent="0.2">
      <c r="A262" s="3" t="s">
        <v>335</v>
      </c>
      <c r="B262" s="1" t="s">
        <v>335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5"/>
        <v>1</v>
      </c>
      <c r="H262" s="10" t="str">
        <f>IF(ISERROR(MATCH(A262,'SegEnds_Xtal_Prot#'!B:B, 0)), "NoXtal", "Xtal")</f>
        <v>Xtal</v>
      </c>
      <c r="J262" s="3"/>
    </row>
    <row r="263" spans="1:10" x14ac:dyDescent="0.2">
      <c r="A263" s="3" t="s">
        <v>341</v>
      </c>
      <c r="B263" s="1" t="s">
        <v>359</v>
      </c>
      <c r="C263" t="s">
        <v>335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5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204</v>
      </c>
      <c r="B264" s="1" t="s">
        <v>335</v>
      </c>
      <c r="C264" t="s">
        <v>913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5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381</v>
      </c>
      <c r="B265" s="1" t="s">
        <v>335</v>
      </c>
      <c r="C265" t="s">
        <v>913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5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384</v>
      </c>
      <c r="B266" s="1" t="s">
        <v>335</v>
      </c>
      <c r="C266" t="s">
        <v>913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5"/>
        <v>1</v>
      </c>
      <c r="H266" s="10" t="str">
        <f>IF(ISERROR(MATCH(A266,'SegEnds_Xtal_Prot#'!B:B, 0)), "NoXtal", "Xtal")</f>
        <v>NoXtal</v>
      </c>
      <c r="J266" s="3"/>
    </row>
    <row r="267" spans="1:10" x14ac:dyDescent="0.2">
      <c r="A267" s="3" t="s">
        <v>913</v>
      </c>
      <c r="B267" s="1" t="s">
        <v>913</v>
      </c>
      <c r="C267" t="s">
        <v>913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5"/>
        <v>1</v>
      </c>
      <c r="H267" s="10" t="str">
        <f>IF(ISERROR(MATCH(A267,'SegEnds_Xtal_Prot#'!B:B, 0)), "NoXtal", "Xtal")</f>
        <v>Xtal</v>
      </c>
      <c r="J267" s="3"/>
    </row>
    <row r="268" spans="1:10" x14ac:dyDescent="0.2">
      <c r="A268" s="3" t="s">
        <v>336</v>
      </c>
      <c r="B268" s="1" t="s">
        <v>913</v>
      </c>
      <c r="C268" t="s">
        <v>913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5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380</v>
      </c>
      <c r="B269" s="1" t="s">
        <v>335</v>
      </c>
      <c r="C269" t="s">
        <v>913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5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396</v>
      </c>
      <c r="B270" s="1" t="s">
        <v>1171</v>
      </c>
      <c r="C270" t="s">
        <v>913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5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335</v>
      </c>
      <c r="C271" t="s">
        <v>913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5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205</v>
      </c>
      <c r="B272" s="1" t="s">
        <v>335</v>
      </c>
      <c r="C272" t="s">
        <v>913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5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209</v>
      </c>
      <c r="B273" s="1" t="s">
        <v>160</v>
      </c>
      <c r="C273" t="s">
        <v>913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5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216</v>
      </c>
      <c r="B274" s="1" t="s">
        <v>175</v>
      </c>
      <c r="C274" t="s">
        <v>1169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5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319</v>
      </c>
      <c r="B275" s="1" t="s">
        <v>335</v>
      </c>
      <c r="C275" t="s">
        <v>1169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5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298</v>
      </c>
      <c r="B276" s="1" t="s">
        <v>335</v>
      </c>
      <c r="C276" t="s">
        <v>1169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5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398</v>
      </c>
      <c r="B277" s="1" t="s">
        <v>909</v>
      </c>
      <c r="C277" t="s">
        <v>1169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5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217</v>
      </c>
      <c r="B278" s="1" t="s">
        <v>1690</v>
      </c>
      <c r="C278" t="s">
        <v>1169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5"/>
        <v>1</v>
      </c>
      <c r="H278" s="10" t="str">
        <f>IF(ISERROR(MATCH(A278,'SegEnds_Xtal_Prot#'!B:B, 0)), "NoXtal", "Xtal")</f>
        <v>NoXtal</v>
      </c>
      <c r="J278" s="3"/>
    </row>
    <row r="279" spans="1:10" x14ac:dyDescent="0.2">
      <c r="A279" s="3" t="s">
        <v>1169</v>
      </c>
      <c r="B279" s="1" t="s">
        <v>1169</v>
      </c>
      <c r="C279" t="s">
        <v>1169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5"/>
        <v>1</v>
      </c>
      <c r="H279" s="10" t="str">
        <f>IF(ISERROR(MATCH(A279,'SegEnds_Xtal_Prot#'!B:B, 0)), "NoXtal", "Xtal")</f>
        <v>Xtal</v>
      </c>
      <c r="J279" s="3"/>
    </row>
    <row r="280" spans="1:10" x14ac:dyDescent="0.2">
      <c r="A280" s="3" t="s">
        <v>395</v>
      </c>
      <c r="B280" s="1" t="s">
        <v>126</v>
      </c>
      <c r="C280" t="s">
        <v>1169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5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281</v>
      </c>
      <c r="B281" s="1" t="s">
        <v>335</v>
      </c>
      <c r="C281" t="s">
        <v>1169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5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393</v>
      </c>
      <c r="B282" s="1" t="s">
        <v>1169</v>
      </c>
      <c r="C282" t="s">
        <v>1169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5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397</v>
      </c>
      <c r="B283" s="1" t="s">
        <v>127</v>
      </c>
      <c r="C283" t="s">
        <v>1169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5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382</v>
      </c>
      <c r="B284" s="1" t="s">
        <v>335</v>
      </c>
      <c r="C284" t="s">
        <v>1169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5"/>
        <v>1</v>
      </c>
      <c r="H284" s="10" t="str">
        <f>IF(ISERROR(MATCH(A284,'SegEnds_Xtal_Prot#'!B:B, 0)), "NoXtal", "Xtal")</f>
        <v>NoXtal</v>
      </c>
      <c r="J284" s="3"/>
    </row>
    <row r="285" spans="1:10" x14ac:dyDescent="0.2">
      <c r="A285" s="3" t="s">
        <v>915</v>
      </c>
      <c r="B285" s="1" t="s">
        <v>915</v>
      </c>
      <c r="C285" t="s">
        <v>915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5"/>
        <v>1</v>
      </c>
      <c r="H285" s="10" t="str">
        <f>IF(ISERROR(MATCH(A285,'SegEnds_Xtal_Prot#'!B:B, 0)), "NoXtal", "Xtal")</f>
        <v>Xtal</v>
      </c>
      <c r="J285" s="3"/>
    </row>
    <row r="286" spans="1:10" x14ac:dyDescent="0.2">
      <c r="A286" s="3" t="s">
        <v>331</v>
      </c>
      <c r="B286" s="1" t="s">
        <v>915</v>
      </c>
      <c r="C286" t="s">
        <v>915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5"/>
        <v>1</v>
      </c>
      <c r="H286" s="10" t="str">
        <f>IF(ISERROR(MATCH(A286,'SegEnds_Xtal_Prot#'!B:B, 0)), "NoXtal", "Xtal")</f>
        <v>NoXtal</v>
      </c>
      <c r="J286" s="3"/>
    </row>
    <row r="287" spans="1:10" x14ac:dyDescent="0.2">
      <c r="A287" s="3" t="s">
        <v>338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5"/>
        <v>1</v>
      </c>
      <c r="H287" s="10" t="str">
        <f>IF(ISERROR(MATCH(A287,'SegEnds_Xtal_Prot#'!B:B, 0)), "NoXtal", "Xtal")</f>
        <v>Xtal</v>
      </c>
      <c r="J287" s="3"/>
    </row>
    <row r="288" spans="1:10" x14ac:dyDescent="0.2">
      <c r="A288" s="3" t="s">
        <v>339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5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340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5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337</v>
      </c>
      <c r="B290" s="1" t="s">
        <v>338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5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284</v>
      </c>
      <c r="B291" s="1" t="s">
        <v>310</v>
      </c>
      <c r="C291" t="s">
        <v>338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5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915</v>
      </c>
      <c r="C292" t="s">
        <v>917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5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332</v>
      </c>
      <c r="B293" s="1" t="s">
        <v>915</v>
      </c>
      <c r="C293" t="s">
        <v>917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5"/>
        <v>1</v>
      </c>
      <c r="H293" s="10" t="str">
        <f>IF(ISERROR(MATCH(A293,'SegEnds_Xtal_Prot#'!B:B, 0)), "NoXtal", "Xtal")</f>
        <v>NoXtal</v>
      </c>
      <c r="J293" s="3"/>
    </row>
    <row r="294" spans="1:10" x14ac:dyDescent="0.2">
      <c r="A294" s="3" t="s">
        <v>917</v>
      </c>
      <c r="B294" s="1" t="s">
        <v>338</v>
      </c>
      <c r="C294" t="s">
        <v>917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5"/>
        <v>1</v>
      </c>
      <c r="H294" s="10" t="str">
        <f>IF(ISERROR(MATCH(A294,'SegEnds_Xtal_Prot#'!B:B, 0)), "NoXtal", "Xtal")</f>
        <v>Xtal</v>
      </c>
      <c r="J294" s="3"/>
    </row>
    <row r="295" spans="1:10" x14ac:dyDescent="0.2">
      <c r="A295" s="3" t="s">
        <v>269</v>
      </c>
      <c r="B295" s="1" t="s">
        <v>132</v>
      </c>
      <c r="C295" t="s">
        <v>1170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5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325</v>
      </c>
      <c r="B296" s="1" t="s">
        <v>324</v>
      </c>
      <c r="C296" t="s">
        <v>1170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5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343</v>
      </c>
      <c r="B297" s="1" t="s">
        <v>1170</v>
      </c>
      <c r="C297" t="s">
        <v>1170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5"/>
        <v>1</v>
      </c>
      <c r="H297" s="10" t="str">
        <f>IF(ISERROR(MATCH(A297,'SegEnds_Xtal_Prot#'!B:B, 0)), "NoXtal", "Xtal")</f>
        <v>NoXtal</v>
      </c>
      <c r="J297" s="3"/>
    </row>
    <row r="298" spans="1:10" x14ac:dyDescent="0.2">
      <c r="A298" s="3" t="s">
        <v>1170</v>
      </c>
      <c r="B298" s="1" t="s">
        <v>1170</v>
      </c>
      <c r="C298" t="s">
        <v>1170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5"/>
        <v>1</v>
      </c>
      <c r="H298" s="10" t="str">
        <f>IF(ISERROR(MATCH(A298,'SegEnds_Xtal_Prot#'!B:B, 0)), "NoXtal", "Xtal")</f>
        <v>Xtal</v>
      </c>
      <c r="J298" s="3"/>
    </row>
    <row r="299" spans="1:10" x14ac:dyDescent="0.2">
      <c r="A299" s="3" t="s">
        <v>266</v>
      </c>
      <c r="B299" s="1" t="s">
        <v>191</v>
      </c>
      <c r="C299" t="s">
        <v>1170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5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221</v>
      </c>
      <c r="B300" s="1" t="s">
        <v>1690</v>
      </c>
      <c r="C300" t="s">
        <v>1170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5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322</v>
      </c>
      <c r="B301" s="1" t="s">
        <v>1170</v>
      </c>
      <c r="C301" t="s">
        <v>1170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5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314</v>
      </c>
      <c r="B302" s="1" t="s">
        <v>313</v>
      </c>
      <c r="C302" t="s">
        <v>1170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5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214</v>
      </c>
      <c r="B303" s="1" t="s">
        <v>310</v>
      </c>
      <c r="C303" t="s">
        <v>1170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5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231</v>
      </c>
      <c r="B304" s="1" t="s">
        <v>1170</v>
      </c>
      <c r="C304" t="s">
        <v>1170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5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327</v>
      </c>
      <c r="B305" s="1" t="s">
        <v>324</v>
      </c>
      <c r="C305" t="s">
        <v>1171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5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368</v>
      </c>
      <c r="B306" s="1" t="s">
        <v>1171</v>
      </c>
      <c r="C306" t="s">
        <v>1171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5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358</v>
      </c>
      <c r="B307" s="1" t="s">
        <v>363</v>
      </c>
      <c r="C307" t="s">
        <v>1171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5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323</v>
      </c>
      <c r="B308" s="1" t="s">
        <v>133</v>
      </c>
      <c r="C308" t="s">
        <v>1171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5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246</v>
      </c>
      <c r="B309" s="1" t="s">
        <v>191</v>
      </c>
      <c r="C309" t="s">
        <v>1171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5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259</v>
      </c>
      <c r="B310" s="1" t="s">
        <v>259</v>
      </c>
      <c r="C310" t="s">
        <v>1171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5"/>
        <v>1</v>
      </c>
      <c r="H310" s="10" t="str">
        <f>IF(ISERROR(MATCH(A310,'SegEnds_Xtal_Prot#'!B:B, 0)), "NoXtal", "Xtal")</f>
        <v>Xtal</v>
      </c>
      <c r="J310" s="3"/>
    </row>
    <row r="311" spans="1:10" x14ac:dyDescent="0.2">
      <c r="A311" s="3" t="s">
        <v>243</v>
      </c>
      <c r="B311" s="1" t="s">
        <v>259</v>
      </c>
      <c r="C311" t="s">
        <v>1171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5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1171</v>
      </c>
      <c r="C312" t="s">
        <v>1171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5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366</v>
      </c>
      <c r="B313" s="1" t="s">
        <v>1170</v>
      </c>
      <c r="C313" t="s">
        <v>1171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5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326</v>
      </c>
      <c r="B314" s="1" t="s">
        <v>324</v>
      </c>
      <c r="C314" t="s">
        <v>1171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5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311</v>
      </c>
      <c r="B315" s="1" t="s">
        <v>311</v>
      </c>
      <c r="C315" t="s">
        <v>1171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5"/>
        <v>1</v>
      </c>
      <c r="H315" s="10" t="str">
        <f>IF(ISERROR(MATCH(A315,'SegEnds_Xtal_Prot#'!B:B, 0)), "NoXtal", "Xtal")</f>
        <v>Xtal</v>
      </c>
      <c r="J315" s="3"/>
    </row>
    <row r="316" spans="1:10" x14ac:dyDescent="0.2">
      <c r="A316" s="3" t="s">
        <v>207</v>
      </c>
      <c r="B316" s="1" t="s">
        <v>1171</v>
      </c>
      <c r="C316" t="s">
        <v>1171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5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167</v>
      </c>
      <c r="B317" s="1" t="s">
        <v>1170</v>
      </c>
      <c r="C317" t="s">
        <v>1171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5"/>
        <v>1</v>
      </c>
      <c r="H317" s="10" t="str">
        <f>IF(ISERROR(MATCH(A317,'SegEnds_Xtal_Prot#'!B:B, 0)), "NoXtal", "Xtal")</f>
        <v>NoXtal</v>
      </c>
      <c r="J317" s="3"/>
    </row>
    <row r="318" spans="1:10" x14ac:dyDescent="0.2">
      <c r="A318" s="3" t="s">
        <v>324</v>
      </c>
      <c r="B318" s="1" t="s">
        <v>324</v>
      </c>
      <c r="C318" t="s">
        <v>1171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5"/>
        <v>1</v>
      </c>
      <c r="H318" s="10" t="str">
        <f>IF(ISERROR(MATCH(A318,'SegEnds_Xtal_Prot#'!B:B, 0)), "NoXtal", "Xtal")</f>
        <v>Xtal</v>
      </c>
      <c r="J318" s="3"/>
    </row>
    <row r="319" spans="1:10" x14ac:dyDescent="0.2">
      <c r="A319" s="3" t="s">
        <v>163</v>
      </c>
      <c r="B319" s="1" t="s">
        <v>196</v>
      </c>
      <c r="C319" t="s">
        <v>1171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5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268</v>
      </c>
      <c r="B320" s="1" t="s">
        <v>1171</v>
      </c>
      <c r="C320" t="s">
        <v>1171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5"/>
        <v>1</v>
      </c>
      <c r="H320" s="10" t="str">
        <f>IF(ISERROR(MATCH(A320,'SegEnds_Xtal_Prot#'!B:B, 0)), "NoXtal", "Xtal")</f>
        <v>NoXtal</v>
      </c>
      <c r="J320" s="3"/>
    </row>
    <row r="321" spans="1:10" x14ac:dyDescent="0.2">
      <c r="A321" s="3" t="s">
        <v>1171</v>
      </c>
      <c r="B321" s="1" t="s">
        <v>1171</v>
      </c>
      <c r="C321" t="s">
        <v>1171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5"/>
        <v>1</v>
      </c>
      <c r="H321" s="10" t="str">
        <f>IF(ISERROR(MATCH(A321,'SegEnds_Xtal_Prot#'!B:B, 0)), "NoXtal", "Xtal")</f>
        <v>Xtal</v>
      </c>
      <c r="J321" s="3"/>
    </row>
    <row r="322" spans="1:10" x14ac:dyDescent="0.2">
      <c r="A322" s="3" t="s">
        <v>241</v>
      </c>
      <c r="B322" s="1" t="s">
        <v>1171</v>
      </c>
      <c r="C322" t="s">
        <v>1171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5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371</v>
      </c>
      <c r="B323" s="1" t="s">
        <v>1171</v>
      </c>
      <c r="C323" t="s">
        <v>1171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si="5"/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321</v>
      </c>
      <c r="B324" s="1" t="s">
        <v>1170</v>
      </c>
      <c r="C324" t="s">
        <v>1171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ref="G324:G390" si="6">OR(D324=F324,AND(D324="T",F324="A"),AND(D324="B2",F324="B1"),D324="O")</f>
        <v>1</v>
      </c>
      <c r="H324" s="10" t="str">
        <f>IF(ISERROR(MATCH(A324,'SegEnds_Xtal_Prot#'!B:B, 0)), "NoXtal", "Xtal")</f>
        <v>NoXtal</v>
      </c>
      <c r="J324" s="3"/>
    </row>
    <row r="325" spans="1:10" x14ac:dyDescent="0.2">
      <c r="A325" s="3" t="s">
        <v>313</v>
      </c>
      <c r="B325" s="1" t="s">
        <v>313</v>
      </c>
      <c r="C325" t="s">
        <v>1171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6"/>
        <v>1</v>
      </c>
      <c r="H325" s="10" t="str">
        <f>IF(ISERROR(MATCH(A325,'SegEnds_Xtal_Prot#'!B:B, 0)), "NoXtal", "Xtal")</f>
        <v>Xtal</v>
      </c>
      <c r="J325" s="3"/>
    </row>
    <row r="326" spans="1:10" x14ac:dyDescent="0.2">
      <c r="A326" s="3" t="s">
        <v>315</v>
      </c>
      <c r="B326" s="1" t="s">
        <v>313</v>
      </c>
      <c r="C326" t="s">
        <v>1171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6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222</v>
      </c>
      <c r="B327" s="1" t="s">
        <v>159</v>
      </c>
      <c r="C327" t="s">
        <v>1171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6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224</v>
      </c>
      <c r="B328" s="1" t="s">
        <v>1690</v>
      </c>
      <c r="C328" t="s">
        <v>1171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6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312</v>
      </c>
      <c r="B329" s="1" t="s">
        <v>310</v>
      </c>
      <c r="C329" t="s">
        <v>1171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6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328</v>
      </c>
      <c r="B330" s="1" t="s">
        <v>324</v>
      </c>
      <c r="C330" t="s">
        <v>1171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6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347</v>
      </c>
      <c r="B331" s="1" t="s">
        <v>344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6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349</v>
      </c>
      <c r="B332" s="1" t="s">
        <v>370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6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342</v>
      </c>
      <c r="B333" s="1" t="s">
        <v>344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6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249</v>
      </c>
      <c r="B334" s="1" t="s">
        <v>334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6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385</v>
      </c>
      <c r="B335" s="1" t="s">
        <v>1593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6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1593</v>
      </c>
      <c r="B336" s="1" t="s">
        <v>1593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ref="G336" si="7">OR(D336=F336,AND(D336="T",F336="A"),AND(D336="B2",F336="B1"),D336="O")</f>
        <v>1</v>
      </c>
      <c r="H336" s="10" t="str">
        <f>IF(ISERROR(MATCH(A336,'SegEnds_Xtal_Prot#'!B:B, 0)), "NoXtal", "Xtal")</f>
        <v>Xtal</v>
      </c>
      <c r="J336" s="3"/>
    </row>
    <row r="337" spans="1:10" x14ac:dyDescent="0.2">
      <c r="A337" s="3" t="s">
        <v>230</v>
      </c>
      <c r="B337" s="1" t="s">
        <v>344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6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180</v>
      </c>
      <c r="B338" s="1" t="s">
        <v>180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6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179</v>
      </c>
      <c r="B339" s="1" t="s">
        <v>179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6"/>
        <v>1</v>
      </c>
      <c r="H339" s="10" t="str">
        <f>IF(ISERROR(MATCH(A339,'SegEnds_Xtal_Prot#'!B:B, 0)), "NoXtal", "Xtal")</f>
        <v>Xtal</v>
      </c>
      <c r="J339" s="3"/>
    </row>
    <row r="340" spans="1:10" x14ac:dyDescent="0.2">
      <c r="A340" s="3" t="s">
        <v>239</v>
      </c>
      <c r="B340" s="1" t="s">
        <v>180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6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300</v>
      </c>
      <c r="B341" s="1" t="s">
        <v>174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6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240</v>
      </c>
      <c r="B342" s="1" t="s">
        <v>174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6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293</v>
      </c>
      <c r="B343" s="1" t="s">
        <v>174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6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369</v>
      </c>
      <c r="B344" s="1" t="s">
        <v>344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6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344</v>
      </c>
      <c r="B345" s="1" t="s">
        <v>344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6"/>
        <v>1</v>
      </c>
      <c r="H345" s="10" t="str">
        <f>IF(ISERROR(MATCH(A345,'SegEnds_Xtal_Prot#'!B:B, 0)), "NoXtal", "Xtal")</f>
        <v>Xtal</v>
      </c>
      <c r="J345" s="3"/>
    </row>
    <row r="346" spans="1:10" x14ac:dyDescent="0.2">
      <c r="A346" s="3" t="s">
        <v>304</v>
      </c>
      <c r="B346" s="1" t="s">
        <v>158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6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289</v>
      </c>
      <c r="B347" s="1" t="s">
        <v>179</v>
      </c>
      <c r="C347" t="s">
        <v>344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si="6"/>
        <v>1</v>
      </c>
      <c r="H347" s="10" t="str">
        <f>IF(ISERROR(MATCH(A347,'SegEnds_Xtal_Prot#'!B:B, 0)), "NoXtal", "Xtal")</f>
        <v>NoXtal</v>
      </c>
      <c r="J347" s="3"/>
    </row>
    <row r="348" spans="1:10" x14ac:dyDescent="0.2">
      <c r="A348" s="3" t="s">
        <v>1436</v>
      </c>
      <c r="B348" s="1" t="s">
        <v>1436</v>
      </c>
      <c r="C348" t="s">
        <v>1436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1447</v>
      </c>
      <c r="B349" s="1" t="s">
        <v>1447</v>
      </c>
      <c r="C349" t="s">
        <v>1447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>OR(D349=F349,AND(D349="T",F349="A"),AND(D349="B2",F349="B1"),D349="O")</f>
        <v>1</v>
      </c>
      <c r="H349" s="10" t="str">
        <f>IF(ISERROR(MATCH(A349,'SegEnds_Xtal_Prot#'!B:B, 0)), "NoXtal", "Xtal")</f>
        <v>Xtal</v>
      </c>
      <c r="J349" s="3"/>
    </row>
    <row r="350" spans="1:10" x14ac:dyDescent="0.2">
      <c r="A350" s="3" t="s">
        <v>302</v>
      </c>
      <c r="B350" s="1" t="s">
        <v>174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6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350</v>
      </c>
      <c r="B351" s="1" t="s">
        <v>344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6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287</v>
      </c>
      <c r="B352" s="1" t="s">
        <v>335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6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346</v>
      </c>
      <c r="B353" s="1" t="s">
        <v>344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6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294</v>
      </c>
      <c r="B354" s="1" t="s">
        <v>174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6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274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6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275</v>
      </c>
      <c r="B356" s="1" t="s">
        <v>180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6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345</v>
      </c>
      <c r="B357" s="1" t="s">
        <v>344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6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213</v>
      </c>
      <c r="B358" s="1" t="s">
        <v>344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6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288</v>
      </c>
      <c r="B359" s="1" t="s">
        <v>180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6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256</v>
      </c>
      <c r="B360" s="1" t="s">
        <v>370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6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276</v>
      </c>
      <c r="B361" s="1" t="s">
        <v>344</v>
      </c>
      <c r="C361" t="s">
        <v>344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6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228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6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6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353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6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351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6"/>
        <v>1</v>
      </c>
      <c r="H365" s="10" t="str">
        <f>IF(ISERROR(MATCH(A365,'SegEnds_Xtal_Prot#'!B:B, 0)), "NoXtal", "Xtal")</f>
        <v>Xtal</v>
      </c>
      <c r="J365" s="3"/>
    </row>
    <row r="366" spans="1:10" x14ac:dyDescent="0.2">
      <c r="A366" s="3" t="s">
        <v>271</v>
      </c>
      <c r="B366" s="1" t="s">
        <v>351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6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306</v>
      </c>
      <c r="B367" s="1" t="s">
        <v>359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6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370</v>
      </c>
      <c r="B368" s="1" t="s">
        <v>370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6"/>
        <v>1</v>
      </c>
      <c r="H368" s="10" t="str">
        <f>IF(ISERROR(MATCH(A368,'SegEnds_Xtal_Prot#'!B:B, 0)), "NoXtal", "Xtal")</f>
        <v>Xtal</v>
      </c>
      <c r="J368" s="3"/>
    </row>
    <row r="369" spans="1:10" x14ac:dyDescent="0.2">
      <c r="A369" s="3" t="s">
        <v>233</v>
      </c>
      <c r="B369" s="1" t="s">
        <v>173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6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469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6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252</v>
      </c>
      <c r="B371" s="1" t="s">
        <v>180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6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363</v>
      </c>
      <c r="B372" s="1" t="s">
        <v>363</v>
      </c>
      <c r="C372" t="s">
        <v>351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6"/>
        <v>1</v>
      </c>
      <c r="H372" s="10" t="str">
        <f>IF(ISERROR(MATCH(A372,'SegEnds_Xtal_Prot#'!B:B, 0)), "NoXtal", "Xtal")</f>
        <v>Xtal</v>
      </c>
      <c r="J372" s="3"/>
    </row>
    <row r="373" spans="1:10" x14ac:dyDescent="0.2">
      <c r="A373" s="3" t="s">
        <v>356</v>
      </c>
      <c r="B373" s="1" t="s">
        <v>355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6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260</v>
      </c>
      <c r="B374" s="1" t="s">
        <v>335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6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253</v>
      </c>
      <c r="B375" s="1" t="s">
        <v>174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6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301</v>
      </c>
      <c r="B376" s="1" t="s">
        <v>1167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6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357</v>
      </c>
      <c r="B377" s="1" t="s">
        <v>355</v>
      </c>
      <c r="C377" t="s">
        <v>354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6"/>
        <v>1</v>
      </c>
      <c r="H377" s="10" t="str">
        <f>IF(ISERROR(MATCH(A377,'SegEnds_Xtal_Prot#'!B:B, 0)), "NoXtal", "Xtal")</f>
        <v>NoXtal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6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354</v>
      </c>
      <c r="B379" s="1" t="s">
        <v>354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6"/>
        <v>1</v>
      </c>
      <c r="H379" s="10" t="str">
        <f>IF(ISERROR(MATCH(A379,'SegEnds_Xtal_Prot#'!B:B, 0)), "NoXtal", "Xtal")</f>
        <v>Xtal</v>
      </c>
      <c r="J379" s="3"/>
    </row>
    <row r="380" spans="1:10" x14ac:dyDescent="0.2">
      <c r="A380" s="3" t="s">
        <v>242</v>
      </c>
      <c r="B380" s="1" t="s">
        <v>335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6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348</v>
      </c>
      <c r="B381" s="1" t="s">
        <v>355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6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198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6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257</v>
      </c>
      <c r="B383" s="1" t="s">
        <v>354</v>
      </c>
      <c r="C383" t="s">
        <v>354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6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308</v>
      </c>
      <c r="B384" s="1" t="s">
        <v>296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6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151</v>
      </c>
      <c r="B385" s="1" t="s">
        <v>296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6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295</v>
      </c>
      <c r="B386" s="1" t="s">
        <v>296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6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296</v>
      </c>
      <c r="B387" s="1" t="s">
        <v>296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6"/>
        <v>1</v>
      </c>
      <c r="H387" s="10" t="str">
        <f>IF(ISERROR(MATCH(A387,'SegEnds_Xtal_Prot#'!B:B, 0)), "NoXtal", "Xtal")</f>
        <v>Xtal</v>
      </c>
      <c r="J387" s="3"/>
    </row>
    <row r="388" spans="1:10" x14ac:dyDescent="0.2">
      <c r="A388" s="3" t="s">
        <v>237</v>
      </c>
      <c r="B388" s="1" t="s">
        <v>296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261</v>
      </c>
      <c r="B389" s="1" t="s">
        <v>296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362</v>
      </c>
      <c r="B390" s="1" t="s">
        <v>362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469</v>
      </c>
      <c r="B391" s="1" t="s">
        <v>469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ref="G391:G411" si="8">OR(D391=F391,AND(D391="T",F391="A"),AND(D391="B2",F391="B1"),D391="O")</f>
        <v>1</v>
      </c>
      <c r="H391" s="10" t="str">
        <f>IF(ISERROR(MATCH(A391,'SegEnds_Xtal_Prot#'!B:B, 0)), "NoXtal", "Xtal")</f>
        <v>Xtal</v>
      </c>
      <c r="J391" s="3"/>
    </row>
    <row r="392" spans="1:10" x14ac:dyDescent="0.2">
      <c r="A392" s="3" t="s">
        <v>212</v>
      </c>
      <c r="B392" s="1" t="s">
        <v>150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376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104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H394" s="10" t="str">
        <f>IF(ISERROR(MATCH(A394,'SegEnds_Xtal_Prot#'!B:B, 0)), "NoXtal", "Xtal")</f>
        <v>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377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8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379</v>
      </c>
      <c r="B397" s="1" t="s">
        <v>104</v>
      </c>
      <c r="C397" t="s">
        <v>104</v>
      </c>
      <c r="D397" s="28" t="str">
        <f>VLOOKUP(A397,Classification!$A:$D,2,FALSE)</f>
        <v>A</v>
      </c>
      <c r="E397" s="49" t="str">
        <f>VLOOKUP(B397,Classification!$A:$D,2,FALSE)</f>
        <v>A</v>
      </c>
      <c r="F397" s="15" t="str">
        <f>VLOOKUP(C397,Classification!$A:$D,2,FALSE)</f>
        <v>A</v>
      </c>
      <c r="G397" s="15" t="b">
        <f t="shared" si="8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444</v>
      </c>
      <c r="B398" s="1" t="s">
        <v>446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449</v>
      </c>
      <c r="B399" s="1" t="s">
        <v>446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442</v>
      </c>
      <c r="B400" s="1" t="s">
        <v>446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446</v>
      </c>
      <c r="B401" s="1" t="s">
        <v>446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H401" s="10" t="str">
        <f>IF(ISERROR(MATCH(A401,'SegEnds_Xtal_Prot#'!B:B, 0)), "NoXtal", "Xtal")</f>
        <v>Xtal</v>
      </c>
      <c r="J401" s="3"/>
    </row>
    <row r="402" spans="1:10" x14ac:dyDescent="0.2">
      <c r="A402" s="3" t="s">
        <v>443</v>
      </c>
      <c r="B402" s="1" t="s">
        <v>446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446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447</v>
      </c>
      <c r="B404" s="1" t="s">
        <v>446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450</v>
      </c>
      <c r="B405" s="1" t="s">
        <v>446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445</v>
      </c>
      <c r="B406" s="1" t="s">
        <v>446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448</v>
      </c>
      <c r="B407" s="1" t="s">
        <v>446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8"/>
        <v>1</v>
      </c>
      <c r="H407" s="10" t="str">
        <f>IF(ISERROR(MATCH(A407,'SegEnds_Xtal_Prot#'!B:B, 0)), "NoXtal", "Xtal")</f>
        <v>NoXtal</v>
      </c>
      <c r="J407" s="3"/>
    </row>
    <row r="408" spans="1:10" x14ac:dyDescent="0.2">
      <c r="A408" s="3" t="s">
        <v>33</v>
      </c>
      <c r="B408" s="1" t="s">
        <v>33</v>
      </c>
      <c r="C408" t="s">
        <v>33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 t="shared" si="8"/>
        <v>1</v>
      </c>
      <c r="H408" s="10" t="str">
        <f>IF(ISERROR(MATCH(A408,'SegEnds_Xtal_Prot#'!B:B, 0)), "NoXtal", "Xtal")</f>
        <v>Xtal</v>
      </c>
      <c r="J408" s="3"/>
    </row>
    <row r="409" spans="1:10" x14ac:dyDescent="0.2">
      <c r="A409" s="1" t="s">
        <v>1590</v>
      </c>
      <c r="B409" s="1" t="s">
        <v>1590</v>
      </c>
      <c r="C409" s="1" t="s">
        <v>1590</v>
      </c>
      <c r="D409" s="28" t="str">
        <f>VLOOKUP(A409,Classification!$A:$D,2,FALSE)</f>
        <v>F</v>
      </c>
      <c r="E409" s="49" t="str">
        <f>VLOOKUP(B409,Classification!$A:$D,2,FALSE)</f>
        <v>F</v>
      </c>
      <c r="F409" s="15" t="str">
        <f>VLOOKUP(C409,Classification!$A:$D,2,FALSE)</f>
        <v>F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3" t="s">
        <v>919</v>
      </c>
      <c r="B410" s="1" t="s">
        <v>919</v>
      </c>
      <c r="C410" t="s">
        <v>919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8"/>
        <v>1</v>
      </c>
      <c r="H410" s="10" t="str">
        <f>IF(ISERROR(MATCH(A410,'SegEnds_Xtal_Prot#'!B:B, 0)), "NoXtal", "Xtal")</f>
        <v>Xtal</v>
      </c>
      <c r="J410" s="3"/>
    </row>
    <row r="411" spans="1:10" x14ac:dyDescent="0.2">
      <c r="A411" s="3" t="s">
        <v>220</v>
      </c>
      <c r="B411" s="1" t="s">
        <v>104</v>
      </c>
      <c r="C411" t="s">
        <v>919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 t="shared" si="8"/>
        <v>1</v>
      </c>
      <c r="H411" s="10" t="str">
        <f>IF(ISERROR(MATCH(A411,'SegEnds_Xtal_Prot#'!B:B, 0)), "NoXtal", "Xtal")</f>
        <v>NoXtal</v>
      </c>
      <c r="J411" s="3"/>
    </row>
    <row r="412" spans="1:10" x14ac:dyDescent="0.2">
      <c r="A412" s="1" t="s">
        <v>1416</v>
      </c>
      <c r="B412" s="1" t="s">
        <v>1416</v>
      </c>
      <c r="C412" t="s">
        <v>1416</v>
      </c>
      <c r="D412" s="28" t="str">
        <f>VLOOKUP(A412,Classification!$A:$D,2,FALSE)</f>
        <v>B1</v>
      </c>
      <c r="E412" s="49" t="str">
        <f>VLOOKUP(B412,Classification!$A:$D,2,FALSE)</f>
        <v>B1</v>
      </c>
      <c r="F412" s="15" t="str">
        <f>VLOOKUP(C412,Classification!$A:$D,2,FALSE)</f>
        <v>B1</v>
      </c>
      <c r="G412" s="15" t="b">
        <f t="shared" ref="G412:G417" si="9"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1491</v>
      </c>
      <c r="B413" s="1" t="s">
        <v>1491</v>
      </c>
      <c r="C413" s="121" t="s">
        <v>1491</v>
      </c>
      <c r="D413" s="28" t="str">
        <f>VLOOKUP(A413,Classification!$A:$D,2,FALSE)</f>
        <v>F</v>
      </c>
      <c r="E413" s="49" t="str">
        <f>VLOOKUP(B413,Classification!$A:$D,2,FALSE)</f>
        <v>F</v>
      </c>
      <c r="F413" s="15" t="str">
        <f>VLOOKUP(C413,Classification!$A:$D,2,FALSE)</f>
        <v>F</v>
      </c>
      <c r="G413" s="15" t="b">
        <f t="shared" si="9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1503</v>
      </c>
      <c r="B414" s="1" t="s">
        <v>1503</v>
      </c>
      <c r="C414" s="121" t="s">
        <v>1503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9"/>
        <v>1</v>
      </c>
      <c r="H414" s="10" t="str">
        <f>IF(ISERROR(MATCH(A414,'SegEnds_Xtal_Prot#'!B:B, 0)), "NoXtal", "Xtal")</f>
        <v>Xtal</v>
      </c>
    </row>
    <row r="415" spans="1:10" x14ac:dyDescent="0.2">
      <c r="A415" s="1" t="s">
        <v>1633</v>
      </c>
      <c r="B415" s="1" t="s">
        <v>139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9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1636</v>
      </c>
      <c r="B416" s="1" t="s">
        <v>170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9"/>
        <v>1</v>
      </c>
      <c r="H416" s="10" t="str">
        <f>IF(ISERROR(MATCH(A416,'SegEnds_Xtal_Prot#'!B:B, 0)), "NoXtal", "Xtal")</f>
        <v>NoXtal</v>
      </c>
    </row>
    <row r="417" spans="1:8" x14ac:dyDescent="0.2">
      <c r="A417" s="1" t="s">
        <v>1638</v>
      </c>
      <c r="B417" s="1" t="s">
        <v>165</v>
      </c>
      <c r="C417" s="1" t="s">
        <v>139</v>
      </c>
      <c r="D417" s="28" t="str">
        <f>VLOOKUP(A417,Classification!$A:$D,2,FALSE)</f>
        <v>A</v>
      </c>
      <c r="E417" s="49" t="str">
        <f>VLOOKUP(B417,Classification!$A:$D,2,FALSE)</f>
        <v>A</v>
      </c>
      <c r="F417" s="15" t="str">
        <f>VLOOKUP(C417,Classification!$A:$D,2,FALSE)</f>
        <v>A</v>
      </c>
      <c r="G417" s="15" t="b">
        <f t="shared" si="9"/>
        <v>1</v>
      </c>
      <c r="H417" s="10" t="str">
        <f>IF(ISERROR(MATCH(A417,'SegEnds_Xtal_Prot#'!B:B, 0)), "NoXtal", "Xtal")</f>
        <v>NoXtal</v>
      </c>
    </row>
    <row r="436" spans="4:7" ht="17" customHeight="1" x14ac:dyDescent="0.2">
      <c r="D436" s="7"/>
      <c r="E436" s="7"/>
      <c r="F436" s="7"/>
      <c r="G436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3" priority="5" operator="equal">
      <formula>FALSE</formula>
    </cfRule>
  </conditionalFormatting>
  <conditionalFormatting sqref="G2:G408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pane ySplit="1" topLeftCell="A29" activePane="bottomLeft" state="frozenSplit"/>
      <selection pane="bottomLeft" activeCell="B53" sqref="B5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927</v>
      </c>
      <c r="C1" s="10" t="s">
        <v>930</v>
      </c>
      <c r="D1" s="10" t="s">
        <v>931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932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932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932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932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932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932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932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932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932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932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932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932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934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934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934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934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934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934</v>
      </c>
    </row>
    <row r="20" spans="1:4" x14ac:dyDescent="0.2">
      <c r="A20" s="3" t="s">
        <v>138</v>
      </c>
      <c r="B20" s="3" t="s">
        <v>1</v>
      </c>
      <c r="C20" s="3" t="s">
        <v>933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933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933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933</v>
      </c>
      <c r="D23" s="3" t="s">
        <v>15</v>
      </c>
    </row>
    <row r="24" spans="1:4" x14ac:dyDescent="0.2">
      <c r="A24" s="3" t="s">
        <v>1693</v>
      </c>
      <c r="B24" s="3" t="s">
        <v>939</v>
      </c>
      <c r="C24" s="3" t="s">
        <v>940</v>
      </c>
      <c r="D24" s="3" t="s">
        <v>941</v>
      </c>
    </row>
    <row r="25" spans="1:4" x14ac:dyDescent="0.2">
      <c r="A25" s="3" t="s">
        <v>413</v>
      </c>
      <c r="B25" s="3" t="s">
        <v>939</v>
      </c>
      <c r="C25" s="3" t="s">
        <v>940</v>
      </c>
      <c r="D25" s="3" t="s">
        <v>941</v>
      </c>
    </row>
    <row r="26" spans="1:4" x14ac:dyDescent="0.2">
      <c r="A26" s="3" t="s">
        <v>414</v>
      </c>
      <c r="B26" s="3" t="s">
        <v>939</v>
      </c>
      <c r="C26" s="3" t="s">
        <v>940</v>
      </c>
      <c r="D26" s="3" t="s">
        <v>941</v>
      </c>
    </row>
    <row r="27" spans="1:4" x14ac:dyDescent="0.2">
      <c r="A27" s="3" t="s">
        <v>1694</v>
      </c>
      <c r="B27" s="3" t="s">
        <v>939</v>
      </c>
      <c r="C27" s="3" t="s">
        <v>940</v>
      </c>
      <c r="D27" s="3" t="s">
        <v>941</v>
      </c>
    </row>
    <row r="28" spans="1:4" x14ac:dyDescent="0.2">
      <c r="A28" s="3" t="s">
        <v>415</v>
      </c>
      <c r="B28" s="3" t="s">
        <v>939</v>
      </c>
      <c r="C28" s="3" t="s">
        <v>940</v>
      </c>
      <c r="D28" s="3" t="s">
        <v>941</v>
      </c>
    </row>
    <row r="29" spans="1:4" x14ac:dyDescent="0.2">
      <c r="A29" s="3" t="s">
        <v>416</v>
      </c>
      <c r="B29" s="3" t="s">
        <v>939</v>
      </c>
      <c r="C29" s="3" t="s">
        <v>940</v>
      </c>
      <c r="D29" s="3" t="s">
        <v>941</v>
      </c>
    </row>
    <row r="30" spans="1:4" x14ac:dyDescent="0.2">
      <c r="A30" s="3" t="s">
        <v>417</v>
      </c>
      <c r="B30" s="3" t="s">
        <v>939</v>
      </c>
      <c r="C30" s="3" t="s">
        <v>940</v>
      </c>
      <c r="D30" s="3" t="s">
        <v>941</v>
      </c>
    </row>
    <row r="31" spans="1:4" x14ac:dyDescent="0.2">
      <c r="A31" s="3" t="s">
        <v>418</v>
      </c>
      <c r="B31" s="3" t="s">
        <v>939</v>
      </c>
      <c r="C31" s="3" t="s">
        <v>940</v>
      </c>
      <c r="D31" s="3" t="s">
        <v>941</v>
      </c>
    </row>
    <row r="32" spans="1:4" x14ac:dyDescent="0.2">
      <c r="A32" s="3" t="s">
        <v>419</v>
      </c>
      <c r="B32" s="3" t="s">
        <v>939</v>
      </c>
      <c r="C32" s="3" t="s">
        <v>940</v>
      </c>
      <c r="D32" s="3" t="s">
        <v>941</v>
      </c>
    </row>
    <row r="33" spans="1:4" x14ac:dyDescent="0.2">
      <c r="A33" s="3" t="s">
        <v>420</v>
      </c>
      <c r="B33" s="3" t="s">
        <v>939</v>
      </c>
      <c r="C33" s="3" t="s">
        <v>940</v>
      </c>
      <c r="D33" s="3" t="s">
        <v>941</v>
      </c>
    </row>
    <row r="34" spans="1:4" x14ac:dyDescent="0.2">
      <c r="A34" s="3" t="s">
        <v>421</v>
      </c>
      <c r="B34" s="3" t="s">
        <v>939</v>
      </c>
      <c r="C34" s="3" t="s">
        <v>940</v>
      </c>
      <c r="D34" s="3" t="s">
        <v>941</v>
      </c>
    </row>
    <row r="35" spans="1:4" x14ac:dyDescent="0.2">
      <c r="A35" s="3" t="s">
        <v>422</v>
      </c>
      <c r="B35" s="3" t="s">
        <v>939</v>
      </c>
      <c r="C35" s="3" t="s">
        <v>940</v>
      </c>
      <c r="D35" s="3" t="s">
        <v>941</v>
      </c>
    </row>
    <row r="36" spans="1:4" x14ac:dyDescent="0.2">
      <c r="A36" s="3" t="s">
        <v>423</v>
      </c>
      <c r="B36" s="3" t="s">
        <v>939</v>
      </c>
      <c r="C36" s="3" t="s">
        <v>940</v>
      </c>
      <c r="D36" s="3" t="s">
        <v>941</v>
      </c>
    </row>
    <row r="37" spans="1:4" x14ac:dyDescent="0.2">
      <c r="A37" s="3" t="s">
        <v>424</v>
      </c>
      <c r="B37" s="3" t="s">
        <v>939</v>
      </c>
      <c r="C37" s="3" t="s">
        <v>940</v>
      </c>
      <c r="D37" s="3" t="s">
        <v>941</v>
      </c>
    </row>
    <row r="38" spans="1:4" x14ac:dyDescent="0.2">
      <c r="A38" s="3" t="s">
        <v>425</v>
      </c>
      <c r="B38" s="3" t="s">
        <v>939</v>
      </c>
      <c r="C38" s="3" t="s">
        <v>940</v>
      </c>
      <c r="D38" s="3" t="s">
        <v>941</v>
      </c>
    </row>
    <row r="39" spans="1:4" x14ac:dyDescent="0.2">
      <c r="A39" s="3" t="s">
        <v>426</v>
      </c>
      <c r="B39" s="3" t="s">
        <v>939</v>
      </c>
      <c r="C39" s="3" t="s">
        <v>940</v>
      </c>
      <c r="D39" s="3" t="s">
        <v>941</v>
      </c>
    </row>
    <row r="40" spans="1:4" x14ac:dyDescent="0.2">
      <c r="A40" s="3" t="s">
        <v>427</v>
      </c>
      <c r="B40" s="3" t="s">
        <v>939</v>
      </c>
      <c r="C40" s="3" t="s">
        <v>940</v>
      </c>
      <c r="D40" s="3" t="s">
        <v>941</v>
      </c>
    </row>
    <row r="41" spans="1:4" x14ac:dyDescent="0.2">
      <c r="A41" s="3" t="s">
        <v>428</v>
      </c>
      <c r="B41" s="3" t="s">
        <v>939</v>
      </c>
      <c r="C41" s="3" t="s">
        <v>940</v>
      </c>
      <c r="D41" s="3" t="s">
        <v>941</v>
      </c>
    </row>
    <row r="42" spans="1:4" x14ac:dyDescent="0.2">
      <c r="A42" s="3" t="s">
        <v>429</v>
      </c>
      <c r="B42" s="3" t="s">
        <v>939</v>
      </c>
      <c r="C42" s="3" t="s">
        <v>940</v>
      </c>
      <c r="D42" s="3" t="s">
        <v>941</v>
      </c>
    </row>
    <row r="43" spans="1:4" x14ac:dyDescent="0.2">
      <c r="A43" s="3" t="s">
        <v>430</v>
      </c>
      <c r="B43" s="3" t="s">
        <v>939</v>
      </c>
      <c r="C43" s="3" t="s">
        <v>940</v>
      </c>
      <c r="D43" s="3" t="s">
        <v>941</v>
      </c>
    </row>
    <row r="44" spans="1:4" x14ac:dyDescent="0.2">
      <c r="A44" s="3" t="s">
        <v>431</v>
      </c>
      <c r="B44" s="3" t="s">
        <v>939</v>
      </c>
      <c r="C44" s="3" t="s">
        <v>940</v>
      </c>
      <c r="D44" s="3" t="s">
        <v>941</v>
      </c>
    </row>
    <row r="45" spans="1:4" x14ac:dyDescent="0.2">
      <c r="A45" s="3" t="s">
        <v>432</v>
      </c>
      <c r="B45" s="3" t="s">
        <v>939</v>
      </c>
      <c r="C45" s="3" t="s">
        <v>940</v>
      </c>
      <c r="D45" s="3" t="s">
        <v>941</v>
      </c>
    </row>
    <row r="46" spans="1:4" x14ac:dyDescent="0.2">
      <c r="A46" s="3" t="s">
        <v>1409</v>
      </c>
      <c r="B46" s="3" t="s">
        <v>939</v>
      </c>
      <c r="C46" s="3" t="s">
        <v>940</v>
      </c>
      <c r="D46" s="3" t="s">
        <v>941</v>
      </c>
    </row>
    <row r="47" spans="1:4" x14ac:dyDescent="0.2">
      <c r="A47" s="3" t="s">
        <v>433</v>
      </c>
      <c r="B47" s="3" t="s">
        <v>939</v>
      </c>
      <c r="C47" s="3" t="s">
        <v>940</v>
      </c>
      <c r="D47" s="3" t="s">
        <v>941</v>
      </c>
    </row>
    <row r="48" spans="1:4" x14ac:dyDescent="0.2">
      <c r="A48" s="3" t="s">
        <v>434</v>
      </c>
      <c r="B48" s="3" t="s">
        <v>939</v>
      </c>
      <c r="C48" s="3" t="s">
        <v>940</v>
      </c>
      <c r="D48" s="3" t="s">
        <v>941</v>
      </c>
    </row>
    <row r="49" spans="1:4" x14ac:dyDescent="0.2">
      <c r="A49" s="3" t="s">
        <v>435</v>
      </c>
      <c r="B49" s="3" t="s">
        <v>939</v>
      </c>
      <c r="C49" s="3" t="s">
        <v>940</v>
      </c>
      <c r="D49" s="3" t="s">
        <v>941</v>
      </c>
    </row>
    <row r="50" spans="1:4" x14ac:dyDescent="0.2">
      <c r="A50" s="3" t="s">
        <v>436</v>
      </c>
      <c r="B50" s="3" t="s">
        <v>939</v>
      </c>
      <c r="C50" s="3" t="s">
        <v>940</v>
      </c>
      <c r="D50" s="3" t="s">
        <v>941</v>
      </c>
    </row>
    <row r="51" spans="1:4" x14ac:dyDescent="0.2">
      <c r="A51" s="3" t="s">
        <v>437</v>
      </c>
      <c r="B51" s="3" t="s">
        <v>939</v>
      </c>
      <c r="C51" s="3" t="s">
        <v>940</v>
      </c>
      <c r="D51" s="3" t="s">
        <v>941</v>
      </c>
    </row>
    <row r="52" spans="1:4" x14ac:dyDescent="0.2">
      <c r="A52" s="3" t="s">
        <v>438</v>
      </c>
      <c r="B52" s="3" t="s">
        <v>939</v>
      </c>
      <c r="C52" s="3" t="s">
        <v>940</v>
      </c>
      <c r="D52" s="3" t="s">
        <v>941</v>
      </c>
    </row>
    <row r="53" spans="1:4" x14ac:dyDescent="0.2">
      <c r="A53" s="3" t="s">
        <v>1695</v>
      </c>
      <c r="B53" s="3" t="s">
        <v>939</v>
      </c>
      <c r="C53" s="3" t="s">
        <v>940</v>
      </c>
      <c r="D53" s="3" t="s">
        <v>941</v>
      </c>
    </row>
    <row r="54" spans="1:4" x14ac:dyDescent="0.2">
      <c r="A54" s="3" t="s">
        <v>439</v>
      </c>
      <c r="B54" s="3" t="s">
        <v>939</v>
      </c>
      <c r="C54" s="3" t="s">
        <v>940</v>
      </c>
      <c r="D54" s="3" t="s">
        <v>941</v>
      </c>
    </row>
    <row r="55" spans="1:4" x14ac:dyDescent="0.2">
      <c r="A55" s="3" t="s">
        <v>440</v>
      </c>
      <c r="B55" s="3" t="s">
        <v>939</v>
      </c>
      <c r="C55" s="3" t="s">
        <v>940</v>
      </c>
      <c r="D55" s="3" t="s">
        <v>941</v>
      </c>
    </row>
    <row r="56" spans="1:4" x14ac:dyDescent="0.2">
      <c r="A56" s="3" t="s">
        <v>441</v>
      </c>
      <c r="B56" s="3" t="s">
        <v>939</v>
      </c>
      <c r="C56" s="3" t="s">
        <v>940</v>
      </c>
      <c r="D56" s="3" t="s">
        <v>941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936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936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936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936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936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936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936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936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936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936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937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937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938</v>
      </c>
    </row>
    <row r="70" spans="1:4" x14ac:dyDescent="0.2">
      <c r="A70" s="3" t="s">
        <v>234</v>
      </c>
      <c r="B70" s="3" t="s">
        <v>1</v>
      </c>
      <c r="C70" s="3" t="s">
        <v>970</v>
      </c>
      <c r="D70" s="3" t="s">
        <v>971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943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943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943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942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942</v>
      </c>
    </row>
    <row r="76" spans="1:4" x14ac:dyDescent="0.2">
      <c r="A76" s="3" t="s">
        <v>400</v>
      </c>
      <c r="B76" s="3" t="s">
        <v>945</v>
      </c>
      <c r="C76" s="3" t="s">
        <v>17</v>
      </c>
      <c r="D76" s="3" t="s">
        <v>946</v>
      </c>
    </row>
    <row r="77" spans="1:4" x14ac:dyDescent="0.2">
      <c r="A77" s="3" t="s">
        <v>401</v>
      </c>
      <c r="B77" s="3" t="s">
        <v>945</v>
      </c>
      <c r="C77" s="3" t="s">
        <v>17</v>
      </c>
      <c r="D77" s="3" t="s">
        <v>946</v>
      </c>
    </row>
    <row r="78" spans="1:4" x14ac:dyDescent="0.2">
      <c r="A78" s="3" t="s">
        <v>105</v>
      </c>
      <c r="B78" s="3" t="s">
        <v>27</v>
      </c>
      <c r="C78" s="3" t="s">
        <v>947</v>
      </c>
      <c r="D78" s="3" t="s">
        <v>948</v>
      </c>
    </row>
    <row r="79" spans="1:4" x14ac:dyDescent="0.2">
      <c r="A79" s="3" t="s">
        <v>114</v>
      </c>
      <c r="B79" s="3" t="s">
        <v>27</v>
      </c>
      <c r="C79" s="3" t="s">
        <v>947</v>
      </c>
      <c r="D79" s="3" t="s">
        <v>948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952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952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951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928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928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928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928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928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928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928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928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928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928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928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928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928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928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928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928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928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928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928</v>
      </c>
    </row>
    <row r="102" spans="1:4" x14ac:dyDescent="0.2">
      <c r="A102" s="3" t="s">
        <v>1026</v>
      </c>
      <c r="B102" s="3" t="s">
        <v>1</v>
      </c>
      <c r="C102" s="3" t="s">
        <v>29</v>
      </c>
      <c r="D102" s="3" t="s">
        <v>928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928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928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928</v>
      </c>
    </row>
    <row r="106" spans="1:4" x14ac:dyDescent="0.2">
      <c r="A106" s="3" t="s">
        <v>1503</v>
      </c>
      <c r="B106" s="3" t="s">
        <v>1</v>
      </c>
      <c r="C106" s="3" t="s">
        <v>17</v>
      </c>
      <c r="D106" s="3" t="s">
        <v>928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928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949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949</v>
      </c>
    </row>
    <row r="110" spans="1:4" x14ac:dyDescent="0.2">
      <c r="A110" s="3" t="s">
        <v>1692</v>
      </c>
      <c r="B110" s="3" t="s">
        <v>1</v>
      </c>
      <c r="C110" s="3" t="s">
        <v>940</v>
      </c>
      <c r="D110" s="3" t="s">
        <v>956</v>
      </c>
    </row>
    <row r="111" spans="1:4" x14ac:dyDescent="0.2">
      <c r="A111" s="3" t="s">
        <v>211</v>
      </c>
      <c r="B111" s="3" t="s">
        <v>1</v>
      </c>
      <c r="C111" s="3" t="s">
        <v>940</v>
      </c>
      <c r="D111" s="3" t="s">
        <v>956</v>
      </c>
    </row>
    <row r="112" spans="1:4" x14ac:dyDescent="0.2">
      <c r="A112" s="3" t="s">
        <v>213</v>
      </c>
      <c r="B112" s="3" t="s">
        <v>1</v>
      </c>
      <c r="C112" s="3" t="s">
        <v>940</v>
      </c>
      <c r="D112" s="3" t="s">
        <v>956</v>
      </c>
    </row>
    <row r="113" spans="1:4" x14ac:dyDescent="0.2">
      <c r="A113" s="3" t="s">
        <v>214</v>
      </c>
      <c r="B113" s="3" t="s">
        <v>1</v>
      </c>
      <c r="C113" s="3" t="s">
        <v>940</v>
      </c>
      <c r="D113" s="3" t="s">
        <v>956</v>
      </c>
    </row>
    <row r="114" spans="1:4" x14ac:dyDescent="0.2">
      <c r="A114" s="3" t="s">
        <v>215</v>
      </c>
      <c r="B114" s="3" t="s">
        <v>1</v>
      </c>
      <c r="C114" s="3" t="s">
        <v>940</v>
      </c>
      <c r="D114" s="3" t="s">
        <v>956</v>
      </c>
    </row>
    <row r="115" spans="1:4" x14ac:dyDescent="0.2">
      <c r="A115" s="3" t="s">
        <v>216</v>
      </c>
      <c r="B115" s="3" t="s">
        <v>1</v>
      </c>
      <c r="C115" s="3" t="s">
        <v>940</v>
      </c>
      <c r="D115" s="3" t="s">
        <v>956</v>
      </c>
    </row>
    <row r="116" spans="1:4" x14ac:dyDescent="0.2">
      <c r="A116" s="3" t="s">
        <v>217</v>
      </c>
      <c r="B116" s="3" t="s">
        <v>1</v>
      </c>
      <c r="C116" s="3" t="s">
        <v>940</v>
      </c>
      <c r="D116" s="3" t="s">
        <v>956</v>
      </c>
    </row>
    <row r="117" spans="1:4" x14ac:dyDescent="0.2">
      <c r="A117" s="3" t="s">
        <v>218</v>
      </c>
      <c r="B117" s="3" t="s">
        <v>1</v>
      </c>
      <c r="C117" s="3" t="s">
        <v>940</v>
      </c>
      <c r="D117" s="3" t="s">
        <v>956</v>
      </c>
    </row>
    <row r="118" spans="1:4" x14ac:dyDescent="0.2">
      <c r="A118" s="3" t="s">
        <v>219</v>
      </c>
      <c r="B118" s="3" t="s">
        <v>1</v>
      </c>
      <c r="C118" s="3" t="s">
        <v>940</v>
      </c>
      <c r="D118" s="3" t="s">
        <v>956</v>
      </c>
    </row>
    <row r="119" spans="1:4" x14ac:dyDescent="0.2">
      <c r="A119" s="3" t="s">
        <v>220</v>
      </c>
      <c r="B119" s="3" t="s">
        <v>1</v>
      </c>
      <c r="C119" s="3" t="s">
        <v>940</v>
      </c>
      <c r="D119" s="3" t="s">
        <v>956</v>
      </c>
    </row>
    <row r="120" spans="1:4" x14ac:dyDescent="0.2">
      <c r="A120" s="3" t="s">
        <v>221</v>
      </c>
      <c r="B120" s="3" t="s">
        <v>1</v>
      </c>
      <c r="C120" s="3" t="s">
        <v>940</v>
      </c>
      <c r="D120" s="3" t="s">
        <v>956</v>
      </c>
    </row>
    <row r="121" spans="1:4" x14ac:dyDescent="0.2">
      <c r="A121" s="3" t="s">
        <v>222</v>
      </c>
      <c r="B121" s="3" t="s">
        <v>1</v>
      </c>
      <c r="C121" s="3" t="s">
        <v>940</v>
      </c>
      <c r="D121" s="3" t="s">
        <v>956</v>
      </c>
    </row>
    <row r="122" spans="1:4" x14ac:dyDescent="0.2">
      <c r="A122" s="3" t="s">
        <v>223</v>
      </c>
      <c r="B122" s="3" t="s">
        <v>1</v>
      </c>
      <c r="C122" s="3" t="s">
        <v>940</v>
      </c>
      <c r="D122" s="3" t="s">
        <v>956</v>
      </c>
    </row>
    <row r="123" spans="1:4" x14ac:dyDescent="0.2">
      <c r="A123" s="3" t="s">
        <v>224</v>
      </c>
      <c r="B123" s="3" t="s">
        <v>1</v>
      </c>
      <c r="C123" s="3" t="s">
        <v>940</v>
      </c>
      <c r="D123" s="3" t="s">
        <v>956</v>
      </c>
    </row>
    <row r="124" spans="1:4" x14ac:dyDescent="0.2">
      <c r="A124" s="3" t="s">
        <v>225</v>
      </c>
      <c r="B124" s="3" t="s">
        <v>1</v>
      </c>
      <c r="C124" s="3" t="s">
        <v>940</v>
      </c>
      <c r="D124" s="3" t="s">
        <v>956</v>
      </c>
    </row>
    <row r="125" spans="1:4" x14ac:dyDescent="0.2">
      <c r="A125" s="3" t="s">
        <v>226</v>
      </c>
      <c r="B125" s="3" t="s">
        <v>1</v>
      </c>
      <c r="C125" s="3" t="s">
        <v>940</v>
      </c>
      <c r="D125" s="3" t="s">
        <v>956</v>
      </c>
    </row>
    <row r="126" spans="1:4" x14ac:dyDescent="0.2">
      <c r="A126" s="3" t="s">
        <v>227</v>
      </c>
      <c r="B126" s="3" t="s">
        <v>1</v>
      </c>
      <c r="C126" s="3" t="s">
        <v>940</v>
      </c>
      <c r="D126" s="3" t="s">
        <v>956</v>
      </c>
    </row>
    <row r="127" spans="1:4" x14ac:dyDescent="0.2">
      <c r="A127" s="3" t="s">
        <v>228</v>
      </c>
      <c r="B127" s="3" t="s">
        <v>1</v>
      </c>
      <c r="C127" s="3" t="s">
        <v>940</v>
      </c>
      <c r="D127" s="3" t="s">
        <v>956</v>
      </c>
    </row>
    <row r="128" spans="1:4" x14ac:dyDescent="0.2">
      <c r="A128" s="3" t="s">
        <v>229</v>
      </c>
      <c r="B128" s="3" t="s">
        <v>1</v>
      </c>
      <c r="C128" s="3" t="s">
        <v>940</v>
      </c>
      <c r="D128" s="3" t="s">
        <v>956</v>
      </c>
    </row>
    <row r="129" spans="1:4" x14ac:dyDescent="0.2">
      <c r="A129" s="3" t="s">
        <v>230</v>
      </c>
      <c r="B129" s="3" t="s">
        <v>1</v>
      </c>
      <c r="C129" s="3" t="s">
        <v>940</v>
      </c>
      <c r="D129" s="3" t="s">
        <v>956</v>
      </c>
    </row>
    <row r="130" spans="1:4" x14ac:dyDescent="0.2">
      <c r="A130" s="3" t="s">
        <v>231</v>
      </c>
      <c r="B130" s="3" t="s">
        <v>1</v>
      </c>
      <c r="C130" s="3" t="s">
        <v>940</v>
      </c>
      <c r="D130" s="3" t="s">
        <v>956</v>
      </c>
    </row>
    <row r="131" spans="1:4" x14ac:dyDescent="0.2">
      <c r="A131" s="3" t="s">
        <v>232</v>
      </c>
      <c r="B131" s="3" t="s">
        <v>1</v>
      </c>
      <c r="C131" s="3" t="s">
        <v>940</v>
      </c>
      <c r="D131" s="3" t="s">
        <v>956</v>
      </c>
    </row>
    <row r="132" spans="1:4" x14ac:dyDescent="0.2">
      <c r="A132" s="3" t="s">
        <v>233</v>
      </c>
      <c r="B132" s="3" t="s">
        <v>1</v>
      </c>
      <c r="C132" s="3" t="s">
        <v>940</v>
      </c>
      <c r="D132" s="3" t="s">
        <v>956</v>
      </c>
    </row>
    <row r="133" spans="1:4" x14ac:dyDescent="0.2">
      <c r="A133" s="3" t="s">
        <v>236</v>
      </c>
      <c r="B133" s="3" t="s">
        <v>1</v>
      </c>
      <c r="C133" s="3" t="s">
        <v>940</v>
      </c>
      <c r="D133" s="3" t="s">
        <v>956</v>
      </c>
    </row>
    <row r="134" spans="1:4" x14ac:dyDescent="0.2">
      <c r="A134" s="3" t="s">
        <v>237</v>
      </c>
      <c r="B134" s="3" t="s">
        <v>1</v>
      </c>
      <c r="C134" s="3" t="s">
        <v>940</v>
      </c>
      <c r="D134" s="3" t="s">
        <v>956</v>
      </c>
    </row>
    <row r="135" spans="1:4" x14ac:dyDescent="0.2">
      <c r="A135" s="3" t="s">
        <v>238</v>
      </c>
      <c r="B135" s="3" t="s">
        <v>1</v>
      </c>
      <c r="C135" s="3" t="s">
        <v>940</v>
      </c>
      <c r="D135" s="3" t="s">
        <v>956</v>
      </c>
    </row>
    <row r="136" spans="1:4" x14ac:dyDescent="0.2">
      <c r="A136" s="3" t="s">
        <v>239</v>
      </c>
      <c r="B136" s="3" t="s">
        <v>1</v>
      </c>
      <c r="C136" s="3" t="s">
        <v>940</v>
      </c>
      <c r="D136" s="3" t="s">
        <v>956</v>
      </c>
    </row>
    <row r="137" spans="1:4" x14ac:dyDescent="0.2">
      <c r="A137" s="3" t="s">
        <v>241</v>
      </c>
      <c r="B137" s="3" t="s">
        <v>1</v>
      </c>
      <c r="C137" s="3" t="s">
        <v>940</v>
      </c>
      <c r="D137" s="3" t="s">
        <v>956</v>
      </c>
    </row>
    <row r="138" spans="1:4" x14ac:dyDescent="0.2">
      <c r="A138" s="3" t="s">
        <v>242</v>
      </c>
      <c r="B138" s="3" t="s">
        <v>1</v>
      </c>
      <c r="C138" s="3" t="s">
        <v>940</v>
      </c>
      <c r="D138" s="3" t="s">
        <v>956</v>
      </c>
    </row>
    <row r="139" spans="1:4" x14ac:dyDescent="0.2">
      <c r="A139" s="3" t="s">
        <v>243</v>
      </c>
      <c r="B139" s="3" t="s">
        <v>1</v>
      </c>
      <c r="C139" s="3" t="s">
        <v>940</v>
      </c>
      <c r="D139" s="3" t="s">
        <v>956</v>
      </c>
    </row>
    <row r="140" spans="1:4" x14ac:dyDescent="0.2">
      <c r="A140" s="3" t="s">
        <v>244</v>
      </c>
      <c r="B140" s="3" t="s">
        <v>1</v>
      </c>
      <c r="C140" s="3" t="s">
        <v>940</v>
      </c>
      <c r="D140" s="3" t="s">
        <v>956</v>
      </c>
    </row>
    <row r="141" spans="1:4" x14ac:dyDescent="0.2">
      <c r="A141" s="3" t="s">
        <v>245</v>
      </c>
      <c r="B141" s="3" t="s">
        <v>1</v>
      </c>
      <c r="C141" s="3" t="s">
        <v>940</v>
      </c>
      <c r="D141" s="3" t="s">
        <v>956</v>
      </c>
    </row>
    <row r="142" spans="1:4" x14ac:dyDescent="0.2">
      <c r="A142" s="3" t="s">
        <v>246</v>
      </c>
      <c r="B142" s="3" t="s">
        <v>1</v>
      </c>
      <c r="C142" s="3" t="s">
        <v>940</v>
      </c>
      <c r="D142" s="3" t="s">
        <v>956</v>
      </c>
    </row>
    <row r="143" spans="1:4" x14ac:dyDescent="0.2">
      <c r="A143" s="3" t="s">
        <v>247</v>
      </c>
      <c r="B143" s="3" t="s">
        <v>1</v>
      </c>
      <c r="C143" s="3" t="s">
        <v>940</v>
      </c>
      <c r="D143" s="3" t="s">
        <v>956</v>
      </c>
    </row>
    <row r="144" spans="1:4" x14ac:dyDescent="0.2">
      <c r="A144" s="3" t="s">
        <v>248</v>
      </c>
      <c r="B144" s="3" t="s">
        <v>1</v>
      </c>
      <c r="C144" s="3" t="s">
        <v>940</v>
      </c>
      <c r="D144" s="3" t="s">
        <v>956</v>
      </c>
    </row>
    <row r="145" spans="1:4" x14ac:dyDescent="0.2">
      <c r="A145" s="3" t="s">
        <v>249</v>
      </c>
      <c r="B145" s="3" t="s">
        <v>1</v>
      </c>
      <c r="C145" s="3" t="s">
        <v>940</v>
      </c>
      <c r="D145" s="3" t="s">
        <v>956</v>
      </c>
    </row>
    <row r="146" spans="1:4" x14ac:dyDescent="0.2">
      <c r="A146" s="3" t="s">
        <v>250</v>
      </c>
      <c r="B146" s="3" t="s">
        <v>1</v>
      </c>
      <c r="C146" s="3" t="s">
        <v>940</v>
      </c>
      <c r="D146" s="3" t="s">
        <v>956</v>
      </c>
    </row>
    <row r="147" spans="1:4" x14ac:dyDescent="0.2">
      <c r="A147" s="3" t="s">
        <v>251</v>
      </c>
      <c r="B147" s="3" t="s">
        <v>1</v>
      </c>
      <c r="C147" s="3" t="s">
        <v>940</v>
      </c>
      <c r="D147" s="3" t="s">
        <v>956</v>
      </c>
    </row>
    <row r="148" spans="1:4" x14ac:dyDescent="0.2">
      <c r="A148" s="3" t="s">
        <v>252</v>
      </c>
      <c r="B148" s="3" t="s">
        <v>1</v>
      </c>
      <c r="C148" s="3" t="s">
        <v>940</v>
      </c>
      <c r="D148" s="3" t="s">
        <v>956</v>
      </c>
    </row>
    <row r="149" spans="1:4" x14ac:dyDescent="0.2">
      <c r="A149" s="3" t="s">
        <v>253</v>
      </c>
      <c r="B149" s="3" t="s">
        <v>1</v>
      </c>
      <c r="C149" s="3" t="s">
        <v>940</v>
      </c>
      <c r="D149" s="3" t="s">
        <v>956</v>
      </c>
    </row>
    <row r="150" spans="1:4" x14ac:dyDescent="0.2">
      <c r="A150" s="3" t="s">
        <v>254</v>
      </c>
      <c r="B150" s="3" t="s">
        <v>1</v>
      </c>
      <c r="C150" s="3" t="s">
        <v>940</v>
      </c>
      <c r="D150" s="3" t="s">
        <v>956</v>
      </c>
    </row>
    <row r="151" spans="1:4" x14ac:dyDescent="0.2">
      <c r="A151" s="3" t="s">
        <v>255</v>
      </c>
      <c r="B151" s="3" t="s">
        <v>1</v>
      </c>
      <c r="C151" s="3" t="s">
        <v>940</v>
      </c>
      <c r="D151" s="3" t="s">
        <v>956</v>
      </c>
    </row>
    <row r="152" spans="1:4" x14ac:dyDescent="0.2">
      <c r="A152" s="3" t="s">
        <v>256</v>
      </c>
      <c r="B152" s="3" t="s">
        <v>1</v>
      </c>
      <c r="C152" s="3" t="s">
        <v>940</v>
      </c>
      <c r="D152" s="3" t="s">
        <v>956</v>
      </c>
    </row>
    <row r="153" spans="1:4" x14ac:dyDescent="0.2">
      <c r="A153" s="3" t="s">
        <v>258</v>
      </c>
      <c r="B153" s="3" t="s">
        <v>1</v>
      </c>
      <c r="C153" s="3" t="s">
        <v>940</v>
      </c>
      <c r="D153" s="3" t="s">
        <v>956</v>
      </c>
    </row>
    <row r="154" spans="1:4" x14ac:dyDescent="0.2">
      <c r="A154" s="3" t="s">
        <v>259</v>
      </c>
      <c r="B154" s="3" t="s">
        <v>1</v>
      </c>
      <c r="C154" s="3" t="s">
        <v>940</v>
      </c>
      <c r="D154" s="3" t="s">
        <v>956</v>
      </c>
    </row>
    <row r="155" spans="1:4" x14ac:dyDescent="0.2">
      <c r="A155" s="3" t="s">
        <v>261</v>
      </c>
      <c r="B155" s="3" t="s">
        <v>1</v>
      </c>
      <c r="C155" s="3" t="s">
        <v>940</v>
      </c>
      <c r="D155" s="3" t="s">
        <v>956</v>
      </c>
    </row>
    <row r="156" spans="1:4" x14ac:dyDescent="0.2">
      <c r="A156" s="3" t="s">
        <v>262</v>
      </c>
      <c r="B156" s="3" t="s">
        <v>1</v>
      </c>
      <c r="C156" s="3" t="s">
        <v>940</v>
      </c>
      <c r="D156" s="3" t="s">
        <v>956</v>
      </c>
    </row>
    <row r="157" spans="1:4" x14ac:dyDescent="0.2">
      <c r="A157" s="3" t="s">
        <v>263</v>
      </c>
      <c r="B157" s="3" t="s">
        <v>1</v>
      </c>
      <c r="C157" s="3" t="s">
        <v>940</v>
      </c>
      <c r="D157" s="3" t="s">
        <v>956</v>
      </c>
    </row>
    <row r="158" spans="1:4" x14ac:dyDescent="0.2">
      <c r="A158" s="3" t="s">
        <v>264</v>
      </c>
      <c r="B158" s="3" t="s">
        <v>1</v>
      </c>
      <c r="C158" s="3" t="s">
        <v>940</v>
      </c>
      <c r="D158" s="3" t="s">
        <v>956</v>
      </c>
    </row>
    <row r="159" spans="1:4" x14ac:dyDescent="0.2">
      <c r="A159" s="3" t="s">
        <v>265</v>
      </c>
      <c r="B159" s="3" t="s">
        <v>1</v>
      </c>
      <c r="C159" s="3" t="s">
        <v>940</v>
      </c>
      <c r="D159" s="3" t="s">
        <v>956</v>
      </c>
    </row>
    <row r="160" spans="1:4" x14ac:dyDescent="0.2">
      <c r="A160" s="3" t="s">
        <v>266</v>
      </c>
      <c r="B160" s="3" t="s">
        <v>1</v>
      </c>
      <c r="C160" s="3" t="s">
        <v>940</v>
      </c>
      <c r="D160" s="3" t="s">
        <v>956</v>
      </c>
    </row>
    <row r="161" spans="1:4" x14ac:dyDescent="0.2">
      <c r="A161" s="3" t="s">
        <v>267</v>
      </c>
      <c r="B161" s="3" t="s">
        <v>1</v>
      </c>
      <c r="C161" s="3" t="s">
        <v>940</v>
      </c>
      <c r="D161" s="3" t="s">
        <v>956</v>
      </c>
    </row>
    <row r="162" spans="1:4" x14ac:dyDescent="0.2">
      <c r="A162" s="3" t="s">
        <v>268</v>
      </c>
      <c r="B162" s="3" t="s">
        <v>1</v>
      </c>
      <c r="C162" s="3" t="s">
        <v>940</v>
      </c>
      <c r="D162" s="3" t="s">
        <v>956</v>
      </c>
    </row>
    <row r="163" spans="1:4" x14ac:dyDescent="0.2">
      <c r="A163" s="3" t="s">
        <v>269</v>
      </c>
      <c r="B163" s="3" t="s">
        <v>1</v>
      </c>
      <c r="C163" s="3" t="s">
        <v>940</v>
      </c>
      <c r="D163" s="3" t="s">
        <v>956</v>
      </c>
    </row>
    <row r="164" spans="1:4" x14ac:dyDescent="0.2">
      <c r="A164" s="3" t="s">
        <v>270</v>
      </c>
      <c r="B164" s="3" t="s">
        <v>1</v>
      </c>
      <c r="C164" s="3" t="s">
        <v>940</v>
      </c>
      <c r="D164" s="3" t="s">
        <v>956</v>
      </c>
    </row>
    <row r="165" spans="1:4" x14ac:dyDescent="0.2">
      <c r="A165" s="3" t="s">
        <v>271</v>
      </c>
      <c r="B165" s="3" t="s">
        <v>1</v>
      </c>
      <c r="C165" s="3" t="s">
        <v>940</v>
      </c>
      <c r="D165" s="3" t="s">
        <v>956</v>
      </c>
    </row>
    <row r="166" spans="1:4" x14ac:dyDescent="0.2">
      <c r="A166" s="3" t="s">
        <v>272</v>
      </c>
      <c r="B166" s="3" t="s">
        <v>1</v>
      </c>
      <c r="C166" s="3" t="s">
        <v>940</v>
      </c>
      <c r="D166" s="3" t="s">
        <v>956</v>
      </c>
    </row>
    <row r="167" spans="1:4" x14ac:dyDescent="0.2">
      <c r="A167" s="3" t="s">
        <v>282</v>
      </c>
      <c r="B167" s="3" t="s">
        <v>1</v>
      </c>
      <c r="C167" s="3" t="s">
        <v>940</v>
      </c>
      <c r="D167" s="3" t="s">
        <v>956</v>
      </c>
    </row>
    <row r="168" spans="1:4" x14ac:dyDescent="0.2">
      <c r="A168" s="3" t="s">
        <v>283</v>
      </c>
      <c r="B168" s="3" t="s">
        <v>1</v>
      </c>
      <c r="C168" s="3" t="s">
        <v>940</v>
      </c>
      <c r="D168" s="3" t="s">
        <v>956</v>
      </c>
    </row>
    <row r="169" spans="1:4" x14ac:dyDescent="0.2">
      <c r="A169" s="3" t="s">
        <v>284</v>
      </c>
      <c r="B169" s="3" t="s">
        <v>1</v>
      </c>
      <c r="C169" s="3" t="s">
        <v>940</v>
      </c>
      <c r="D169" s="3" t="s">
        <v>956</v>
      </c>
    </row>
    <row r="170" spans="1:4" x14ac:dyDescent="0.2">
      <c r="A170" s="3" t="s">
        <v>293</v>
      </c>
      <c r="B170" s="3" t="s">
        <v>1</v>
      </c>
      <c r="C170" s="3" t="s">
        <v>940</v>
      </c>
      <c r="D170" s="3" t="s">
        <v>956</v>
      </c>
    </row>
    <row r="171" spans="1:4" x14ac:dyDescent="0.2">
      <c r="A171" s="3" t="s">
        <v>294</v>
      </c>
      <c r="B171" s="3" t="s">
        <v>1</v>
      </c>
      <c r="C171" s="3" t="s">
        <v>940</v>
      </c>
      <c r="D171" s="3" t="s">
        <v>956</v>
      </c>
    </row>
    <row r="172" spans="1:4" x14ac:dyDescent="0.2">
      <c r="A172" s="3" t="s">
        <v>300</v>
      </c>
      <c r="B172" s="3" t="s">
        <v>1</v>
      </c>
      <c r="C172" s="3" t="s">
        <v>940</v>
      </c>
      <c r="D172" s="3" t="s">
        <v>956</v>
      </c>
    </row>
    <row r="173" spans="1:4" x14ac:dyDescent="0.2">
      <c r="A173" s="3" t="s">
        <v>301</v>
      </c>
      <c r="B173" s="3" t="s">
        <v>1</v>
      </c>
      <c r="C173" s="3" t="s">
        <v>940</v>
      </c>
      <c r="D173" s="3" t="s">
        <v>956</v>
      </c>
    </row>
    <row r="174" spans="1:4" x14ac:dyDescent="0.2">
      <c r="A174" s="3" t="s">
        <v>302</v>
      </c>
      <c r="B174" s="3" t="s">
        <v>1</v>
      </c>
      <c r="C174" s="3" t="s">
        <v>940</v>
      </c>
      <c r="D174" s="3" t="s">
        <v>956</v>
      </c>
    </row>
    <row r="175" spans="1:4" x14ac:dyDescent="0.2">
      <c r="A175" s="3" t="s">
        <v>303</v>
      </c>
      <c r="B175" s="3" t="s">
        <v>1</v>
      </c>
      <c r="C175" s="3" t="s">
        <v>940</v>
      </c>
      <c r="D175" s="3" t="s">
        <v>956</v>
      </c>
    </row>
    <row r="176" spans="1:4" x14ac:dyDescent="0.2">
      <c r="A176" s="3" t="s">
        <v>304</v>
      </c>
      <c r="B176" s="3" t="s">
        <v>1</v>
      </c>
      <c r="C176" s="3" t="s">
        <v>940</v>
      </c>
      <c r="D176" s="3" t="s">
        <v>956</v>
      </c>
    </row>
    <row r="177" spans="1:4" x14ac:dyDescent="0.2">
      <c r="A177" s="3" t="s">
        <v>305</v>
      </c>
      <c r="B177" s="3" t="s">
        <v>1</v>
      </c>
      <c r="C177" s="3" t="s">
        <v>940</v>
      </c>
      <c r="D177" s="3" t="s">
        <v>956</v>
      </c>
    </row>
    <row r="178" spans="1:4" x14ac:dyDescent="0.2">
      <c r="A178" s="3" t="s">
        <v>306</v>
      </c>
      <c r="B178" s="3" t="s">
        <v>1</v>
      </c>
      <c r="C178" s="3" t="s">
        <v>940</v>
      </c>
      <c r="D178" s="3" t="s">
        <v>956</v>
      </c>
    </row>
    <row r="179" spans="1:4" x14ac:dyDescent="0.2">
      <c r="A179" s="3" t="s">
        <v>307</v>
      </c>
      <c r="B179" s="3" t="s">
        <v>1</v>
      </c>
      <c r="C179" s="3" t="s">
        <v>940</v>
      </c>
      <c r="D179" s="3" t="s">
        <v>956</v>
      </c>
    </row>
    <row r="180" spans="1:4" x14ac:dyDescent="0.2">
      <c r="A180" s="3" t="s">
        <v>312</v>
      </c>
      <c r="B180" s="3" t="s">
        <v>1</v>
      </c>
      <c r="C180" s="3" t="s">
        <v>940</v>
      </c>
      <c r="D180" s="3" t="s">
        <v>956</v>
      </c>
    </row>
    <row r="181" spans="1:4" x14ac:dyDescent="0.2">
      <c r="A181" s="3" t="s">
        <v>330</v>
      </c>
      <c r="B181" s="3" t="s">
        <v>1</v>
      </c>
      <c r="C181" s="3" t="s">
        <v>940</v>
      </c>
      <c r="D181" s="3" t="s">
        <v>956</v>
      </c>
    </row>
    <row r="182" spans="1:4" x14ac:dyDescent="0.2">
      <c r="A182" s="3" t="s">
        <v>348</v>
      </c>
      <c r="B182" s="3" t="s">
        <v>1</v>
      </c>
      <c r="C182" s="3" t="s">
        <v>940</v>
      </c>
      <c r="D182" s="3" t="s">
        <v>956</v>
      </c>
    </row>
    <row r="183" spans="1:4" x14ac:dyDescent="0.2">
      <c r="A183" s="3" t="s">
        <v>349</v>
      </c>
      <c r="B183" s="3" t="s">
        <v>1</v>
      </c>
      <c r="C183" s="3" t="s">
        <v>940</v>
      </c>
      <c r="D183" s="3" t="s">
        <v>956</v>
      </c>
    </row>
    <row r="184" spans="1:4" x14ac:dyDescent="0.2">
      <c r="A184" s="3" t="s">
        <v>369</v>
      </c>
      <c r="B184" s="3" t="s">
        <v>1</v>
      </c>
      <c r="C184" s="3" t="s">
        <v>940</v>
      </c>
      <c r="D184" s="3" t="s">
        <v>956</v>
      </c>
    </row>
    <row r="185" spans="1:4" x14ac:dyDescent="0.2">
      <c r="A185" s="3" t="s">
        <v>387</v>
      </c>
      <c r="B185" s="3" t="s">
        <v>1</v>
      </c>
      <c r="C185" s="3" t="s">
        <v>940</v>
      </c>
      <c r="D185" s="3" t="s">
        <v>956</v>
      </c>
    </row>
    <row r="186" spans="1:4" x14ac:dyDescent="0.2">
      <c r="A186" s="3" t="s">
        <v>388</v>
      </c>
      <c r="B186" s="3" t="s">
        <v>1</v>
      </c>
      <c r="C186" s="3" t="s">
        <v>940</v>
      </c>
      <c r="D186" s="3" t="s">
        <v>956</v>
      </c>
    </row>
    <row r="187" spans="1:4" x14ac:dyDescent="0.2">
      <c r="A187" s="3" t="s">
        <v>389</v>
      </c>
      <c r="B187" s="3" t="s">
        <v>1</v>
      </c>
      <c r="C187" s="3" t="s">
        <v>940</v>
      </c>
      <c r="D187" s="3" t="s">
        <v>956</v>
      </c>
    </row>
    <row r="188" spans="1:4" x14ac:dyDescent="0.2">
      <c r="A188" s="3" t="s">
        <v>390</v>
      </c>
      <c r="B188" s="3" t="s">
        <v>1</v>
      </c>
      <c r="C188" s="3" t="s">
        <v>940</v>
      </c>
      <c r="D188" s="3" t="s">
        <v>956</v>
      </c>
    </row>
    <row r="189" spans="1:4" x14ac:dyDescent="0.2">
      <c r="A189" s="3" t="s">
        <v>391</v>
      </c>
      <c r="B189" s="3" t="s">
        <v>1</v>
      </c>
      <c r="C189" s="3" t="s">
        <v>940</v>
      </c>
      <c r="D189" s="3" t="s">
        <v>956</v>
      </c>
    </row>
    <row r="190" spans="1:4" x14ac:dyDescent="0.2">
      <c r="A190" s="3" t="s">
        <v>392</v>
      </c>
      <c r="B190" s="3" t="s">
        <v>1</v>
      </c>
      <c r="C190" s="3" t="s">
        <v>940</v>
      </c>
      <c r="D190" s="3" t="s">
        <v>956</v>
      </c>
    </row>
    <row r="191" spans="1:4" x14ac:dyDescent="0.2">
      <c r="A191" s="3" t="s">
        <v>108</v>
      </c>
      <c r="B191" s="3" t="s">
        <v>27</v>
      </c>
      <c r="C191" s="3" t="s">
        <v>940</v>
      </c>
      <c r="D191" s="3" t="s">
        <v>969</v>
      </c>
    </row>
    <row r="192" spans="1:4" x14ac:dyDescent="0.2">
      <c r="A192" s="3" t="s">
        <v>109</v>
      </c>
      <c r="B192" s="3" t="s">
        <v>27</v>
      </c>
      <c r="C192" s="3" t="s">
        <v>940</v>
      </c>
      <c r="D192" s="3" t="s">
        <v>969</v>
      </c>
    </row>
    <row r="193" spans="1:4" x14ac:dyDescent="0.2">
      <c r="A193" s="3" t="s">
        <v>110</v>
      </c>
      <c r="B193" s="3" t="s">
        <v>27</v>
      </c>
      <c r="C193" s="3" t="s">
        <v>940</v>
      </c>
      <c r="D193" s="3" t="s">
        <v>969</v>
      </c>
    </row>
    <row r="194" spans="1:4" x14ac:dyDescent="0.2">
      <c r="A194" s="3" t="s">
        <v>111</v>
      </c>
      <c r="B194" s="3" t="s">
        <v>27</v>
      </c>
      <c r="C194" s="3" t="s">
        <v>940</v>
      </c>
      <c r="D194" s="3" t="s">
        <v>969</v>
      </c>
    </row>
    <row r="195" spans="1:4" x14ac:dyDescent="0.2">
      <c r="A195" s="3" t="s">
        <v>112</v>
      </c>
      <c r="B195" s="3" t="s">
        <v>27</v>
      </c>
      <c r="C195" s="3" t="s">
        <v>940</v>
      </c>
      <c r="D195" s="3" t="s">
        <v>969</v>
      </c>
    </row>
    <row r="196" spans="1:4" x14ac:dyDescent="0.2">
      <c r="A196" s="3" t="s">
        <v>113</v>
      </c>
      <c r="B196" s="3" t="s">
        <v>27</v>
      </c>
      <c r="C196" s="3" t="s">
        <v>940</v>
      </c>
      <c r="D196" s="3" t="s">
        <v>969</v>
      </c>
    </row>
    <row r="197" spans="1:4" x14ac:dyDescent="0.2">
      <c r="A197" s="3" t="s">
        <v>121</v>
      </c>
      <c r="B197" s="3" t="s">
        <v>27</v>
      </c>
      <c r="C197" s="3" t="s">
        <v>940</v>
      </c>
      <c r="D197" s="3" t="s">
        <v>969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944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944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944</v>
      </c>
    </row>
    <row r="201" spans="1:4" x14ac:dyDescent="0.2">
      <c r="A201" s="3" t="s">
        <v>38</v>
      </c>
      <c r="B201" s="3" t="s">
        <v>945</v>
      </c>
      <c r="C201" s="3" t="s">
        <v>17</v>
      </c>
      <c r="D201" s="3" t="s">
        <v>953</v>
      </c>
    </row>
    <row r="202" spans="1:4" x14ac:dyDescent="0.2">
      <c r="A202" s="3" t="s">
        <v>402</v>
      </c>
      <c r="B202" s="3" t="s">
        <v>945</v>
      </c>
      <c r="C202" s="3" t="s">
        <v>17</v>
      </c>
      <c r="D202" s="3" t="s">
        <v>953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954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954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954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954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954</v>
      </c>
    </row>
    <row r="208" spans="1:4" x14ac:dyDescent="0.2">
      <c r="A208" s="3" t="s">
        <v>1690</v>
      </c>
      <c r="B208" s="3" t="s">
        <v>1</v>
      </c>
      <c r="C208" s="3" t="s">
        <v>2</v>
      </c>
      <c r="D208" s="3" t="s">
        <v>954</v>
      </c>
    </row>
    <row r="209" spans="1:4" x14ac:dyDescent="0.2">
      <c r="A209" s="3" t="s">
        <v>195</v>
      </c>
      <c r="B209" s="3" t="s">
        <v>1</v>
      </c>
      <c r="C209" s="3" t="s">
        <v>17</v>
      </c>
      <c r="D209" s="3" t="s">
        <v>955</v>
      </c>
    </row>
    <row r="210" spans="1:4" x14ac:dyDescent="0.2">
      <c r="A210" s="3" t="s">
        <v>196</v>
      </c>
      <c r="B210" s="3" t="s">
        <v>1</v>
      </c>
      <c r="C210" s="3" t="s">
        <v>17</v>
      </c>
      <c r="D210" s="3" t="s">
        <v>955</v>
      </c>
    </row>
    <row r="211" spans="1:4" x14ac:dyDescent="0.2">
      <c r="A211" s="3" t="s">
        <v>235</v>
      </c>
      <c r="B211" s="3" t="s">
        <v>1</v>
      </c>
      <c r="C211" s="3" t="s">
        <v>970</v>
      </c>
      <c r="D211" s="3" t="s">
        <v>972</v>
      </c>
    </row>
    <row r="212" spans="1:4" x14ac:dyDescent="0.2">
      <c r="A212" s="3" t="s">
        <v>200</v>
      </c>
      <c r="B212" s="3" t="s">
        <v>1</v>
      </c>
      <c r="C212" s="3" t="s">
        <v>17</v>
      </c>
      <c r="D212" s="3" t="s">
        <v>958</v>
      </c>
    </row>
    <row r="213" spans="1:4" x14ac:dyDescent="0.2">
      <c r="A213" s="3" t="s">
        <v>201</v>
      </c>
      <c r="B213" s="3" t="s">
        <v>1</v>
      </c>
      <c r="C213" s="3" t="s">
        <v>17</v>
      </c>
      <c r="D213" s="3" t="s">
        <v>958</v>
      </c>
    </row>
    <row r="214" spans="1:4" x14ac:dyDescent="0.2">
      <c r="A214" s="3" t="s">
        <v>202</v>
      </c>
      <c r="B214" s="3" t="s">
        <v>1</v>
      </c>
      <c r="C214" s="3" t="s">
        <v>17</v>
      </c>
      <c r="D214" s="3" t="s">
        <v>958</v>
      </c>
    </row>
    <row r="215" spans="1:4" x14ac:dyDescent="0.2">
      <c r="A215" s="3" t="s">
        <v>1144</v>
      </c>
      <c r="B215" s="3" t="s">
        <v>1</v>
      </c>
      <c r="C215" s="3" t="s">
        <v>19</v>
      </c>
      <c r="D215" s="3" t="s">
        <v>957</v>
      </c>
    </row>
    <row r="216" spans="1:4" x14ac:dyDescent="0.2">
      <c r="A216" s="3" t="s">
        <v>197</v>
      </c>
      <c r="B216" s="3" t="s">
        <v>1</v>
      </c>
      <c r="C216" s="3" t="s">
        <v>19</v>
      </c>
      <c r="D216" s="3" t="s">
        <v>957</v>
      </c>
    </row>
    <row r="217" spans="1:4" x14ac:dyDescent="0.2">
      <c r="A217" s="3" t="s">
        <v>198</v>
      </c>
      <c r="B217" s="3" t="s">
        <v>1</v>
      </c>
      <c r="C217" s="3" t="s">
        <v>19</v>
      </c>
      <c r="D217" s="3" t="s">
        <v>957</v>
      </c>
    </row>
    <row r="218" spans="1:4" x14ac:dyDescent="0.2">
      <c r="A218" s="3" t="s">
        <v>199</v>
      </c>
      <c r="B218" s="3" t="s">
        <v>1</v>
      </c>
      <c r="C218" s="3" t="s">
        <v>19</v>
      </c>
      <c r="D218" s="3" t="s">
        <v>957</v>
      </c>
    </row>
    <row r="219" spans="1:4" x14ac:dyDescent="0.2">
      <c r="A219" s="3" t="s">
        <v>257</v>
      </c>
      <c r="B219" s="3" t="s">
        <v>1</v>
      </c>
      <c r="C219" s="3" t="s">
        <v>19</v>
      </c>
      <c r="D219" s="3" t="s">
        <v>957</v>
      </c>
    </row>
    <row r="220" spans="1:4" x14ac:dyDescent="0.2">
      <c r="A220" s="3" t="s">
        <v>442</v>
      </c>
      <c r="B220" s="3" t="s">
        <v>28</v>
      </c>
      <c r="C220" s="3" t="s">
        <v>29</v>
      </c>
      <c r="D220" s="3" t="s">
        <v>960</v>
      </c>
    </row>
    <row r="221" spans="1:4" x14ac:dyDescent="0.2">
      <c r="A221" s="3" t="s">
        <v>443</v>
      </c>
      <c r="B221" s="3" t="s">
        <v>28</v>
      </c>
      <c r="C221" s="3" t="s">
        <v>29</v>
      </c>
      <c r="D221" s="3" t="s">
        <v>960</v>
      </c>
    </row>
    <row r="222" spans="1:4" x14ac:dyDescent="0.2">
      <c r="A222" s="3" t="s">
        <v>444</v>
      </c>
      <c r="B222" s="3" t="s">
        <v>28</v>
      </c>
      <c r="C222" s="3" t="s">
        <v>29</v>
      </c>
      <c r="D222" s="3" t="s">
        <v>960</v>
      </c>
    </row>
    <row r="223" spans="1:4" x14ac:dyDescent="0.2">
      <c r="A223" s="3" t="s">
        <v>445</v>
      </c>
      <c r="B223" s="3" t="s">
        <v>28</v>
      </c>
      <c r="C223" s="3" t="s">
        <v>29</v>
      </c>
      <c r="D223" s="3" t="s">
        <v>960</v>
      </c>
    </row>
    <row r="224" spans="1:4" x14ac:dyDescent="0.2">
      <c r="A224" s="3" t="s">
        <v>446</v>
      </c>
      <c r="B224" s="3" t="s">
        <v>28</v>
      </c>
      <c r="C224" s="3" t="s">
        <v>29</v>
      </c>
      <c r="D224" s="3" t="s">
        <v>960</v>
      </c>
    </row>
    <row r="225" spans="1:4" x14ac:dyDescent="0.2">
      <c r="A225" s="3" t="s">
        <v>447</v>
      </c>
      <c r="B225" s="3" t="s">
        <v>28</v>
      </c>
      <c r="C225" s="3" t="s">
        <v>29</v>
      </c>
      <c r="D225" s="3" t="s">
        <v>960</v>
      </c>
    </row>
    <row r="226" spans="1:4" x14ac:dyDescent="0.2">
      <c r="A226" s="3" t="s">
        <v>448</v>
      </c>
      <c r="B226" s="3" t="s">
        <v>28</v>
      </c>
      <c r="C226" s="3" t="s">
        <v>29</v>
      </c>
      <c r="D226" s="3" t="s">
        <v>960</v>
      </c>
    </row>
    <row r="227" spans="1:4" x14ac:dyDescent="0.2">
      <c r="A227" s="3" t="s">
        <v>449</v>
      </c>
      <c r="B227" s="3" t="s">
        <v>28</v>
      </c>
      <c r="C227" s="3" t="s">
        <v>29</v>
      </c>
      <c r="D227" s="3" t="s">
        <v>960</v>
      </c>
    </row>
    <row r="228" spans="1:4" x14ac:dyDescent="0.2">
      <c r="A228" s="3" t="s">
        <v>450</v>
      </c>
      <c r="B228" s="3" t="s">
        <v>28</v>
      </c>
      <c r="C228" s="3" t="s">
        <v>29</v>
      </c>
      <c r="D228" s="3" t="s">
        <v>960</v>
      </c>
    </row>
    <row r="229" spans="1:4" x14ac:dyDescent="0.2">
      <c r="A229" s="3" t="s">
        <v>451</v>
      </c>
      <c r="B229" s="3" t="s">
        <v>28</v>
      </c>
      <c r="C229" s="3" t="s">
        <v>29</v>
      </c>
      <c r="D229" s="3" t="s">
        <v>960</v>
      </c>
    </row>
    <row r="230" spans="1:4" x14ac:dyDescent="0.2">
      <c r="A230" s="3" t="s">
        <v>33</v>
      </c>
      <c r="B230" s="3" t="s">
        <v>28</v>
      </c>
      <c r="C230" s="3" t="s">
        <v>29</v>
      </c>
      <c r="D230" s="3" t="s">
        <v>960</v>
      </c>
    </row>
    <row r="231" spans="1:4" x14ac:dyDescent="0.2">
      <c r="A231" s="3" t="s">
        <v>1590</v>
      </c>
      <c r="B231" s="3" t="s">
        <v>28</v>
      </c>
      <c r="C231" s="3" t="s">
        <v>29</v>
      </c>
      <c r="D231" s="3" t="s">
        <v>960</v>
      </c>
    </row>
    <row r="232" spans="1:4" x14ac:dyDescent="0.2">
      <c r="A232" s="121" t="s">
        <v>1491</v>
      </c>
      <c r="B232" s="3" t="s">
        <v>28</v>
      </c>
      <c r="C232" s="3" t="s">
        <v>29</v>
      </c>
      <c r="D232" s="3" t="s">
        <v>960</v>
      </c>
    </row>
    <row r="233" spans="1:4" x14ac:dyDescent="0.2">
      <c r="A233" s="3" t="s">
        <v>106</v>
      </c>
      <c r="B233" s="3" t="s">
        <v>27</v>
      </c>
      <c r="C233" s="3" t="s">
        <v>962</v>
      </c>
      <c r="D233" s="3" t="s">
        <v>963</v>
      </c>
    </row>
    <row r="234" spans="1:4" x14ac:dyDescent="0.2">
      <c r="A234" s="3" t="s">
        <v>107</v>
      </c>
      <c r="B234" s="3" t="s">
        <v>27</v>
      </c>
      <c r="C234" s="3" t="s">
        <v>962</v>
      </c>
      <c r="D234" s="3" t="s">
        <v>963</v>
      </c>
    </row>
    <row r="235" spans="1:4" x14ac:dyDescent="0.2">
      <c r="A235" s="3" t="s">
        <v>204</v>
      </c>
      <c r="B235" s="3" t="s">
        <v>1</v>
      </c>
      <c r="C235" s="3" t="s">
        <v>17</v>
      </c>
      <c r="D235" s="3" t="s">
        <v>964</v>
      </c>
    </row>
    <row r="236" spans="1:4" x14ac:dyDescent="0.2">
      <c r="A236" s="3" t="s">
        <v>205</v>
      </c>
      <c r="B236" s="3" t="s">
        <v>1</v>
      </c>
      <c r="C236" s="3" t="s">
        <v>17</v>
      </c>
      <c r="D236" s="3" t="s">
        <v>964</v>
      </c>
    </row>
    <row r="237" spans="1:4" x14ac:dyDescent="0.2">
      <c r="A237" s="3" t="s">
        <v>206</v>
      </c>
      <c r="B237" s="3" t="s">
        <v>1</v>
      </c>
      <c r="C237" s="3" t="s">
        <v>17</v>
      </c>
      <c r="D237" s="3" t="s">
        <v>964</v>
      </c>
    </row>
    <row r="238" spans="1:4" x14ac:dyDescent="0.2">
      <c r="A238" s="3" t="s">
        <v>208</v>
      </c>
      <c r="B238" s="3" t="s">
        <v>1</v>
      </c>
      <c r="C238" s="3" t="s">
        <v>17</v>
      </c>
      <c r="D238" s="3" t="s">
        <v>966</v>
      </c>
    </row>
    <row r="239" spans="1:4" x14ac:dyDescent="0.2">
      <c r="A239" s="3" t="s">
        <v>403</v>
      </c>
      <c r="B239" s="3" t="s">
        <v>945</v>
      </c>
      <c r="C239" s="3" t="s">
        <v>17</v>
      </c>
      <c r="D239" s="3" t="s">
        <v>965</v>
      </c>
    </row>
    <row r="240" spans="1:4" x14ac:dyDescent="0.2">
      <c r="A240" s="3" t="s">
        <v>404</v>
      </c>
      <c r="B240" s="3" t="s">
        <v>945</v>
      </c>
      <c r="C240" s="3" t="s">
        <v>17</v>
      </c>
      <c r="D240" s="3" t="s">
        <v>965</v>
      </c>
    </row>
    <row r="241" spans="1:4" x14ac:dyDescent="0.2">
      <c r="A241" s="3" t="s">
        <v>405</v>
      </c>
      <c r="B241" s="3" t="s">
        <v>945</v>
      </c>
      <c r="C241" s="3" t="s">
        <v>17</v>
      </c>
      <c r="D241" s="3" t="s">
        <v>965</v>
      </c>
    </row>
    <row r="242" spans="1:4" x14ac:dyDescent="0.2">
      <c r="A242" s="3" t="s">
        <v>406</v>
      </c>
      <c r="B242" s="3" t="s">
        <v>945</v>
      </c>
      <c r="C242" s="3" t="s">
        <v>17</v>
      </c>
      <c r="D242" s="3" t="s">
        <v>965</v>
      </c>
    </row>
    <row r="243" spans="1:4" x14ac:dyDescent="0.2">
      <c r="A243" s="3" t="s">
        <v>32</v>
      </c>
      <c r="B243" s="3" t="s">
        <v>945</v>
      </c>
      <c r="C243" s="3" t="s">
        <v>17</v>
      </c>
      <c r="D243" s="3" t="s">
        <v>965</v>
      </c>
    </row>
    <row r="244" spans="1:4" x14ac:dyDescent="0.2">
      <c r="A244" s="3" t="s">
        <v>410</v>
      </c>
      <c r="B244" s="3" t="s">
        <v>945</v>
      </c>
      <c r="C244" s="3" t="s">
        <v>17</v>
      </c>
      <c r="D244" s="3" t="s">
        <v>965</v>
      </c>
    </row>
    <row r="245" spans="1:4" x14ac:dyDescent="0.2">
      <c r="A245" s="3" t="s">
        <v>1416</v>
      </c>
      <c r="B245" s="3" t="s">
        <v>945</v>
      </c>
      <c r="C245" s="3" t="s">
        <v>17</v>
      </c>
      <c r="D245" s="3" t="s">
        <v>965</v>
      </c>
    </row>
    <row r="246" spans="1:4" x14ac:dyDescent="0.2">
      <c r="A246" s="3" t="s">
        <v>203</v>
      </c>
      <c r="B246" s="3" t="s">
        <v>1</v>
      </c>
      <c r="C246" s="3" t="s">
        <v>29</v>
      </c>
      <c r="D246" s="3" t="s">
        <v>959</v>
      </c>
    </row>
    <row r="247" spans="1:4" x14ac:dyDescent="0.2">
      <c r="A247" s="3" t="s">
        <v>290</v>
      </c>
      <c r="B247" s="3" t="s">
        <v>1</v>
      </c>
      <c r="C247" s="3" t="s">
        <v>29</v>
      </c>
      <c r="D247" s="3" t="s">
        <v>959</v>
      </c>
    </row>
    <row r="248" spans="1:4" x14ac:dyDescent="0.2">
      <c r="A248" s="3" t="s">
        <v>394</v>
      </c>
      <c r="B248" s="3" t="s">
        <v>1</v>
      </c>
      <c r="C248" s="3" t="s">
        <v>29</v>
      </c>
      <c r="D248" s="3" t="s">
        <v>959</v>
      </c>
    </row>
    <row r="249" spans="1:4" x14ac:dyDescent="0.2">
      <c r="A249" s="3" t="s">
        <v>209</v>
      </c>
      <c r="B249" s="3" t="s">
        <v>1</v>
      </c>
      <c r="C249" s="3" t="s">
        <v>17</v>
      </c>
      <c r="D249" s="3" t="s">
        <v>967</v>
      </c>
    </row>
    <row r="250" spans="1:4" x14ac:dyDescent="0.2">
      <c r="A250" s="3" t="s">
        <v>210</v>
      </c>
      <c r="B250" s="3" t="s">
        <v>1</v>
      </c>
      <c r="C250" s="3" t="s">
        <v>17</v>
      </c>
      <c r="D250" s="3" t="s">
        <v>967</v>
      </c>
    </row>
    <row r="251" spans="1:4" x14ac:dyDescent="0.2">
      <c r="A251" s="3" t="s">
        <v>212</v>
      </c>
      <c r="B251" s="3" t="s">
        <v>1</v>
      </c>
      <c r="C251" s="3" t="s">
        <v>19</v>
      </c>
      <c r="D251" s="3" t="s">
        <v>968</v>
      </c>
    </row>
    <row r="252" spans="1:4" x14ac:dyDescent="0.2">
      <c r="A252" s="3" t="s">
        <v>240</v>
      </c>
      <c r="B252" s="3" t="s">
        <v>1</v>
      </c>
      <c r="C252" s="3" t="s">
        <v>19</v>
      </c>
      <c r="D252" s="3" t="s">
        <v>968</v>
      </c>
    </row>
    <row r="253" spans="1:4" x14ac:dyDescent="0.2">
      <c r="A253" s="3" t="s">
        <v>260</v>
      </c>
      <c r="B253" s="3" t="s">
        <v>1</v>
      </c>
      <c r="C253" s="3" t="s">
        <v>19</v>
      </c>
      <c r="D253" s="3" t="s">
        <v>968</v>
      </c>
    </row>
    <row r="254" spans="1:4" x14ac:dyDescent="0.2">
      <c r="A254" s="3" t="s">
        <v>277</v>
      </c>
      <c r="B254" s="3" t="s">
        <v>1</v>
      </c>
      <c r="C254" s="3" t="s">
        <v>2</v>
      </c>
      <c r="D254" s="3" t="s">
        <v>976</v>
      </c>
    </row>
    <row r="255" spans="1:4" x14ac:dyDescent="0.2">
      <c r="A255" s="3" t="s">
        <v>278</v>
      </c>
      <c r="B255" s="3" t="s">
        <v>1</v>
      </c>
      <c r="C255" s="3" t="s">
        <v>2</v>
      </c>
      <c r="D255" s="3" t="s">
        <v>976</v>
      </c>
    </row>
    <row r="256" spans="1:4" x14ac:dyDescent="0.2">
      <c r="A256" s="3" t="s">
        <v>279</v>
      </c>
      <c r="B256" s="3" t="s">
        <v>1</v>
      </c>
      <c r="C256" s="3" t="s">
        <v>2</v>
      </c>
      <c r="D256" s="3" t="s">
        <v>976</v>
      </c>
    </row>
    <row r="257" spans="1:4" x14ac:dyDescent="0.2">
      <c r="A257" s="3" t="s">
        <v>280</v>
      </c>
      <c r="B257" s="3" t="s">
        <v>1</v>
      </c>
      <c r="C257" s="3" t="s">
        <v>2</v>
      </c>
      <c r="D257" s="3" t="s">
        <v>976</v>
      </c>
    </row>
    <row r="258" spans="1:4" x14ac:dyDescent="0.2">
      <c r="A258" s="3" t="s">
        <v>274</v>
      </c>
      <c r="B258" s="3" t="s">
        <v>1</v>
      </c>
      <c r="C258" s="3" t="s">
        <v>974</v>
      </c>
      <c r="D258" s="3" t="s">
        <v>975</v>
      </c>
    </row>
    <row r="259" spans="1:4" x14ac:dyDescent="0.2">
      <c r="A259" s="3" t="s">
        <v>275</v>
      </c>
      <c r="B259" s="3" t="s">
        <v>1</v>
      </c>
      <c r="C259" s="3" t="s">
        <v>974</v>
      </c>
      <c r="D259" s="3" t="s">
        <v>975</v>
      </c>
    </row>
    <row r="260" spans="1:4" x14ac:dyDescent="0.2">
      <c r="A260" s="3" t="s">
        <v>276</v>
      </c>
      <c r="B260" s="3" t="s">
        <v>1</v>
      </c>
      <c r="C260" s="3" t="s">
        <v>974</v>
      </c>
      <c r="D260" s="3" t="s">
        <v>975</v>
      </c>
    </row>
    <row r="261" spans="1:4" x14ac:dyDescent="0.2">
      <c r="A261" s="3" t="s">
        <v>281</v>
      </c>
      <c r="B261" s="3" t="s">
        <v>1</v>
      </c>
      <c r="C261" s="3" t="s">
        <v>17</v>
      </c>
      <c r="D261" s="3" t="s">
        <v>977</v>
      </c>
    </row>
    <row r="262" spans="1:4" x14ac:dyDescent="0.2">
      <c r="A262" s="3" t="s">
        <v>179</v>
      </c>
      <c r="B262" s="3" t="s">
        <v>1</v>
      </c>
      <c r="C262" s="3" t="s">
        <v>19</v>
      </c>
      <c r="D262" s="3" t="s">
        <v>950</v>
      </c>
    </row>
    <row r="263" spans="1:4" x14ac:dyDescent="0.2">
      <c r="A263" s="3" t="s">
        <v>180</v>
      </c>
      <c r="B263" s="3" t="s">
        <v>1</v>
      </c>
      <c r="C263" s="3" t="s">
        <v>19</v>
      </c>
      <c r="D263" s="3" t="s">
        <v>950</v>
      </c>
    </row>
    <row r="264" spans="1:4" x14ac:dyDescent="0.2">
      <c r="A264" s="3" t="s">
        <v>291</v>
      </c>
      <c r="B264" s="3" t="s">
        <v>1</v>
      </c>
      <c r="C264" s="3" t="s">
        <v>19</v>
      </c>
      <c r="D264" s="3" t="s">
        <v>950</v>
      </c>
    </row>
    <row r="265" spans="1:4" x14ac:dyDescent="0.2">
      <c r="A265" s="3" t="s">
        <v>292</v>
      </c>
      <c r="B265" s="3" t="s">
        <v>1</v>
      </c>
      <c r="C265" s="3" t="s">
        <v>19</v>
      </c>
      <c r="D265" s="3" t="s">
        <v>950</v>
      </c>
    </row>
    <row r="266" spans="1:4" x14ac:dyDescent="0.2">
      <c r="A266" s="3" t="s">
        <v>341</v>
      </c>
      <c r="B266" s="3" t="s">
        <v>1</v>
      </c>
      <c r="C266" s="3" t="s">
        <v>19</v>
      </c>
      <c r="D266" s="3" t="s">
        <v>950</v>
      </c>
    </row>
    <row r="267" spans="1:4" x14ac:dyDescent="0.2">
      <c r="A267" s="3" t="s">
        <v>1447</v>
      </c>
      <c r="B267" s="3" t="s">
        <v>1</v>
      </c>
      <c r="C267" s="3" t="s">
        <v>19</v>
      </c>
      <c r="D267" s="3" t="s">
        <v>950</v>
      </c>
    </row>
    <row r="268" spans="1:4" x14ac:dyDescent="0.2">
      <c r="A268" s="3" t="s">
        <v>103</v>
      </c>
      <c r="B268" s="3" t="s">
        <v>1</v>
      </c>
      <c r="C268" s="3" t="s">
        <v>19</v>
      </c>
      <c r="D268" s="3" t="s">
        <v>978</v>
      </c>
    </row>
    <row r="269" spans="1:4" x14ac:dyDescent="0.2">
      <c r="A269" s="3" t="s">
        <v>285</v>
      </c>
      <c r="B269" s="3" t="s">
        <v>1</v>
      </c>
      <c r="C269" s="3" t="s">
        <v>19</v>
      </c>
      <c r="D269" s="3" t="s">
        <v>978</v>
      </c>
    </row>
    <row r="270" spans="1:4" x14ac:dyDescent="0.2">
      <c r="A270" s="3" t="s">
        <v>286</v>
      </c>
      <c r="B270" s="3" t="s">
        <v>1</v>
      </c>
      <c r="C270" s="3" t="s">
        <v>19</v>
      </c>
      <c r="D270" s="3" t="s">
        <v>978</v>
      </c>
    </row>
    <row r="271" spans="1:4" x14ac:dyDescent="0.2">
      <c r="A271" s="3" t="s">
        <v>287</v>
      </c>
      <c r="B271" s="3" t="s">
        <v>1</v>
      </c>
      <c r="C271" s="3" t="s">
        <v>19</v>
      </c>
      <c r="D271" s="3" t="s">
        <v>978</v>
      </c>
    </row>
    <row r="272" spans="1:4" x14ac:dyDescent="0.2">
      <c r="A272" s="3" t="s">
        <v>288</v>
      </c>
      <c r="B272" s="3" t="s">
        <v>1</v>
      </c>
      <c r="C272" s="3" t="s">
        <v>19</v>
      </c>
      <c r="D272" s="3" t="s">
        <v>978</v>
      </c>
    </row>
    <row r="273" spans="1:4" x14ac:dyDescent="0.2">
      <c r="A273" s="3" t="s">
        <v>289</v>
      </c>
      <c r="B273" s="3" t="s">
        <v>1</v>
      </c>
      <c r="C273" s="3" t="s">
        <v>19</v>
      </c>
      <c r="D273" s="3" t="s">
        <v>978</v>
      </c>
    </row>
    <row r="274" spans="1:4" x14ac:dyDescent="0.2">
      <c r="A274" s="3" t="s">
        <v>1436</v>
      </c>
      <c r="B274" s="3" t="s">
        <v>1</v>
      </c>
      <c r="C274" s="3" t="s">
        <v>19</v>
      </c>
      <c r="D274" s="3" t="s">
        <v>978</v>
      </c>
    </row>
    <row r="275" spans="1:4" x14ac:dyDescent="0.2">
      <c r="A275" s="3" t="s">
        <v>104</v>
      </c>
      <c r="B275" s="3" t="s">
        <v>1</v>
      </c>
      <c r="C275" s="3" t="s">
        <v>19</v>
      </c>
      <c r="D275" s="3" t="s">
        <v>1004</v>
      </c>
    </row>
    <row r="276" spans="1:4" x14ac:dyDescent="0.2">
      <c r="A276" s="3" t="s">
        <v>376</v>
      </c>
      <c r="B276" s="3" t="s">
        <v>1</v>
      </c>
      <c r="C276" s="3" t="s">
        <v>19</v>
      </c>
      <c r="D276" s="3" t="s">
        <v>1004</v>
      </c>
    </row>
    <row r="277" spans="1:4" x14ac:dyDescent="0.2">
      <c r="A277" s="3" t="s">
        <v>377</v>
      </c>
      <c r="B277" s="3" t="s">
        <v>1</v>
      </c>
      <c r="C277" s="3" t="s">
        <v>19</v>
      </c>
      <c r="D277" s="3" t="s">
        <v>1004</v>
      </c>
    </row>
    <row r="278" spans="1:4" x14ac:dyDescent="0.2">
      <c r="A278" s="3" t="s">
        <v>378</v>
      </c>
      <c r="B278" s="3" t="s">
        <v>1</v>
      </c>
      <c r="C278" s="3" t="s">
        <v>19</v>
      </c>
      <c r="D278" s="3" t="s">
        <v>1004</v>
      </c>
    </row>
    <row r="279" spans="1:4" x14ac:dyDescent="0.2">
      <c r="A279" s="3" t="s">
        <v>379</v>
      </c>
      <c r="B279" s="3" t="s">
        <v>1</v>
      </c>
      <c r="C279" s="3" t="s">
        <v>19</v>
      </c>
      <c r="D279" s="3" t="s">
        <v>1004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979</v>
      </c>
    </row>
    <row r="281" spans="1:4" x14ac:dyDescent="0.2">
      <c r="A281" s="3" t="s">
        <v>299</v>
      </c>
      <c r="B281" s="3" t="s">
        <v>1</v>
      </c>
      <c r="C281" s="3" t="s">
        <v>17</v>
      </c>
      <c r="D281" s="3" t="s">
        <v>979</v>
      </c>
    </row>
    <row r="282" spans="1:4" x14ac:dyDescent="0.2">
      <c r="A282" s="3" t="s">
        <v>151</v>
      </c>
      <c r="B282" s="3" t="s">
        <v>1</v>
      </c>
      <c r="C282" s="3" t="s">
        <v>17</v>
      </c>
      <c r="D282" s="3" t="s">
        <v>935</v>
      </c>
    </row>
    <row r="283" spans="1:4" x14ac:dyDescent="0.2">
      <c r="A283" s="3" t="s">
        <v>295</v>
      </c>
      <c r="B283" s="3" t="s">
        <v>1</v>
      </c>
      <c r="C283" s="3" t="s">
        <v>17</v>
      </c>
      <c r="D283" s="3" t="s">
        <v>935</v>
      </c>
    </row>
    <row r="284" spans="1:4" x14ac:dyDescent="0.2">
      <c r="A284" s="3" t="s">
        <v>296</v>
      </c>
      <c r="B284" s="3" t="s">
        <v>1</v>
      </c>
      <c r="C284" s="3" t="s">
        <v>17</v>
      </c>
      <c r="D284" s="3" t="s">
        <v>935</v>
      </c>
    </row>
    <row r="285" spans="1:4" x14ac:dyDescent="0.2">
      <c r="A285" s="3" t="s">
        <v>297</v>
      </c>
      <c r="B285" s="3" t="s">
        <v>1</v>
      </c>
      <c r="C285" s="3" t="s">
        <v>17</v>
      </c>
      <c r="D285" s="3" t="s">
        <v>935</v>
      </c>
    </row>
    <row r="286" spans="1:4" x14ac:dyDescent="0.2">
      <c r="A286" s="3" t="s">
        <v>308</v>
      </c>
      <c r="B286" s="3" t="s">
        <v>1</v>
      </c>
      <c r="C286" s="3" t="s">
        <v>17</v>
      </c>
      <c r="D286" s="3" t="s">
        <v>935</v>
      </c>
    </row>
    <row r="287" spans="1:4" x14ac:dyDescent="0.2">
      <c r="A287" s="3" t="s">
        <v>310</v>
      </c>
      <c r="B287" s="3" t="s">
        <v>1</v>
      </c>
      <c r="C287" s="3" t="s">
        <v>981</v>
      </c>
      <c r="D287" s="3" t="s">
        <v>981</v>
      </c>
    </row>
    <row r="288" spans="1:4" x14ac:dyDescent="0.2">
      <c r="A288" s="3" t="s">
        <v>311</v>
      </c>
      <c r="B288" s="3" t="s">
        <v>1</v>
      </c>
      <c r="C288" s="3" t="s">
        <v>981</v>
      </c>
      <c r="D288" s="3" t="s">
        <v>981</v>
      </c>
    </row>
    <row r="289" spans="1:4" x14ac:dyDescent="0.2">
      <c r="A289" s="3" t="s">
        <v>40</v>
      </c>
      <c r="B289" s="3" t="s">
        <v>27</v>
      </c>
      <c r="C289" s="3" t="s">
        <v>962</v>
      </c>
      <c r="D289" s="3" t="s">
        <v>973</v>
      </c>
    </row>
    <row r="290" spans="1:4" x14ac:dyDescent="0.2">
      <c r="A290" s="3" t="s">
        <v>115</v>
      </c>
      <c r="B290" s="3" t="s">
        <v>27</v>
      </c>
      <c r="C290" s="3" t="s">
        <v>962</v>
      </c>
      <c r="D290" s="3" t="s">
        <v>973</v>
      </c>
    </row>
    <row r="291" spans="1:4" x14ac:dyDescent="0.2">
      <c r="A291" s="3" t="s">
        <v>116</v>
      </c>
      <c r="B291" s="3" t="s">
        <v>27</v>
      </c>
      <c r="C291" s="3" t="s">
        <v>962</v>
      </c>
      <c r="D291" s="3" t="s">
        <v>973</v>
      </c>
    </row>
    <row r="292" spans="1:4" x14ac:dyDescent="0.2">
      <c r="A292" s="3" t="s">
        <v>117</v>
      </c>
      <c r="B292" s="3" t="s">
        <v>27</v>
      </c>
      <c r="C292" s="3" t="s">
        <v>962</v>
      </c>
      <c r="D292" s="3" t="s">
        <v>973</v>
      </c>
    </row>
    <row r="293" spans="1:4" x14ac:dyDescent="0.2">
      <c r="A293" s="3" t="s">
        <v>41</v>
      </c>
      <c r="B293" s="3" t="s">
        <v>27</v>
      </c>
      <c r="C293" s="3" t="s">
        <v>962</v>
      </c>
      <c r="D293" s="3" t="s">
        <v>973</v>
      </c>
    </row>
    <row r="294" spans="1:4" x14ac:dyDescent="0.2">
      <c r="A294" s="3" t="s">
        <v>118</v>
      </c>
      <c r="B294" s="3" t="s">
        <v>27</v>
      </c>
      <c r="C294" s="3" t="s">
        <v>962</v>
      </c>
      <c r="D294" s="3" t="s">
        <v>973</v>
      </c>
    </row>
    <row r="295" spans="1:4" x14ac:dyDescent="0.2">
      <c r="A295" s="3" t="s">
        <v>119</v>
      </c>
      <c r="B295" s="3" t="s">
        <v>27</v>
      </c>
      <c r="C295" s="3" t="s">
        <v>962</v>
      </c>
      <c r="D295" s="3" t="s">
        <v>973</v>
      </c>
    </row>
    <row r="296" spans="1:4" x14ac:dyDescent="0.2">
      <c r="A296" s="3" t="s">
        <v>120</v>
      </c>
      <c r="B296" s="3" t="s">
        <v>27</v>
      </c>
      <c r="C296" s="3" t="s">
        <v>962</v>
      </c>
      <c r="D296" s="3" t="s">
        <v>973</v>
      </c>
    </row>
    <row r="297" spans="1:4" x14ac:dyDescent="0.2">
      <c r="A297" s="3" t="s">
        <v>309</v>
      </c>
      <c r="B297" s="3" t="s">
        <v>1</v>
      </c>
      <c r="C297" s="3" t="s">
        <v>17</v>
      </c>
      <c r="D297" s="3" t="s">
        <v>980</v>
      </c>
    </row>
    <row r="298" spans="1:4" x14ac:dyDescent="0.2">
      <c r="A298" s="3" t="s">
        <v>317</v>
      </c>
      <c r="B298" s="3" t="s">
        <v>1</v>
      </c>
      <c r="C298" s="3" t="s">
        <v>17</v>
      </c>
      <c r="D298" s="3" t="s">
        <v>983</v>
      </c>
    </row>
    <row r="299" spans="1:4" x14ac:dyDescent="0.2">
      <c r="A299" s="3" t="s">
        <v>318</v>
      </c>
      <c r="B299" s="3" t="s">
        <v>1</v>
      </c>
      <c r="C299" s="3" t="s">
        <v>17</v>
      </c>
      <c r="D299" s="3" t="s">
        <v>983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985</v>
      </c>
    </row>
    <row r="301" spans="1:4" x14ac:dyDescent="0.2">
      <c r="A301" s="3" t="s">
        <v>322</v>
      </c>
      <c r="B301" s="3" t="s">
        <v>1</v>
      </c>
      <c r="C301" s="3" t="s">
        <v>17</v>
      </c>
      <c r="D301" s="3" t="s">
        <v>985</v>
      </c>
    </row>
    <row r="302" spans="1:4" x14ac:dyDescent="0.2">
      <c r="A302" s="3" t="s">
        <v>323</v>
      </c>
      <c r="B302" s="3" t="s">
        <v>1</v>
      </c>
      <c r="C302" s="3" t="s">
        <v>17</v>
      </c>
      <c r="D302" s="3" t="s">
        <v>986</v>
      </c>
    </row>
    <row r="303" spans="1:4" x14ac:dyDescent="0.2">
      <c r="A303" s="3" t="s">
        <v>319</v>
      </c>
      <c r="B303" s="3" t="s">
        <v>1</v>
      </c>
      <c r="C303" s="3" t="s">
        <v>17</v>
      </c>
      <c r="D303" s="3" t="s">
        <v>984</v>
      </c>
    </row>
    <row r="304" spans="1:4" x14ac:dyDescent="0.2">
      <c r="A304" s="3" t="s">
        <v>320</v>
      </c>
      <c r="B304" s="3" t="s">
        <v>1</v>
      </c>
      <c r="C304" s="3" t="s">
        <v>17</v>
      </c>
      <c r="D304" s="3" t="s">
        <v>984</v>
      </c>
    </row>
    <row r="305" spans="1:4" x14ac:dyDescent="0.2">
      <c r="A305" s="3" t="s">
        <v>324</v>
      </c>
      <c r="B305" s="3" t="s">
        <v>1</v>
      </c>
      <c r="C305" s="3" t="s">
        <v>17</v>
      </c>
      <c r="D305" s="3" t="s">
        <v>987</v>
      </c>
    </row>
    <row r="306" spans="1:4" x14ac:dyDescent="0.2">
      <c r="A306" s="3" t="s">
        <v>325</v>
      </c>
      <c r="B306" s="3" t="s">
        <v>1</v>
      </c>
      <c r="C306" s="3" t="s">
        <v>17</v>
      </c>
      <c r="D306" s="3" t="s">
        <v>987</v>
      </c>
    </row>
    <row r="307" spans="1:4" x14ac:dyDescent="0.2">
      <c r="A307" s="3" t="s">
        <v>326</v>
      </c>
      <c r="B307" s="3" t="s">
        <v>1</v>
      </c>
      <c r="C307" s="3" t="s">
        <v>17</v>
      </c>
      <c r="D307" s="3" t="s">
        <v>987</v>
      </c>
    </row>
    <row r="308" spans="1:4" x14ac:dyDescent="0.2">
      <c r="A308" s="3" t="s">
        <v>327</v>
      </c>
      <c r="B308" s="3" t="s">
        <v>1</v>
      </c>
      <c r="C308" s="3" t="s">
        <v>17</v>
      </c>
      <c r="D308" s="3" t="s">
        <v>987</v>
      </c>
    </row>
    <row r="309" spans="1:4" x14ac:dyDescent="0.2">
      <c r="A309" s="3" t="s">
        <v>328</v>
      </c>
      <c r="B309" s="3" t="s">
        <v>1</v>
      </c>
      <c r="C309" s="3" t="s">
        <v>17</v>
      </c>
      <c r="D309" s="3" t="s">
        <v>987</v>
      </c>
    </row>
    <row r="310" spans="1:4" x14ac:dyDescent="0.2">
      <c r="A310" s="3" t="s">
        <v>127</v>
      </c>
      <c r="B310" s="3" t="s">
        <v>1</v>
      </c>
      <c r="C310" s="3" t="s">
        <v>17</v>
      </c>
      <c r="D310" s="3" t="s">
        <v>988</v>
      </c>
    </row>
    <row r="311" spans="1:4" x14ac:dyDescent="0.2">
      <c r="A311" s="3" t="s">
        <v>46</v>
      </c>
      <c r="B311" s="3" t="s">
        <v>1</v>
      </c>
      <c r="C311" s="3" t="s">
        <v>17</v>
      </c>
      <c r="D311" s="3" t="s">
        <v>988</v>
      </c>
    </row>
    <row r="312" spans="1:4" x14ac:dyDescent="0.2">
      <c r="A312" s="3" t="s">
        <v>329</v>
      </c>
      <c r="B312" s="3" t="s">
        <v>1</v>
      </c>
      <c r="C312" s="3" t="s">
        <v>17</v>
      </c>
      <c r="D312" s="3" t="s">
        <v>988</v>
      </c>
    </row>
    <row r="313" spans="1:4" x14ac:dyDescent="0.2">
      <c r="A313" s="3" t="s">
        <v>334</v>
      </c>
      <c r="B313" s="3" t="s">
        <v>1</v>
      </c>
      <c r="C313" s="3" t="s">
        <v>17</v>
      </c>
      <c r="D313" s="3" t="s">
        <v>929</v>
      </c>
    </row>
    <row r="314" spans="1:4" x14ac:dyDescent="0.2">
      <c r="A314" s="3" t="s">
        <v>45</v>
      </c>
      <c r="B314" s="3" t="s">
        <v>1</v>
      </c>
      <c r="C314" s="3" t="s">
        <v>17</v>
      </c>
      <c r="D314" s="3" t="s">
        <v>929</v>
      </c>
    </row>
    <row r="315" spans="1:4" x14ac:dyDescent="0.2">
      <c r="A315" s="3" t="s">
        <v>335</v>
      </c>
      <c r="B315" s="3" t="s">
        <v>1</v>
      </c>
      <c r="C315" s="3" t="s">
        <v>17</v>
      </c>
      <c r="D315" s="3" t="s">
        <v>929</v>
      </c>
    </row>
    <row r="316" spans="1:4" x14ac:dyDescent="0.2">
      <c r="A316" s="3" t="s">
        <v>336</v>
      </c>
      <c r="B316" s="3" t="s">
        <v>1</v>
      </c>
      <c r="C316" s="3" t="s">
        <v>17</v>
      </c>
      <c r="D316" s="3" t="s">
        <v>929</v>
      </c>
    </row>
    <row r="317" spans="1:4" x14ac:dyDescent="0.2">
      <c r="A317" s="3" t="s">
        <v>44</v>
      </c>
      <c r="B317" s="3" t="s">
        <v>1</v>
      </c>
      <c r="C317" s="3" t="s">
        <v>17</v>
      </c>
      <c r="D317" s="3" t="s">
        <v>929</v>
      </c>
    </row>
    <row r="318" spans="1:4" x14ac:dyDescent="0.2">
      <c r="A318" s="3" t="s">
        <v>1149</v>
      </c>
      <c r="B318" s="3" t="s">
        <v>1</v>
      </c>
      <c r="C318" s="3" t="s">
        <v>17</v>
      </c>
      <c r="D318" s="3" t="s">
        <v>929</v>
      </c>
    </row>
    <row r="319" spans="1:4" x14ac:dyDescent="0.2">
      <c r="A319" s="3" t="s">
        <v>331</v>
      </c>
      <c r="B319" s="3" t="s">
        <v>1</v>
      </c>
      <c r="C319" s="3" t="s">
        <v>989</v>
      </c>
      <c r="D319" s="3" t="s">
        <v>990</v>
      </c>
    </row>
    <row r="320" spans="1:4" x14ac:dyDescent="0.2">
      <c r="A320" s="3" t="s">
        <v>332</v>
      </c>
      <c r="B320" s="3" t="s">
        <v>1</v>
      </c>
      <c r="C320" s="3" t="s">
        <v>989</v>
      </c>
      <c r="D320" s="3" t="s">
        <v>990</v>
      </c>
    </row>
    <row r="321" spans="1:4" x14ac:dyDescent="0.2">
      <c r="A321" s="3" t="s">
        <v>333</v>
      </c>
      <c r="B321" s="3" t="s">
        <v>1</v>
      </c>
      <c r="C321" s="3" t="s">
        <v>989</v>
      </c>
      <c r="D321" s="3" t="s">
        <v>990</v>
      </c>
    </row>
    <row r="322" spans="1:4" x14ac:dyDescent="0.2">
      <c r="A322" s="3" t="s">
        <v>337</v>
      </c>
      <c r="B322" s="3" t="s">
        <v>1</v>
      </c>
      <c r="C322" s="3" t="s">
        <v>989</v>
      </c>
      <c r="D322" s="3" t="s">
        <v>990</v>
      </c>
    </row>
    <row r="323" spans="1:4" x14ac:dyDescent="0.2">
      <c r="A323" s="3" t="s">
        <v>43</v>
      </c>
      <c r="B323" s="3" t="s">
        <v>1</v>
      </c>
      <c r="C323" s="3" t="s">
        <v>989</v>
      </c>
      <c r="D323" s="3" t="s">
        <v>990</v>
      </c>
    </row>
    <row r="324" spans="1:4" x14ac:dyDescent="0.2">
      <c r="A324" s="3" t="s">
        <v>338</v>
      </c>
      <c r="B324" s="3" t="s">
        <v>1</v>
      </c>
      <c r="C324" s="3" t="s">
        <v>989</v>
      </c>
      <c r="D324" s="3" t="s">
        <v>990</v>
      </c>
    </row>
    <row r="325" spans="1:4" x14ac:dyDescent="0.2">
      <c r="A325" s="3" t="s">
        <v>98</v>
      </c>
      <c r="B325" s="3" t="s">
        <v>1</v>
      </c>
      <c r="C325" s="3" t="s">
        <v>989</v>
      </c>
      <c r="D325" s="3" t="s">
        <v>990</v>
      </c>
    </row>
    <row r="326" spans="1:4" x14ac:dyDescent="0.2">
      <c r="A326" s="3" t="s">
        <v>339</v>
      </c>
      <c r="B326" s="3" t="s">
        <v>1</v>
      </c>
      <c r="C326" s="3" t="s">
        <v>989</v>
      </c>
      <c r="D326" s="3" t="s">
        <v>990</v>
      </c>
    </row>
    <row r="327" spans="1:4" x14ac:dyDescent="0.2">
      <c r="A327" s="3" t="s">
        <v>340</v>
      </c>
      <c r="B327" s="3" t="s">
        <v>1</v>
      </c>
      <c r="C327" s="3" t="s">
        <v>989</v>
      </c>
      <c r="D327" s="3" t="s">
        <v>990</v>
      </c>
    </row>
    <row r="328" spans="1:4" x14ac:dyDescent="0.2">
      <c r="A328" s="3" t="s">
        <v>1150</v>
      </c>
      <c r="B328" s="3" t="s">
        <v>1</v>
      </c>
      <c r="C328" s="3" t="s">
        <v>17</v>
      </c>
      <c r="D328" s="3" t="s">
        <v>991</v>
      </c>
    </row>
    <row r="329" spans="1:4" x14ac:dyDescent="0.2">
      <c r="A329" s="3" t="s">
        <v>1151</v>
      </c>
      <c r="B329" s="3" t="s">
        <v>1</v>
      </c>
      <c r="C329" s="3" t="s">
        <v>17</v>
      </c>
      <c r="D329" s="3" t="s">
        <v>991</v>
      </c>
    </row>
    <row r="330" spans="1:4" x14ac:dyDescent="0.2">
      <c r="A330" s="3" t="s">
        <v>477</v>
      </c>
      <c r="B330" s="3" t="s">
        <v>926</v>
      </c>
      <c r="C330" s="3" t="s">
        <v>940</v>
      </c>
      <c r="D330" s="3" t="s">
        <v>961</v>
      </c>
    </row>
    <row r="331" spans="1:4" x14ac:dyDescent="0.2">
      <c r="A331" s="3" t="s">
        <v>478</v>
      </c>
      <c r="B331" s="3" t="s">
        <v>926</v>
      </c>
      <c r="C331" s="3" t="s">
        <v>940</v>
      </c>
      <c r="D331" s="3" t="s">
        <v>961</v>
      </c>
    </row>
    <row r="332" spans="1:4" x14ac:dyDescent="0.2">
      <c r="A332" s="3" t="s">
        <v>481</v>
      </c>
      <c r="B332" s="3" t="s">
        <v>926</v>
      </c>
      <c r="C332" s="3" t="s">
        <v>940</v>
      </c>
      <c r="D332" s="3" t="s">
        <v>961</v>
      </c>
    </row>
    <row r="333" spans="1:4" x14ac:dyDescent="0.2">
      <c r="A333" s="3" t="s">
        <v>482</v>
      </c>
      <c r="B333" s="3" t="s">
        <v>926</v>
      </c>
      <c r="C333" s="3" t="s">
        <v>940</v>
      </c>
      <c r="D333" s="3" t="s">
        <v>961</v>
      </c>
    </row>
    <row r="334" spans="1:4" x14ac:dyDescent="0.2">
      <c r="A334" s="3" t="s">
        <v>479</v>
      </c>
      <c r="B334" s="3" t="s">
        <v>926</v>
      </c>
      <c r="C334" s="3" t="s">
        <v>940</v>
      </c>
      <c r="D334" s="3" t="s">
        <v>961</v>
      </c>
    </row>
    <row r="335" spans="1:4" x14ac:dyDescent="0.2">
      <c r="A335" s="3" t="s">
        <v>480</v>
      </c>
      <c r="B335" s="3" t="s">
        <v>926</v>
      </c>
      <c r="C335" s="3" t="s">
        <v>940</v>
      </c>
      <c r="D335" s="3" t="s">
        <v>961</v>
      </c>
    </row>
    <row r="336" spans="1:4" x14ac:dyDescent="0.2">
      <c r="A336" s="3" t="s">
        <v>342</v>
      </c>
      <c r="B336" s="3" t="s">
        <v>1</v>
      </c>
      <c r="C336" s="3" t="s">
        <v>974</v>
      </c>
      <c r="D336" s="3" t="s">
        <v>992</v>
      </c>
    </row>
    <row r="337" spans="1:4" x14ac:dyDescent="0.2">
      <c r="A337" s="3" t="s">
        <v>344</v>
      </c>
      <c r="B337" s="3" t="s">
        <v>1</v>
      </c>
      <c r="C337" s="3" t="s">
        <v>933</v>
      </c>
      <c r="D337" s="3" t="s">
        <v>994</v>
      </c>
    </row>
    <row r="338" spans="1:4" x14ac:dyDescent="0.2">
      <c r="A338" s="3" t="s">
        <v>345</v>
      </c>
      <c r="B338" s="3" t="s">
        <v>1</v>
      </c>
      <c r="C338" s="3" t="s">
        <v>933</v>
      </c>
      <c r="D338" s="3" t="s">
        <v>994</v>
      </c>
    </row>
    <row r="339" spans="1:4" x14ac:dyDescent="0.2">
      <c r="A339" s="3" t="s">
        <v>346</v>
      </c>
      <c r="B339" s="3" t="s">
        <v>1</v>
      </c>
      <c r="C339" s="3" t="s">
        <v>933</v>
      </c>
      <c r="D339" s="3" t="s">
        <v>994</v>
      </c>
    </row>
    <row r="340" spans="1:4" x14ac:dyDescent="0.2">
      <c r="A340" s="3" t="s">
        <v>347</v>
      </c>
      <c r="B340" s="3" t="s">
        <v>1</v>
      </c>
      <c r="C340" s="3" t="s">
        <v>933</v>
      </c>
      <c r="D340" s="3" t="s">
        <v>994</v>
      </c>
    </row>
    <row r="341" spans="1:4" x14ac:dyDescent="0.2">
      <c r="A341" s="3" t="s">
        <v>350</v>
      </c>
      <c r="B341" s="3" t="s">
        <v>1</v>
      </c>
      <c r="C341" s="3" t="s">
        <v>933</v>
      </c>
      <c r="D341" s="3" t="s">
        <v>994</v>
      </c>
    </row>
    <row r="342" spans="1:4" x14ac:dyDescent="0.2">
      <c r="A342" s="3" t="s">
        <v>351</v>
      </c>
      <c r="B342" s="3" t="s">
        <v>1</v>
      </c>
      <c r="C342" s="3" t="s">
        <v>933</v>
      </c>
      <c r="D342" s="3" t="s">
        <v>994</v>
      </c>
    </row>
    <row r="343" spans="1:4" x14ac:dyDescent="0.2">
      <c r="A343" s="3" t="s">
        <v>352</v>
      </c>
      <c r="B343" s="3" t="s">
        <v>1</v>
      </c>
      <c r="C343" s="3" t="s">
        <v>933</v>
      </c>
      <c r="D343" s="3" t="s">
        <v>994</v>
      </c>
    </row>
    <row r="344" spans="1:4" x14ac:dyDescent="0.2">
      <c r="A344" s="3" t="s">
        <v>353</v>
      </c>
      <c r="B344" s="3" t="s">
        <v>1</v>
      </c>
      <c r="C344" s="3" t="s">
        <v>933</v>
      </c>
      <c r="D344" s="3" t="s">
        <v>994</v>
      </c>
    </row>
    <row r="345" spans="1:4" x14ac:dyDescent="0.2">
      <c r="A345" s="3" t="s">
        <v>408</v>
      </c>
      <c r="B345" s="3" t="s">
        <v>945</v>
      </c>
      <c r="C345" s="3" t="s">
        <v>17</v>
      </c>
      <c r="D345" s="3" t="s">
        <v>1001</v>
      </c>
    </row>
    <row r="346" spans="1:4" x14ac:dyDescent="0.2">
      <c r="A346" s="3" t="s">
        <v>409</v>
      </c>
      <c r="B346" s="3" t="s">
        <v>945</v>
      </c>
      <c r="C346" s="3" t="s">
        <v>17</v>
      </c>
      <c r="D346" s="3" t="s">
        <v>1001</v>
      </c>
    </row>
    <row r="347" spans="1:4" x14ac:dyDescent="0.2">
      <c r="A347" s="3" t="s">
        <v>371</v>
      </c>
      <c r="B347" s="3" t="s">
        <v>1</v>
      </c>
      <c r="C347" s="3" t="s">
        <v>17</v>
      </c>
      <c r="D347" s="3" t="s">
        <v>1002</v>
      </c>
    </row>
    <row r="348" spans="1:4" x14ac:dyDescent="0.2">
      <c r="A348" s="3" t="s">
        <v>370</v>
      </c>
      <c r="B348" s="3" t="s">
        <v>1</v>
      </c>
      <c r="C348" s="3" t="s">
        <v>19</v>
      </c>
      <c r="D348" s="3" t="s">
        <v>1000</v>
      </c>
    </row>
    <row r="349" spans="1:4" x14ac:dyDescent="0.2">
      <c r="A349" s="3" t="s">
        <v>366</v>
      </c>
      <c r="B349" s="3" t="s">
        <v>1</v>
      </c>
      <c r="C349" s="3" t="s">
        <v>29</v>
      </c>
      <c r="D349" s="3" t="s">
        <v>998</v>
      </c>
    </row>
    <row r="350" spans="1:4" x14ac:dyDescent="0.2">
      <c r="A350" s="3" t="s">
        <v>367</v>
      </c>
      <c r="B350" s="3" t="s">
        <v>1</v>
      </c>
      <c r="C350" s="3" t="s">
        <v>29</v>
      </c>
      <c r="D350" s="3" t="s">
        <v>998</v>
      </c>
    </row>
    <row r="351" spans="1:4" x14ac:dyDescent="0.2">
      <c r="A351" s="3" t="s">
        <v>368</v>
      </c>
      <c r="B351" s="3" t="s">
        <v>1</v>
      </c>
      <c r="C351" s="3" t="s">
        <v>17</v>
      </c>
      <c r="D351" s="3" t="s">
        <v>999</v>
      </c>
    </row>
    <row r="352" spans="1:4" x14ac:dyDescent="0.2">
      <c r="A352" s="3" t="s">
        <v>358</v>
      </c>
      <c r="B352" s="3" t="s">
        <v>1</v>
      </c>
      <c r="C352" s="3" t="s">
        <v>19</v>
      </c>
      <c r="D352" s="3" t="s">
        <v>997</v>
      </c>
    </row>
    <row r="353" spans="1:4" x14ac:dyDescent="0.2">
      <c r="A353" s="3" t="s">
        <v>359</v>
      </c>
      <c r="B353" s="3" t="s">
        <v>1</v>
      </c>
      <c r="C353" s="3" t="s">
        <v>19</v>
      </c>
      <c r="D353" s="3" t="s">
        <v>997</v>
      </c>
    </row>
    <row r="354" spans="1:4" x14ac:dyDescent="0.2">
      <c r="A354" s="3" t="s">
        <v>360</v>
      </c>
      <c r="B354" s="3" t="s">
        <v>1</v>
      </c>
      <c r="C354" s="3" t="s">
        <v>19</v>
      </c>
      <c r="D354" s="3" t="s">
        <v>997</v>
      </c>
    </row>
    <row r="355" spans="1:4" x14ac:dyDescent="0.2">
      <c r="A355" s="3" t="s">
        <v>361</v>
      </c>
      <c r="B355" s="3" t="s">
        <v>1</v>
      </c>
      <c r="C355" s="3" t="s">
        <v>19</v>
      </c>
      <c r="D355" s="3" t="s">
        <v>997</v>
      </c>
    </row>
    <row r="356" spans="1:4" x14ac:dyDescent="0.2">
      <c r="A356" s="3" t="s">
        <v>362</v>
      </c>
      <c r="B356" s="3" t="s">
        <v>1</v>
      </c>
      <c r="C356" s="3" t="s">
        <v>19</v>
      </c>
      <c r="D356" s="3" t="s">
        <v>997</v>
      </c>
    </row>
    <row r="357" spans="1:4" x14ac:dyDescent="0.2">
      <c r="A357" s="3" t="s">
        <v>363</v>
      </c>
      <c r="B357" s="3" t="s">
        <v>1</v>
      </c>
      <c r="C357" s="3" t="s">
        <v>19</v>
      </c>
      <c r="D357" s="3" t="s">
        <v>997</v>
      </c>
    </row>
    <row r="358" spans="1:4" x14ac:dyDescent="0.2">
      <c r="A358" s="3" t="s">
        <v>364</v>
      </c>
      <c r="B358" s="3" t="s">
        <v>1</v>
      </c>
      <c r="C358" s="3" t="s">
        <v>19</v>
      </c>
      <c r="D358" s="3" t="s">
        <v>997</v>
      </c>
    </row>
    <row r="359" spans="1:4" x14ac:dyDescent="0.2">
      <c r="A359" s="3" t="s">
        <v>365</v>
      </c>
      <c r="B359" s="3" t="s">
        <v>1</v>
      </c>
      <c r="C359" s="3" t="s">
        <v>19</v>
      </c>
      <c r="D359" s="3" t="s">
        <v>997</v>
      </c>
    </row>
    <row r="360" spans="1:4" x14ac:dyDescent="0.2">
      <c r="A360" s="3" t="s">
        <v>469</v>
      </c>
      <c r="B360" s="3" t="s">
        <v>1</v>
      </c>
      <c r="C360" s="3" t="s">
        <v>19</v>
      </c>
      <c r="D360" s="3" t="s">
        <v>997</v>
      </c>
    </row>
    <row r="361" spans="1:4" x14ac:dyDescent="0.2">
      <c r="A361" s="3" t="s">
        <v>354</v>
      </c>
      <c r="B361" s="3" t="s">
        <v>1</v>
      </c>
      <c r="C361" s="3" t="s">
        <v>17</v>
      </c>
      <c r="D361" s="3" t="s">
        <v>996</v>
      </c>
    </row>
    <row r="362" spans="1:4" x14ac:dyDescent="0.2">
      <c r="A362" s="3" t="s">
        <v>355</v>
      </c>
      <c r="B362" s="3" t="s">
        <v>1</v>
      </c>
      <c r="C362" s="3" t="s">
        <v>17</v>
      </c>
      <c r="D362" s="3" t="s">
        <v>996</v>
      </c>
    </row>
    <row r="363" spans="1:4" x14ac:dyDescent="0.2">
      <c r="A363" s="3" t="s">
        <v>356</v>
      </c>
      <c r="B363" s="3" t="s">
        <v>1</v>
      </c>
      <c r="C363" s="3" t="s">
        <v>17</v>
      </c>
      <c r="D363" s="3" t="s">
        <v>996</v>
      </c>
    </row>
    <row r="364" spans="1:4" x14ac:dyDescent="0.2">
      <c r="A364" s="3" t="s">
        <v>357</v>
      </c>
      <c r="B364" s="3" t="s">
        <v>1</v>
      </c>
      <c r="C364" s="3" t="s">
        <v>17</v>
      </c>
      <c r="D364" s="3" t="s">
        <v>996</v>
      </c>
    </row>
    <row r="365" spans="1:4" x14ac:dyDescent="0.2">
      <c r="A365" s="3" t="s">
        <v>372</v>
      </c>
      <c r="B365" s="3" t="s">
        <v>1</v>
      </c>
      <c r="C365" s="3" t="s">
        <v>17</v>
      </c>
      <c r="D365" s="3" t="s">
        <v>1003</v>
      </c>
    </row>
    <row r="366" spans="1:4" x14ac:dyDescent="0.2">
      <c r="A366" s="3" t="s">
        <v>373</v>
      </c>
      <c r="B366" s="3" t="s">
        <v>1</v>
      </c>
      <c r="C366" s="3" t="s">
        <v>17</v>
      </c>
      <c r="D366" s="3" t="s">
        <v>1003</v>
      </c>
    </row>
    <row r="367" spans="1:4" x14ac:dyDescent="0.2">
      <c r="A367" s="3" t="s">
        <v>374</v>
      </c>
      <c r="B367" s="3" t="s">
        <v>1</v>
      </c>
      <c r="C367" s="3" t="s">
        <v>17</v>
      </c>
      <c r="D367" s="3" t="s">
        <v>1003</v>
      </c>
    </row>
    <row r="368" spans="1:4" x14ac:dyDescent="0.2">
      <c r="A368" s="3" t="s">
        <v>375</v>
      </c>
      <c r="B368" s="3" t="s">
        <v>1</v>
      </c>
      <c r="C368" s="3" t="s">
        <v>17</v>
      </c>
      <c r="D368" s="3" t="s">
        <v>1003</v>
      </c>
    </row>
    <row r="369" spans="1:4" x14ac:dyDescent="0.2">
      <c r="A369" s="3" t="s">
        <v>380</v>
      </c>
      <c r="B369" s="3" t="s">
        <v>1</v>
      </c>
      <c r="C369" s="3" t="s">
        <v>17</v>
      </c>
      <c r="D369" s="3" t="s">
        <v>1005</v>
      </c>
    </row>
    <row r="370" spans="1:4" x14ac:dyDescent="0.2">
      <c r="A370" s="3" t="s">
        <v>381</v>
      </c>
      <c r="B370" s="3" t="s">
        <v>1</v>
      </c>
      <c r="C370" s="3" t="s">
        <v>17</v>
      </c>
      <c r="D370" s="3" t="s">
        <v>1005</v>
      </c>
    </row>
    <row r="371" spans="1:4" x14ac:dyDescent="0.2">
      <c r="A371" s="3" t="s">
        <v>382</v>
      </c>
      <c r="B371" s="3" t="s">
        <v>1</v>
      </c>
      <c r="C371" s="3" t="s">
        <v>17</v>
      </c>
      <c r="D371" s="3" t="s">
        <v>1005</v>
      </c>
    </row>
    <row r="372" spans="1:4" x14ac:dyDescent="0.2">
      <c r="A372" s="3" t="s">
        <v>383</v>
      </c>
      <c r="B372" s="3" t="s">
        <v>1</v>
      </c>
      <c r="C372" s="3" t="s">
        <v>17</v>
      </c>
      <c r="D372" s="3" t="s">
        <v>1005</v>
      </c>
    </row>
    <row r="373" spans="1:4" x14ac:dyDescent="0.2">
      <c r="A373" s="3" t="s">
        <v>384</v>
      </c>
      <c r="B373" s="3" t="s">
        <v>1</v>
      </c>
      <c r="C373" s="3" t="s">
        <v>17</v>
      </c>
      <c r="D373" s="3" t="s">
        <v>1005</v>
      </c>
    </row>
    <row r="374" spans="1:4" x14ac:dyDescent="0.2">
      <c r="A374" s="3" t="s">
        <v>385</v>
      </c>
      <c r="B374" s="3" t="s">
        <v>1</v>
      </c>
      <c r="C374" s="3" t="s">
        <v>974</v>
      </c>
      <c r="D374" s="3" t="s">
        <v>1006</v>
      </c>
    </row>
    <row r="375" spans="1:4" x14ac:dyDescent="0.2">
      <c r="A375" s="3" t="s">
        <v>1593</v>
      </c>
      <c r="B375" s="3" t="s">
        <v>1</v>
      </c>
      <c r="C375" s="3" t="s">
        <v>974</v>
      </c>
      <c r="D375" s="3" t="s">
        <v>1006</v>
      </c>
    </row>
    <row r="376" spans="1:4" x14ac:dyDescent="0.2">
      <c r="A376" s="3" t="s">
        <v>313</v>
      </c>
      <c r="B376" s="3" t="s">
        <v>1</v>
      </c>
      <c r="C376" s="3" t="s">
        <v>17</v>
      </c>
      <c r="D376" s="3" t="s">
        <v>982</v>
      </c>
    </row>
    <row r="377" spans="1:4" x14ac:dyDescent="0.2">
      <c r="A377" s="3" t="s">
        <v>314</v>
      </c>
      <c r="B377" s="3" t="s">
        <v>1</v>
      </c>
      <c r="C377" s="3" t="s">
        <v>17</v>
      </c>
      <c r="D377" s="3" t="s">
        <v>982</v>
      </c>
    </row>
    <row r="378" spans="1:4" x14ac:dyDescent="0.2">
      <c r="A378" s="3" t="s">
        <v>315</v>
      </c>
      <c r="B378" s="3" t="s">
        <v>1</v>
      </c>
      <c r="C378" s="3" t="s">
        <v>17</v>
      </c>
      <c r="D378" s="3" t="s">
        <v>982</v>
      </c>
    </row>
    <row r="379" spans="1:4" x14ac:dyDescent="0.2">
      <c r="A379" s="3" t="s">
        <v>122</v>
      </c>
      <c r="B379" s="3" t="s">
        <v>27</v>
      </c>
      <c r="C379" s="3" t="s">
        <v>989</v>
      </c>
      <c r="D379" s="3" t="s">
        <v>1010</v>
      </c>
    </row>
    <row r="380" spans="1:4" x14ac:dyDescent="0.2">
      <c r="A380" s="3" t="s">
        <v>123</v>
      </c>
      <c r="B380" s="3" t="s">
        <v>27</v>
      </c>
      <c r="C380" s="3" t="s">
        <v>989</v>
      </c>
      <c r="D380" s="3" t="s">
        <v>1010</v>
      </c>
    </row>
    <row r="381" spans="1:4" x14ac:dyDescent="0.2">
      <c r="A381" s="3" t="s">
        <v>124</v>
      </c>
      <c r="B381" s="3" t="s">
        <v>27</v>
      </c>
      <c r="C381" s="3" t="s">
        <v>989</v>
      </c>
      <c r="D381" s="3" t="s">
        <v>1010</v>
      </c>
    </row>
    <row r="382" spans="1:4" x14ac:dyDescent="0.2">
      <c r="A382" s="3" t="s">
        <v>452</v>
      </c>
      <c r="B382" s="3" t="s">
        <v>1154</v>
      </c>
      <c r="C382" s="3" t="s">
        <v>989</v>
      </c>
      <c r="D382" s="3" t="s">
        <v>1007</v>
      </c>
    </row>
    <row r="383" spans="1:4" x14ac:dyDescent="0.2">
      <c r="A383" s="3" t="s">
        <v>453</v>
      </c>
      <c r="B383" s="3" t="s">
        <v>1154</v>
      </c>
      <c r="C383" s="3" t="s">
        <v>989</v>
      </c>
      <c r="D383" s="3" t="s">
        <v>1007</v>
      </c>
    </row>
    <row r="384" spans="1:4" x14ac:dyDescent="0.2">
      <c r="A384" s="3" t="s">
        <v>454</v>
      </c>
      <c r="B384" s="3" t="s">
        <v>1154</v>
      </c>
      <c r="C384" s="3" t="s">
        <v>989</v>
      </c>
      <c r="D384" s="3" t="s">
        <v>1007</v>
      </c>
    </row>
    <row r="385" spans="1:4" x14ac:dyDescent="0.2">
      <c r="A385" s="3" t="s">
        <v>455</v>
      </c>
      <c r="B385" s="3" t="s">
        <v>1154</v>
      </c>
      <c r="C385" s="3" t="s">
        <v>989</v>
      </c>
      <c r="D385" s="3" t="s">
        <v>1007</v>
      </c>
    </row>
    <row r="386" spans="1:4" x14ac:dyDescent="0.2">
      <c r="A386" s="3" t="s">
        <v>457</v>
      </c>
      <c r="B386" s="3" t="s">
        <v>1154</v>
      </c>
      <c r="C386" s="3" t="s">
        <v>989</v>
      </c>
      <c r="D386" s="3" t="s">
        <v>1007</v>
      </c>
    </row>
    <row r="387" spans="1:4" x14ac:dyDescent="0.2">
      <c r="A387" s="3" t="s">
        <v>458</v>
      </c>
      <c r="B387" s="3" t="s">
        <v>1154</v>
      </c>
      <c r="C387" s="3" t="s">
        <v>989</v>
      </c>
      <c r="D387" s="3" t="s">
        <v>1007</v>
      </c>
    </row>
    <row r="388" spans="1:4" x14ac:dyDescent="0.2">
      <c r="A388" s="3" t="s">
        <v>459</v>
      </c>
      <c r="B388" s="3" t="s">
        <v>1154</v>
      </c>
      <c r="C388" s="3" t="s">
        <v>989</v>
      </c>
      <c r="D388" s="3" t="s">
        <v>1007</v>
      </c>
    </row>
    <row r="389" spans="1:4" x14ac:dyDescent="0.2">
      <c r="A389" s="3" t="s">
        <v>460</v>
      </c>
      <c r="B389" s="3" t="s">
        <v>1154</v>
      </c>
      <c r="C389" s="3" t="s">
        <v>989</v>
      </c>
      <c r="D389" s="3" t="s">
        <v>1007</v>
      </c>
    </row>
    <row r="390" spans="1:4" x14ac:dyDescent="0.2">
      <c r="A390" s="3" t="s">
        <v>461</v>
      </c>
      <c r="B390" s="3" t="s">
        <v>1154</v>
      </c>
      <c r="C390" s="3" t="s">
        <v>989</v>
      </c>
      <c r="D390" s="3" t="s">
        <v>1007</v>
      </c>
    </row>
    <row r="391" spans="1:4" x14ac:dyDescent="0.2">
      <c r="A391" s="3" t="s">
        <v>462</v>
      </c>
      <c r="B391" s="3" t="s">
        <v>1154</v>
      </c>
      <c r="C391" s="3" t="s">
        <v>989</v>
      </c>
      <c r="D391" s="3" t="s">
        <v>1007</v>
      </c>
    </row>
    <row r="392" spans="1:4" x14ac:dyDescent="0.2">
      <c r="A392" s="3" t="s">
        <v>463</v>
      </c>
      <c r="B392" s="3" t="s">
        <v>1154</v>
      </c>
      <c r="C392" s="3" t="s">
        <v>989</v>
      </c>
      <c r="D392" s="3" t="s">
        <v>1007</v>
      </c>
    </row>
    <row r="393" spans="1:4" x14ac:dyDescent="0.2">
      <c r="A393" s="3" t="s">
        <v>464</v>
      </c>
      <c r="B393" s="3" t="s">
        <v>1154</v>
      </c>
      <c r="C393" s="3" t="s">
        <v>989</v>
      </c>
      <c r="D393" s="3" t="s">
        <v>1007</v>
      </c>
    </row>
    <row r="394" spans="1:4" x14ac:dyDescent="0.2">
      <c r="A394" s="3" t="s">
        <v>465</v>
      </c>
      <c r="B394" s="3" t="s">
        <v>1154</v>
      </c>
      <c r="C394" s="3" t="s">
        <v>989</v>
      </c>
      <c r="D394" s="3" t="s">
        <v>1007</v>
      </c>
    </row>
    <row r="395" spans="1:4" x14ac:dyDescent="0.2">
      <c r="A395" s="3" t="s">
        <v>925</v>
      </c>
      <c r="B395" s="3" t="s">
        <v>1154</v>
      </c>
      <c r="C395" s="3" t="s">
        <v>989</v>
      </c>
      <c r="D395" s="3" t="s">
        <v>1007</v>
      </c>
    </row>
    <row r="396" spans="1:4" x14ac:dyDescent="0.2">
      <c r="A396" s="3" t="s">
        <v>466</v>
      </c>
      <c r="B396" s="3" t="s">
        <v>1154</v>
      </c>
      <c r="C396" s="3" t="s">
        <v>989</v>
      </c>
      <c r="D396" s="3" t="s">
        <v>1007</v>
      </c>
    </row>
    <row r="397" spans="1:4" x14ac:dyDescent="0.2">
      <c r="A397" s="3" t="s">
        <v>467</v>
      </c>
      <c r="B397" s="3" t="s">
        <v>1154</v>
      </c>
      <c r="C397" s="3" t="s">
        <v>989</v>
      </c>
      <c r="D397" s="3" t="s">
        <v>1007</v>
      </c>
    </row>
    <row r="398" spans="1:4" x14ac:dyDescent="0.2">
      <c r="A398" s="3" t="s">
        <v>468</v>
      </c>
      <c r="B398" s="3" t="s">
        <v>1154</v>
      </c>
      <c r="C398" s="3" t="s">
        <v>989</v>
      </c>
      <c r="D398" s="3" t="s">
        <v>1007</v>
      </c>
    </row>
    <row r="399" spans="1:4" x14ac:dyDescent="0.2">
      <c r="A399" s="3" t="s">
        <v>470</v>
      </c>
      <c r="B399" s="3" t="s">
        <v>1154</v>
      </c>
      <c r="C399" s="3" t="s">
        <v>989</v>
      </c>
      <c r="D399" s="3" t="s">
        <v>1007</v>
      </c>
    </row>
    <row r="400" spans="1:4" x14ac:dyDescent="0.2">
      <c r="A400" s="3" t="s">
        <v>471</v>
      </c>
      <c r="B400" s="3" t="s">
        <v>1154</v>
      </c>
      <c r="C400" s="3" t="s">
        <v>989</v>
      </c>
      <c r="D400" s="3" t="s">
        <v>1007</v>
      </c>
    </row>
    <row r="401" spans="1:4" x14ac:dyDescent="0.2">
      <c r="A401" s="3" t="s">
        <v>472</v>
      </c>
      <c r="B401" s="3" t="s">
        <v>1154</v>
      </c>
      <c r="C401" s="3" t="s">
        <v>989</v>
      </c>
      <c r="D401" s="3" t="s">
        <v>1007</v>
      </c>
    </row>
    <row r="402" spans="1:4" x14ac:dyDescent="0.2">
      <c r="A402" s="7" t="s">
        <v>473</v>
      </c>
      <c r="B402" s="3" t="s">
        <v>1154</v>
      </c>
      <c r="C402" s="3" t="s">
        <v>989</v>
      </c>
      <c r="D402" s="3" t="s">
        <v>1007</v>
      </c>
    </row>
    <row r="403" spans="1:4" x14ac:dyDescent="0.2">
      <c r="A403" s="3" t="s">
        <v>474</v>
      </c>
      <c r="B403" s="3" t="s">
        <v>1154</v>
      </c>
      <c r="C403" s="3" t="s">
        <v>989</v>
      </c>
      <c r="D403" s="3" t="s">
        <v>1007</v>
      </c>
    </row>
    <row r="404" spans="1:4" x14ac:dyDescent="0.2">
      <c r="A404" s="3" t="s">
        <v>475</v>
      </c>
      <c r="B404" s="3" t="s">
        <v>1154</v>
      </c>
      <c r="C404" s="3" t="s">
        <v>989</v>
      </c>
      <c r="D404" s="3" t="s">
        <v>1007</v>
      </c>
    </row>
    <row r="405" spans="1:4" x14ac:dyDescent="0.2">
      <c r="A405" s="3" t="s">
        <v>476</v>
      </c>
      <c r="B405" s="3" t="s">
        <v>1154</v>
      </c>
      <c r="C405" s="3" t="s">
        <v>989</v>
      </c>
      <c r="D405" s="3" t="s">
        <v>1007</v>
      </c>
    </row>
    <row r="406" spans="1:4" x14ac:dyDescent="0.2">
      <c r="A406" s="3" t="s">
        <v>924</v>
      </c>
      <c r="B406" s="3" t="s">
        <v>1154</v>
      </c>
      <c r="C406" s="3" t="s">
        <v>989</v>
      </c>
      <c r="D406" s="3" t="s">
        <v>1007</v>
      </c>
    </row>
    <row r="407" spans="1:4" x14ac:dyDescent="0.2">
      <c r="A407" s="3" t="s">
        <v>923</v>
      </c>
      <c r="B407" s="3" t="s">
        <v>1154</v>
      </c>
      <c r="C407" s="3" t="s">
        <v>989</v>
      </c>
      <c r="D407" s="3" t="s">
        <v>1007</v>
      </c>
    </row>
    <row r="408" spans="1:4" x14ac:dyDescent="0.2">
      <c r="A408" s="3" t="s">
        <v>393</v>
      </c>
      <c r="B408" s="3" t="s">
        <v>1</v>
      </c>
      <c r="C408" s="3" t="s">
        <v>17</v>
      </c>
      <c r="D408" s="3" t="s">
        <v>1009</v>
      </c>
    </row>
    <row r="409" spans="1:4" x14ac:dyDescent="0.2">
      <c r="A409" s="3" t="s">
        <v>386</v>
      </c>
      <c r="B409" s="3" t="s">
        <v>1</v>
      </c>
      <c r="C409" s="3" t="s">
        <v>2</v>
      </c>
      <c r="D409" s="3" t="s">
        <v>1008</v>
      </c>
    </row>
    <row r="410" spans="1:4" x14ac:dyDescent="0.2">
      <c r="A410" s="3" t="s">
        <v>921</v>
      </c>
      <c r="B410" s="3" t="s">
        <v>1</v>
      </c>
      <c r="C410" s="3" t="s">
        <v>22</v>
      </c>
      <c r="D410" s="3" t="s">
        <v>1012</v>
      </c>
    </row>
    <row r="411" spans="1:4" x14ac:dyDescent="0.2">
      <c r="A411" s="3" t="s">
        <v>395</v>
      </c>
      <c r="B411" s="3" t="s">
        <v>1</v>
      </c>
      <c r="C411" s="3" t="s">
        <v>17</v>
      </c>
      <c r="D411" s="3" t="s">
        <v>1011</v>
      </c>
    </row>
    <row r="412" spans="1:4" x14ac:dyDescent="0.2">
      <c r="A412" s="3" t="s">
        <v>343</v>
      </c>
      <c r="B412" s="3" t="s">
        <v>1</v>
      </c>
      <c r="C412" s="3" t="s">
        <v>17</v>
      </c>
      <c r="D412" s="3" t="s">
        <v>993</v>
      </c>
    </row>
    <row r="413" spans="1:4" x14ac:dyDescent="0.2">
      <c r="A413" s="3" t="s">
        <v>396</v>
      </c>
      <c r="B413" s="3" t="s">
        <v>1</v>
      </c>
      <c r="C413" s="3" t="s">
        <v>17</v>
      </c>
      <c r="D413" s="3" t="s">
        <v>993</v>
      </c>
    </row>
    <row r="414" spans="1:4" x14ac:dyDescent="0.2">
      <c r="A414" s="3" t="s">
        <v>397</v>
      </c>
      <c r="B414" s="3" t="s">
        <v>1</v>
      </c>
      <c r="C414" s="3" t="s">
        <v>17</v>
      </c>
      <c r="D414" s="3" t="s">
        <v>993</v>
      </c>
    </row>
    <row r="415" spans="1:4" x14ac:dyDescent="0.2">
      <c r="A415" s="3" t="s">
        <v>398</v>
      </c>
      <c r="B415" s="3" t="s">
        <v>1</v>
      </c>
      <c r="C415" s="3" t="s">
        <v>17</v>
      </c>
      <c r="D415" s="3" t="s">
        <v>993</v>
      </c>
    </row>
    <row r="416" spans="1:4" x14ac:dyDescent="0.2">
      <c r="A416" s="3" t="s">
        <v>407</v>
      </c>
      <c r="B416" s="3" t="s">
        <v>945</v>
      </c>
      <c r="C416" s="3" t="s">
        <v>17</v>
      </c>
      <c r="D416" s="3" t="s">
        <v>995</v>
      </c>
    </row>
    <row r="417" spans="1:4" x14ac:dyDescent="0.2">
      <c r="A417" s="3" t="s">
        <v>922</v>
      </c>
      <c r="B417" s="3" t="s">
        <v>945</v>
      </c>
      <c r="C417" s="3" t="s">
        <v>17</v>
      </c>
      <c r="D417" s="3" t="s">
        <v>995</v>
      </c>
    </row>
    <row r="418" spans="1:4" x14ac:dyDescent="0.2">
      <c r="A418" s="25" t="s">
        <v>411</v>
      </c>
      <c r="B418" s="3" t="s">
        <v>945</v>
      </c>
      <c r="C418" s="3" t="s">
        <v>17</v>
      </c>
      <c r="D418" s="3" t="s">
        <v>995</v>
      </c>
    </row>
    <row r="419" spans="1:4" x14ac:dyDescent="0.2">
      <c r="A419" s="3" t="s">
        <v>412</v>
      </c>
      <c r="B419" s="3" t="s">
        <v>945</v>
      </c>
      <c r="C419" s="3" t="s">
        <v>17</v>
      </c>
      <c r="D419" s="3" t="s">
        <v>995</v>
      </c>
    </row>
    <row r="420" spans="1:4" x14ac:dyDescent="0.2">
      <c r="A420" s="25" t="s">
        <v>879</v>
      </c>
      <c r="B420" s="3" t="s">
        <v>939</v>
      </c>
      <c r="C420" s="3" t="s">
        <v>940</v>
      </c>
      <c r="D420" s="3" t="s">
        <v>941</v>
      </c>
    </row>
    <row r="421" spans="1:4" x14ac:dyDescent="0.2">
      <c r="A421" s="7" t="s">
        <v>880</v>
      </c>
      <c r="B421" s="3" t="s">
        <v>939</v>
      </c>
      <c r="C421" s="3" t="s">
        <v>940</v>
      </c>
      <c r="D421" s="3" t="s">
        <v>941</v>
      </c>
    </row>
    <row r="422" spans="1:4" x14ac:dyDescent="0.2">
      <c r="A422" s="1" t="s">
        <v>881</v>
      </c>
      <c r="B422" s="3" t="s">
        <v>939</v>
      </c>
      <c r="C422" s="3" t="s">
        <v>940</v>
      </c>
      <c r="D422" s="3" t="s">
        <v>941</v>
      </c>
    </row>
    <row r="423" spans="1:4" x14ac:dyDescent="0.2">
      <c r="A423" s="1" t="s">
        <v>882</v>
      </c>
      <c r="B423" s="3" t="s">
        <v>939</v>
      </c>
      <c r="C423" s="3" t="s">
        <v>940</v>
      </c>
      <c r="D423" s="3" t="s">
        <v>941</v>
      </c>
    </row>
    <row r="424" spans="1:4" x14ac:dyDescent="0.2">
      <c r="A424" s="1" t="s">
        <v>883</v>
      </c>
      <c r="B424" s="3" t="s">
        <v>939</v>
      </c>
      <c r="C424" s="3" t="s">
        <v>940</v>
      </c>
      <c r="D424" s="3" t="s">
        <v>941</v>
      </c>
    </row>
    <row r="425" spans="1:4" x14ac:dyDescent="0.2">
      <c r="A425" s="1" t="s">
        <v>884</v>
      </c>
      <c r="B425" s="3" t="s">
        <v>939</v>
      </c>
      <c r="C425" s="3" t="s">
        <v>940</v>
      </c>
      <c r="D425" s="3" t="s">
        <v>941</v>
      </c>
    </row>
    <row r="426" spans="1:4" x14ac:dyDescent="0.2">
      <c r="A426" s="1" t="s">
        <v>885</v>
      </c>
      <c r="B426" s="3" t="s">
        <v>939</v>
      </c>
      <c r="C426" s="3" t="s">
        <v>940</v>
      </c>
      <c r="D426" s="3" t="s">
        <v>941</v>
      </c>
    </row>
    <row r="427" spans="1:4" x14ac:dyDescent="0.2">
      <c r="A427" s="1" t="s">
        <v>886</v>
      </c>
      <c r="B427" s="3" t="s">
        <v>939</v>
      </c>
      <c r="C427" s="3" t="s">
        <v>940</v>
      </c>
      <c r="D427" s="3" t="s">
        <v>941</v>
      </c>
    </row>
    <row r="428" spans="1:4" x14ac:dyDescent="0.2">
      <c r="A428" s="7" t="s">
        <v>887</v>
      </c>
      <c r="B428" s="3" t="s">
        <v>939</v>
      </c>
      <c r="C428" s="3" t="s">
        <v>940</v>
      </c>
      <c r="D428" s="3" t="s">
        <v>941</v>
      </c>
    </row>
    <row r="429" spans="1:4" x14ac:dyDescent="0.2">
      <c r="A429" s="7" t="s">
        <v>888</v>
      </c>
      <c r="B429" s="3" t="s">
        <v>939</v>
      </c>
      <c r="C429" s="3" t="s">
        <v>940</v>
      </c>
      <c r="D429" s="3" t="s">
        <v>941</v>
      </c>
    </row>
    <row r="430" spans="1:4" x14ac:dyDescent="0.2">
      <c r="A430" s="1" t="s">
        <v>889</v>
      </c>
      <c r="B430" s="3" t="s">
        <v>939</v>
      </c>
      <c r="C430" s="3" t="s">
        <v>940</v>
      </c>
      <c r="D430" s="3" t="s">
        <v>941</v>
      </c>
    </row>
    <row r="431" spans="1:4" x14ac:dyDescent="0.2">
      <c r="A431" s="1" t="s">
        <v>890</v>
      </c>
      <c r="B431" s="3" t="s">
        <v>939</v>
      </c>
      <c r="C431" s="3" t="s">
        <v>940</v>
      </c>
      <c r="D431" s="3" t="s">
        <v>941</v>
      </c>
    </row>
    <row r="432" spans="1:4" x14ac:dyDescent="0.2">
      <c r="A432" s="1" t="s">
        <v>891</v>
      </c>
      <c r="B432" s="3" t="s">
        <v>939</v>
      </c>
      <c r="C432" s="3" t="s">
        <v>940</v>
      </c>
      <c r="D432" s="3" t="s">
        <v>941</v>
      </c>
    </row>
    <row r="433" spans="1:4" x14ac:dyDescent="0.2">
      <c r="A433" s="1" t="s">
        <v>892</v>
      </c>
      <c r="B433" s="3" t="s">
        <v>939</v>
      </c>
      <c r="C433" s="3" t="s">
        <v>940</v>
      </c>
      <c r="D433" s="3" t="s">
        <v>941</v>
      </c>
    </row>
    <row r="434" spans="1:4" x14ac:dyDescent="0.2">
      <c r="A434" s="1" t="s">
        <v>893</v>
      </c>
      <c r="B434" s="3" t="s">
        <v>939</v>
      </c>
      <c r="C434" s="3" t="s">
        <v>940</v>
      </c>
      <c r="D434" s="3" t="s">
        <v>941</v>
      </c>
    </row>
    <row r="435" spans="1:4" x14ac:dyDescent="0.2">
      <c r="A435" s="1" t="s">
        <v>894</v>
      </c>
      <c r="B435" s="3" t="s">
        <v>939</v>
      </c>
      <c r="C435" s="3" t="s">
        <v>940</v>
      </c>
      <c r="D435" s="3" t="s">
        <v>941</v>
      </c>
    </row>
    <row r="436" spans="1:4" x14ac:dyDescent="0.2">
      <c r="A436" s="1" t="s">
        <v>895</v>
      </c>
      <c r="B436" s="3" t="s">
        <v>939</v>
      </c>
      <c r="C436" s="3" t="s">
        <v>940</v>
      </c>
      <c r="D436" s="3" t="s">
        <v>941</v>
      </c>
    </row>
    <row r="437" spans="1:4" x14ac:dyDescent="0.2">
      <c r="A437" s="1" t="s">
        <v>896</v>
      </c>
      <c r="B437" s="3" t="s">
        <v>939</v>
      </c>
      <c r="C437" s="3" t="s">
        <v>940</v>
      </c>
      <c r="D437" s="3" t="s">
        <v>941</v>
      </c>
    </row>
    <row r="438" spans="1:4" x14ac:dyDescent="0.2">
      <c r="A438" s="1" t="s">
        <v>897</v>
      </c>
      <c r="B438" s="3" t="s">
        <v>939</v>
      </c>
      <c r="C438" s="3" t="s">
        <v>940</v>
      </c>
      <c r="D438" s="3" t="s">
        <v>941</v>
      </c>
    </row>
    <row r="439" spans="1:4" x14ac:dyDescent="0.2">
      <c r="A439" s="1" t="s">
        <v>898</v>
      </c>
      <c r="B439" s="3" t="s">
        <v>939</v>
      </c>
      <c r="C439" s="3" t="s">
        <v>940</v>
      </c>
      <c r="D439" s="3" t="s">
        <v>941</v>
      </c>
    </row>
    <row r="440" spans="1:4" x14ac:dyDescent="0.2">
      <c r="A440" s="1" t="s">
        <v>899</v>
      </c>
      <c r="B440" s="3" t="s">
        <v>939</v>
      </c>
      <c r="C440" s="3" t="s">
        <v>940</v>
      </c>
      <c r="D440" s="3" t="s">
        <v>941</v>
      </c>
    </row>
    <row r="441" spans="1:4" x14ac:dyDescent="0.2">
      <c r="A441" s="1" t="s">
        <v>900</v>
      </c>
      <c r="B441" s="3" t="s">
        <v>939</v>
      </c>
      <c r="C441" s="3" t="s">
        <v>940</v>
      </c>
      <c r="D441" s="3" t="s">
        <v>941</v>
      </c>
    </row>
    <row r="442" spans="1:4" x14ac:dyDescent="0.2">
      <c r="A442" s="1" t="s">
        <v>901</v>
      </c>
      <c r="B442" s="3" t="s">
        <v>939</v>
      </c>
      <c r="C442" s="3" t="s">
        <v>940</v>
      </c>
      <c r="D442" s="3" t="s">
        <v>941</v>
      </c>
    </row>
    <row r="443" spans="1:4" x14ac:dyDescent="0.2">
      <c r="A443" s="1" t="s">
        <v>902</v>
      </c>
      <c r="B443" s="3" t="s">
        <v>939</v>
      </c>
      <c r="C443" s="3" t="s">
        <v>940</v>
      </c>
      <c r="D443" s="3" t="s">
        <v>941</v>
      </c>
    </row>
    <row r="444" spans="1:4" x14ac:dyDescent="0.2">
      <c r="A444" s="1" t="s">
        <v>903</v>
      </c>
      <c r="B444" s="3" t="s">
        <v>939</v>
      </c>
      <c r="C444" s="3" t="s">
        <v>940</v>
      </c>
      <c r="D444" s="3" t="s">
        <v>941</v>
      </c>
    </row>
    <row r="445" spans="1:4" x14ac:dyDescent="0.2">
      <c r="A445" s="1" t="s">
        <v>904</v>
      </c>
      <c r="B445" s="3" t="s">
        <v>939</v>
      </c>
      <c r="C445" s="3" t="s">
        <v>940</v>
      </c>
      <c r="D445" s="3" t="s">
        <v>941</v>
      </c>
    </row>
    <row r="446" spans="1:4" x14ac:dyDescent="0.2">
      <c r="A446" s="7" t="s">
        <v>456</v>
      </c>
      <c r="B446" s="3" t="s">
        <v>1154</v>
      </c>
      <c r="C446" s="3" t="s">
        <v>989</v>
      </c>
      <c r="D446" s="3" t="s">
        <v>1007</v>
      </c>
    </row>
    <row r="447" spans="1:4" x14ac:dyDescent="0.2">
      <c r="A447" s="3" t="s">
        <v>1633</v>
      </c>
      <c r="B447" s="3" t="s">
        <v>1</v>
      </c>
      <c r="C447" s="3" t="s">
        <v>989</v>
      </c>
      <c r="D447" s="3" t="s">
        <v>1635</v>
      </c>
    </row>
    <row r="448" spans="1:4" x14ac:dyDescent="0.2">
      <c r="A448" s="3" t="s">
        <v>1636</v>
      </c>
      <c r="B448" s="3" t="s">
        <v>1</v>
      </c>
      <c r="C448" s="3" t="s">
        <v>989</v>
      </c>
      <c r="D448" s="3" t="s">
        <v>1635</v>
      </c>
    </row>
    <row r="449" spans="1:4" x14ac:dyDescent="0.2">
      <c r="A449" s="3" t="s">
        <v>1638</v>
      </c>
      <c r="B449" s="3" t="s">
        <v>1</v>
      </c>
      <c r="C449" s="3" t="s">
        <v>989</v>
      </c>
      <c r="D449" s="3" t="s">
        <v>1635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1124</v>
      </c>
      <c r="C1" s="17" t="s">
        <v>31</v>
      </c>
      <c r="D1" s="17" t="s">
        <v>30</v>
      </c>
      <c r="E1" s="17" t="s">
        <v>1096</v>
      </c>
      <c r="F1" s="17" t="s">
        <v>1094</v>
      </c>
      <c r="G1" s="17" t="s">
        <v>1111</v>
      </c>
      <c r="H1" s="17" t="s">
        <v>1095</v>
      </c>
      <c r="I1" s="83" t="s">
        <v>1141</v>
      </c>
      <c r="J1" s="19" t="s">
        <v>1133</v>
      </c>
      <c r="K1" s="19" t="s">
        <v>1131</v>
      </c>
      <c r="L1" s="19" t="s">
        <v>1130</v>
      </c>
      <c r="M1" s="19" t="s">
        <v>1132</v>
      </c>
      <c r="N1" s="19" t="s">
        <v>1134</v>
      </c>
      <c r="O1" s="19" t="s">
        <v>1103</v>
      </c>
      <c r="P1" s="17" t="s">
        <v>1016</v>
      </c>
      <c r="Q1" s="17" t="s">
        <v>1098</v>
      </c>
      <c r="R1" s="17" t="s">
        <v>1125</v>
      </c>
      <c r="S1" s="17" t="s">
        <v>1122</v>
      </c>
      <c r="T1" s="17" t="s">
        <v>1121</v>
      </c>
      <c r="U1" s="17" t="s">
        <v>1129</v>
      </c>
      <c r="V1" s="17" t="s">
        <v>1127</v>
      </c>
      <c r="W1" s="22" t="s">
        <v>1128</v>
      </c>
      <c r="X1" s="17" t="s">
        <v>1105</v>
      </c>
    </row>
    <row r="2" spans="1:24" ht="17" thickTop="1" x14ac:dyDescent="0.2">
      <c r="A2" s="3" t="s">
        <v>1135</v>
      </c>
      <c r="B2" s="3" t="str">
        <f t="shared" ref="B2:B13" si="0">CONCATENATE(C2,"_",D2)</f>
        <v>US28_hcmva_4XT1</v>
      </c>
      <c r="C2" s="2" t="s">
        <v>42</v>
      </c>
      <c r="D2" s="3" t="s">
        <v>1119</v>
      </c>
      <c r="E2" s="3" t="s">
        <v>1101</v>
      </c>
      <c r="F2" s="3" t="s">
        <v>1107</v>
      </c>
      <c r="G2" s="3" t="s">
        <v>1120</v>
      </c>
      <c r="H2" s="3" t="s">
        <v>1110</v>
      </c>
      <c r="I2" s="16" t="s">
        <v>1138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1123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1118</v>
      </c>
    </row>
    <row r="3" spans="1:24" x14ac:dyDescent="0.2">
      <c r="A3" s="3" t="s">
        <v>1137</v>
      </c>
      <c r="B3" s="3" t="str">
        <f t="shared" si="0"/>
        <v>OPRM_mouse_5C1M</v>
      </c>
      <c r="C3" s="3" t="s">
        <v>44</v>
      </c>
      <c r="D3" s="3" t="s">
        <v>84</v>
      </c>
      <c r="E3" s="3" t="s">
        <v>1101</v>
      </c>
      <c r="F3" s="3" t="s">
        <v>1107</v>
      </c>
      <c r="G3" s="3" t="s">
        <v>1120</v>
      </c>
      <c r="H3" s="3" t="s">
        <v>1110</v>
      </c>
      <c r="I3" s="16" t="s">
        <v>1138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1123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1118</v>
      </c>
    </row>
    <row r="4" spans="1:24" x14ac:dyDescent="0.2">
      <c r="A4" s="3" t="s">
        <v>1136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1101</v>
      </c>
      <c r="F4" s="14" t="s">
        <v>24</v>
      </c>
      <c r="G4" s="3" t="s">
        <v>1120</v>
      </c>
      <c r="H4" s="3" t="s">
        <v>1110</v>
      </c>
      <c r="I4" s="16" t="s">
        <v>1138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1113</v>
      </c>
      <c r="P4" s="15" t="s">
        <v>1015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1101</v>
      </c>
      <c r="F5" s="3" t="s">
        <v>1097</v>
      </c>
      <c r="G5" s="3" t="s">
        <v>1120</v>
      </c>
      <c r="H5" s="3" t="s">
        <v>1110</v>
      </c>
      <c r="I5" s="16" t="s">
        <v>1139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1113</v>
      </c>
      <c r="P5" s="15" t="s">
        <v>1014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1106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1101</v>
      </c>
      <c r="F6" s="3" t="s">
        <v>16</v>
      </c>
      <c r="G6" s="3" t="s">
        <v>1143</v>
      </c>
      <c r="H6" s="3" t="s">
        <v>1110</v>
      </c>
      <c r="I6" s="16" t="s">
        <v>1139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1112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1101</v>
      </c>
      <c r="F7" s="3" t="s">
        <v>1107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1114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1108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1101</v>
      </c>
      <c r="F8" s="3" t="s">
        <v>1107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1114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1108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1101</v>
      </c>
      <c r="F9" s="3" t="s">
        <v>1107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1114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1108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1109</v>
      </c>
      <c r="E10" s="3" t="s">
        <v>1101</v>
      </c>
      <c r="F10" s="3" t="s">
        <v>1107</v>
      </c>
      <c r="H10" s="3" t="s">
        <v>1110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1108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1042</v>
      </c>
      <c r="E11" s="3" t="s">
        <v>1101</v>
      </c>
      <c r="F11" s="3" t="s">
        <v>1107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1108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1024</v>
      </c>
      <c r="E12" s="3" t="s">
        <v>1101</v>
      </c>
      <c r="F12" s="3" t="s">
        <v>1097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1113</v>
      </c>
      <c r="P12" s="15" t="s">
        <v>1014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1106</v>
      </c>
    </row>
    <row r="13" spans="1:24" x14ac:dyDescent="0.2">
      <c r="B13" s="3" t="str">
        <f t="shared" si="0"/>
        <v>FFAR1_human_4PHU</v>
      </c>
      <c r="C13" s="2" t="s">
        <v>1144</v>
      </c>
      <c r="D13" s="14" t="s">
        <v>52</v>
      </c>
      <c r="E13" s="3" t="s">
        <v>1100</v>
      </c>
      <c r="F13" s="3" t="s">
        <v>23</v>
      </c>
      <c r="G13" s="3" t="s">
        <v>1145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1030</v>
      </c>
      <c r="E14" s="3" t="s">
        <v>1100</v>
      </c>
      <c r="F14" s="14"/>
      <c r="I14" s="16" t="s">
        <v>1138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1100</v>
      </c>
      <c r="F15" s="3" t="s">
        <v>23</v>
      </c>
      <c r="G15" s="3" t="s">
        <v>1142</v>
      </c>
      <c r="I15" s="16" t="s">
        <v>1138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1112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1022</v>
      </c>
      <c r="E16" s="3" t="s">
        <v>1100</v>
      </c>
      <c r="F16" s="3" t="s">
        <v>23</v>
      </c>
      <c r="G16" s="3" t="s">
        <v>1120</v>
      </c>
      <c r="I16" s="16" t="s">
        <v>1140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1112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1115</v>
      </c>
      <c r="E17" s="3" t="s">
        <v>1100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1115</v>
      </c>
      <c r="E18" s="3" t="s">
        <v>1100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1100</v>
      </c>
      <c r="F19" s="3" t="s">
        <v>23</v>
      </c>
      <c r="G19" s="3" t="s">
        <v>1146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1115</v>
      </c>
      <c r="E20" s="3" t="s">
        <v>1100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1093</v>
      </c>
      <c r="D21" s="3" t="s">
        <v>1115</v>
      </c>
      <c r="E21" s="3" t="s">
        <v>1100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1013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1102</v>
      </c>
      <c r="E22" s="3" t="s">
        <v>1100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1017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1104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1126</v>
      </c>
      <c r="E23" s="3" t="s">
        <v>1100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1113</v>
      </c>
      <c r="P23" s="15" t="s">
        <v>1015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1117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1116</v>
      </c>
      <c r="E24" s="3" t="s">
        <v>1100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1113</v>
      </c>
      <c r="P24" s="15" t="s">
        <v>1015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1117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1100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1014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1099</v>
      </c>
      <c r="E26" s="3" t="s">
        <v>1100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1014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1056</v>
      </c>
      <c r="C1" s="8" t="s">
        <v>1057</v>
      </c>
      <c r="D1" s="8" t="s">
        <v>1073</v>
      </c>
      <c r="E1" s="8" t="s">
        <v>1074</v>
      </c>
      <c r="F1" s="8" t="s">
        <v>1058</v>
      </c>
      <c r="G1" s="8" t="s">
        <v>1059</v>
      </c>
      <c r="H1" s="8" t="s">
        <v>1075</v>
      </c>
      <c r="I1" s="8" t="s">
        <v>1076</v>
      </c>
      <c r="J1" s="8" t="s">
        <v>1060</v>
      </c>
      <c r="K1" s="8" t="s">
        <v>1061</v>
      </c>
      <c r="L1" s="8" t="s">
        <v>1088</v>
      </c>
      <c r="M1" s="8" t="s">
        <v>1089</v>
      </c>
      <c r="N1" s="8" t="s">
        <v>1062</v>
      </c>
      <c r="O1" s="8" t="s">
        <v>1063</v>
      </c>
      <c r="P1" s="8" t="s">
        <v>1091</v>
      </c>
      <c r="Q1" s="8" t="s">
        <v>1092</v>
      </c>
      <c r="R1" s="8" t="s">
        <v>1064</v>
      </c>
      <c r="S1" s="8" t="s">
        <v>1065</v>
      </c>
      <c r="T1" s="8" t="s">
        <v>1066</v>
      </c>
      <c r="U1" s="8" t="s">
        <v>1067</v>
      </c>
      <c r="V1" s="8" t="s">
        <v>1068</v>
      </c>
      <c r="W1" s="8" t="s">
        <v>1069</v>
      </c>
      <c r="X1" s="8" t="s">
        <v>1070</v>
      </c>
      <c r="Y1" s="8" t="s">
        <v>1071</v>
      </c>
    </row>
    <row r="2" spans="1:25" x14ac:dyDescent="0.2">
      <c r="A2" s="1" t="s">
        <v>1321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2020-08-11T09:53:12Z</dcterms:modified>
  <cp:category/>
  <cp:contentStatus/>
</cp:coreProperties>
</file>